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FERC Contract &amp; Cost Analysis\2023 Morongo WOD Formula Rate\6-Jun 15 - Draft Informational Posting\"/>
    </mc:Choice>
  </mc:AlternateContent>
  <xr:revisionPtr revIDLastSave="0" documentId="13_ncr:1_{999BDBF5-6EA1-4D35-AC38-5966719418F0}" xr6:coauthVersionLast="46" xr6:coauthVersionMax="46" xr10:uidLastSave="{00000000-0000-0000-0000-000000000000}"/>
  <bookViews>
    <workbookView xWindow="-28920" yWindow="15" windowWidth="29040" windowHeight="15840" tabRatio="815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65" l="1"/>
  <c r="J42" i="97" l="1"/>
  <c r="K42" i="97"/>
  <c r="L42" i="97"/>
  <c r="J41" i="97"/>
  <c r="E14" i="46" l="1"/>
  <c r="F43" i="97"/>
  <c r="G43" i="97"/>
  <c r="E43" i="97"/>
  <c r="H16" i="97"/>
  <c r="H23" i="2" l="1"/>
  <c r="E15" i="46"/>
  <c r="E12" i="46" l="1"/>
  <c r="H42" i="2" l="1"/>
  <c r="H71" i="2" s="1"/>
  <c r="H72" i="2" s="1"/>
  <c r="H62" i="2"/>
  <c r="E17" i="86" s="1"/>
  <c r="G16" i="26"/>
  <c r="G26" i="26" s="1"/>
  <c r="I39" i="65"/>
  <c r="I37" i="65"/>
  <c r="B11" i="1"/>
  <c r="B12" i="1"/>
  <c r="B13" i="1"/>
  <c r="B14" i="1"/>
  <c r="B15" i="1"/>
  <c r="B16" i="1"/>
  <c r="B17" i="1"/>
  <c r="B18" i="1"/>
  <c r="B19" i="1"/>
  <c r="H7" i="65"/>
  <c r="F18" i="1"/>
  <c r="F10" i="1"/>
  <c r="B27" i="46"/>
  <c r="B28" i="46"/>
  <c r="B29" i="46"/>
  <c r="H41" i="2"/>
  <c r="H31" i="2"/>
  <c r="H24" i="2"/>
  <c r="H11" i="2"/>
  <c r="H10" i="2"/>
  <c r="H12" i="2" s="1"/>
  <c r="J16" i="26" s="1"/>
  <c r="E10" i="98"/>
  <c r="E15" i="1" s="1"/>
  <c r="E23" i="86"/>
  <c r="E12" i="86"/>
  <c r="E8" i="86"/>
  <c r="F26" i="26"/>
  <c r="H19" i="65"/>
  <c r="H18" i="65"/>
  <c r="B28" i="97"/>
  <c r="B29" i="97"/>
  <c r="F20" i="1"/>
  <c r="D32" i="2"/>
  <c r="D31" i="2"/>
  <c r="B20" i="1"/>
  <c r="B21" i="1"/>
  <c r="B22" i="1"/>
  <c r="F24" i="1"/>
  <c r="F19" i="1"/>
  <c r="F17" i="1"/>
  <c r="C29" i="1"/>
  <c r="B23" i="1"/>
  <c r="B24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 s="1"/>
  <c r="J13" i="97"/>
  <c r="O13" i="97" s="1"/>
  <c r="L13" i="97"/>
  <c r="Q13" i="97" s="1"/>
  <c r="J17" i="97"/>
  <c r="O17" i="97" s="1"/>
  <c r="K17" i="97"/>
  <c r="P17" i="97" s="1"/>
  <c r="L17" i="97"/>
  <c r="Q17" i="97"/>
  <c r="J18" i="97"/>
  <c r="O18" i="97" s="1"/>
  <c r="K18" i="97"/>
  <c r="P18" i="97" s="1"/>
  <c r="L18" i="97"/>
  <c r="Q18" i="97" s="1"/>
  <c r="J19" i="97"/>
  <c r="O19" i="97" s="1"/>
  <c r="K19" i="97"/>
  <c r="P19" i="97" s="1"/>
  <c r="L19" i="97"/>
  <c r="Q19" i="97" s="1"/>
  <c r="J20" i="97"/>
  <c r="O20" i="97"/>
  <c r="K20" i="97"/>
  <c r="P20" i="97" s="1"/>
  <c r="L20" i="97"/>
  <c r="Q20" i="97" s="1"/>
  <c r="J21" i="97"/>
  <c r="O21" i="97" s="1"/>
  <c r="K21" i="97"/>
  <c r="P21" i="97" s="1"/>
  <c r="L21" i="97"/>
  <c r="Q21" i="97"/>
  <c r="J22" i="97"/>
  <c r="O22" i="97" s="1"/>
  <c r="K22" i="97"/>
  <c r="P22" i="97" s="1"/>
  <c r="L22" i="97"/>
  <c r="Q22" i="97" s="1"/>
  <c r="J23" i="97"/>
  <c r="O23" i="97" s="1"/>
  <c r="K23" i="97"/>
  <c r="P23" i="97" s="1"/>
  <c r="L23" i="97"/>
  <c r="Q23" i="97" s="1"/>
  <c r="J24" i="97"/>
  <c r="O24" i="97"/>
  <c r="K24" i="97"/>
  <c r="P24" i="97" s="1"/>
  <c r="L24" i="97"/>
  <c r="Q24" i="97" s="1"/>
  <c r="J26" i="97"/>
  <c r="O26" i="97" s="1"/>
  <c r="K26" i="97"/>
  <c r="P26" i="97" s="1"/>
  <c r="L26" i="97"/>
  <c r="Q26" i="97" s="1"/>
  <c r="J27" i="97"/>
  <c r="O27" i="97" s="1"/>
  <c r="K27" i="97"/>
  <c r="P27" i="97" s="1"/>
  <c r="L27" i="97"/>
  <c r="Q27" i="97" s="1"/>
  <c r="J29" i="97"/>
  <c r="O29" i="97"/>
  <c r="K29" i="97"/>
  <c r="P29" i="97" s="1"/>
  <c r="L29" i="97"/>
  <c r="Q29" i="97" s="1"/>
  <c r="J30" i="97"/>
  <c r="O30" i="97" s="1"/>
  <c r="K30" i="97"/>
  <c r="P30" i="97" s="1"/>
  <c r="L30" i="97"/>
  <c r="Q30" i="97" s="1"/>
  <c r="J32" i="97"/>
  <c r="O32" i="97" s="1"/>
  <c r="K32" i="97"/>
  <c r="P32" i="97" s="1"/>
  <c r="L32" i="97"/>
  <c r="Q32" i="97" s="1"/>
  <c r="J33" i="97"/>
  <c r="O33" i="97" s="1"/>
  <c r="K33" i="97"/>
  <c r="P33" i="97" s="1"/>
  <c r="L33" i="97"/>
  <c r="Q33" i="97" s="1"/>
  <c r="J34" i="97"/>
  <c r="O34" i="97"/>
  <c r="K34" i="97"/>
  <c r="P34" i="97" s="1"/>
  <c r="L34" i="97"/>
  <c r="Q34" i="97" s="1"/>
  <c r="J35" i="97"/>
  <c r="O35" i="97"/>
  <c r="K35" i="97"/>
  <c r="P35" i="97" s="1"/>
  <c r="L35" i="97"/>
  <c r="Q35" i="97" s="1"/>
  <c r="J36" i="97"/>
  <c r="O36" i="97" s="1"/>
  <c r="K36" i="97"/>
  <c r="P36" i="97" s="1"/>
  <c r="L36" i="97"/>
  <c r="Q36" i="97"/>
  <c r="J37" i="97"/>
  <c r="O37" i="97" s="1"/>
  <c r="K37" i="97"/>
  <c r="P37" i="97" s="1"/>
  <c r="L37" i="97"/>
  <c r="Q37" i="97"/>
  <c r="J38" i="97"/>
  <c r="O38" i="97" s="1"/>
  <c r="K38" i="97"/>
  <c r="P38" i="97" s="1"/>
  <c r="L38" i="97"/>
  <c r="Q38" i="97" s="1"/>
  <c r="J39" i="97"/>
  <c r="O39" i="97"/>
  <c r="K39" i="97"/>
  <c r="P39" i="97" s="1"/>
  <c r="L39" i="97"/>
  <c r="Q39" i="97" s="1"/>
  <c r="J40" i="97"/>
  <c r="O40" i="97" s="1"/>
  <c r="K40" i="97"/>
  <c r="P40" i="97" s="1"/>
  <c r="L40" i="97"/>
  <c r="Q40" i="97"/>
  <c r="J16" i="97"/>
  <c r="O16" i="97" s="1"/>
  <c r="L16" i="97"/>
  <c r="Q16" i="97" s="1"/>
  <c r="K16" i="97"/>
  <c r="P16" i="97" s="1"/>
  <c r="P42" i="97"/>
  <c r="O42" i="97"/>
  <c r="Q42" i="97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6" i="46"/>
  <c r="E27" i="46" s="1"/>
  <c r="B7" i="91"/>
  <c r="G8" i="9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7" i="65"/>
  <c r="B7" i="86"/>
  <c r="B8" i="86"/>
  <c r="H25" i="26"/>
  <c r="H24" i="26"/>
  <c r="H23" i="26"/>
  <c r="H22" i="26"/>
  <c r="H21" i="26"/>
  <c r="H20" i="26"/>
  <c r="H19" i="26"/>
  <c r="H18" i="26"/>
  <c r="H17" i="26"/>
  <c r="H15" i="26"/>
  <c r="H14" i="26"/>
  <c r="H13" i="26"/>
  <c r="H12" i="26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J18" i="65"/>
  <c r="L18" i="65"/>
  <c r="J19" i="65" s="1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A63" i="2"/>
  <c r="A64" i="2"/>
  <c r="A65" i="2"/>
  <c r="A66" i="2"/>
  <c r="A67" i="2"/>
  <c r="A68" i="2"/>
  <c r="A69" i="2"/>
  <c r="A70" i="2"/>
  <c r="F71" i="2"/>
  <c r="A71" i="2"/>
  <c r="F72" i="2"/>
  <c r="A72" i="2"/>
  <c r="F49" i="2"/>
  <c r="H23" i="65"/>
  <c r="H21" i="65"/>
  <c r="H24" i="65"/>
  <c r="H20" i="65"/>
  <c r="H22" i="65"/>
  <c r="K19" i="65" l="1"/>
  <c r="L19" i="65" s="1"/>
  <c r="H16" i="26"/>
  <c r="H26" i="26" s="1"/>
  <c r="E29" i="46"/>
  <c r="E10" i="1" s="1"/>
  <c r="E14" i="86"/>
  <c r="K16" i="26"/>
  <c r="S40" i="97"/>
  <c r="T40" i="97" s="1"/>
  <c r="S36" i="97"/>
  <c r="T36" i="97" s="1"/>
  <c r="S25" i="97"/>
  <c r="S23" i="97"/>
  <c r="T23" i="97" s="1"/>
  <c r="S26" i="97"/>
  <c r="T26" i="97" s="1"/>
  <c r="S14" i="97"/>
  <c r="S33" i="97"/>
  <c r="T33" i="97" s="1"/>
  <c r="S21" i="97"/>
  <c r="T21" i="97" s="1"/>
  <c r="S31" i="97"/>
  <c r="S42" i="97"/>
  <c r="T42" i="97" s="1"/>
  <c r="S37" i="97"/>
  <c r="T37" i="97" s="1"/>
  <c r="S41" i="97"/>
  <c r="S27" i="97"/>
  <c r="T27" i="97" s="1"/>
  <c r="S39" i="97"/>
  <c r="T39" i="97" s="1"/>
  <c r="S38" i="97"/>
  <c r="T38" i="97" s="1"/>
  <c r="H49" i="2"/>
  <c r="S19" i="97"/>
  <c r="T19" i="97" s="1"/>
  <c r="S22" i="97"/>
  <c r="T22" i="97" s="1"/>
  <c r="S18" i="97"/>
  <c r="T18" i="97" s="1"/>
  <c r="S29" i="97"/>
  <c r="T29" i="97" s="1"/>
  <c r="S20" i="97"/>
  <c r="T20" i="97" s="1"/>
  <c r="S34" i="97"/>
  <c r="T34" i="97" s="1"/>
  <c r="S16" i="97"/>
  <c r="T16" i="97" s="1"/>
  <c r="S35" i="97"/>
  <c r="T35" i="97" s="1"/>
  <c r="S15" i="97"/>
  <c r="S24" i="97"/>
  <c r="T24" i="97" s="1"/>
  <c r="S30" i="97"/>
  <c r="T30" i="97" s="1"/>
  <c r="S32" i="97"/>
  <c r="T32" i="97" s="1"/>
  <c r="S28" i="97"/>
  <c r="S17" i="97"/>
  <c r="T17" i="97" s="1"/>
  <c r="S13" i="97"/>
  <c r="T13" i="97" s="1"/>
  <c r="S12" i="97"/>
  <c r="H41" i="97"/>
  <c r="H31" i="97"/>
  <c r="H25" i="97"/>
  <c r="H15" i="97"/>
  <c r="H14" i="97"/>
  <c r="H12" i="97"/>
  <c r="H42" i="97"/>
  <c r="H32" i="2"/>
  <c r="H33" i="2" s="1"/>
  <c r="H28" i="97" s="1"/>
  <c r="J20" i="65" l="1"/>
  <c r="K20" i="65" s="1"/>
  <c r="L12" i="97"/>
  <c r="K12" i="97"/>
  <c r="J12" i="97"/>
  <c r="J14" i="97"/>
  <c r="O14" i="97" s="1"/>
  <c r="T14" i="97" s="1"/>
  <c r="K14" i="97"/>
  <c r="P14" i="97" s="1"/>
  <c r="L14" i="97"/>
  <c r="Q14" i="97" s="1"/>
  <c r="K15" i="97"/>
  <c r="P15" i="97" s="1"/>
  <c r="L15" i="97"/>
  <c r="Q15" i="97" s="1"/>
  <c r="J15" i="97"/>
  <c r="O15" i="97" s="1"/>
  <c r="T15" i="97" s="1"/>
  <c r="L25" i="97"/>
  <c r="Q25" i="97" s="1"/>
  <c r="J25" i="97"/>
  <c r="O25" i="97" s="1"/>
  <c r="T25" i="97" s="1"/>
  <c r="K25" i="97"/>
  <c r="P25" i="97" s="1"/>
  <c r="L31" i="97"/>
  <c r="Q31" i="97" s="1"/>
  <c r="K31" i="97"/>
  <c r="P31" i="97" s="1"/>
  <c r="J31" i="97"/>
  <c r="O31" i="97" s="1"/>
  <c r="T31" i="97" s="1"/>
  <c r="J28" i="97"/>
  <c r="L28" i="97"/>
  <c r="K28" i="97"/>
  <c r="M28" i="97" s="1"/>
  <c r="O41" i="97"/>
  <c r="T41" i="97" s="1"/>
  <c r="K41" i="97"/>
  <c r="P41" i="97" s="1"/>
  <c r="L41" i="97"/>
  <c r="Q41" i="97" s="1"/>
  <c r="L20" i="65" l="1"/>
  <c r="O12" i="97"/>
  <c r="J43" i="97"/>
  <c r="M43" i="97"/>
  <c r="P12" i="97"/>
  <c r="K43" i="97"/>
  <c r="N28" i="97"/>
  <c r="N43" i="97" s="1"/>
  <c r="Q12" i="97"/>
  <c r="L43" i="97"/>
  <c r="J21" i="65" l="1"/>
  <c r="P28" i="97"/>
  <c r="P43" i="97" s="1"/>
  <c r="H48" i="2" s="1"/>
  <c r="H50" i="2" s="1"/>
  <c r="H52" i="2" s="1"/>
  <c r="T12" i="97"/>
  <c r="Q28" i="97"/>
  <c r="Q43" i="97" s="1"/>
  <c r="O28" i="97"/>
  <c r="T28" i="97" s="1"/>
  <c r="K21" i="65" l="1"/>
  <c r="L21" i="65" s="1"/>
  <c r="T43" i="97"/>
  <c r="E11" i="1" s="1"/>
  <c r="J15" i="26"/>
  <c r="K15" i="26" s="1"/>
  <c r="J19" i="26"/>
  <c r="K19" i="26" s="1"/>
  <c r="J18" i="26"/>
  <c r="K18" i="26" s="1"/>
  <c r="J17" i="26"/>
  <c r="K17" i="26" s="1"/>
  <c r="J21" i="26"/>
  <c r="K21" i="26" s="1"/>
  <c r="J25" i="26"/>
  <c r="K25" i="26" s="1"/>
  <c r="J24" i="26"/>
  <c r="K24" i="26" s="1"/>
  <c r="E15" i="86"/>
  <c r="E16" i="86" s="1"/>
  <c r="E18" i="86" s="1"/>
  <c r="J22" i="26"/>
  <c r="K22" i="26" s="1"/>
  <c r="J14" i="26"/>
  <c r="K14" i="26" s="1"/>
  <c r="E7" i="91"/>
  <c r="E8" i="91" s="1"/>
  <c r="E14" i="1" s="1"/>
  <c r="J23" i="26"/>
  <c r="K23" i="26" s="1"/>
  <c r="J13" i="26"/>
  <c r="K13" i="26" s="1"/>
  <c r="J12" i="26"/>
  <c r="K12" i="26" s="1"/>
  <c r="E24" i="86"/>
  <c r="E25" i="86" s="1"/>
  <c r="J20" i="26"/>
  <c r="K20" i="26" s="1"/>
  <c r="O43" i="97"/>
  <c r="J22" i="65" l="1"/>
  <c r="K26" i="26"/>
  <c r="E12" i="1" s="1"/>
  <c r="E27" i="86"/>
  <c r="E13" i="1" s="1"/>
  <c r="K22" i="65" l="1"/>
  <c r="L22" i="65" s="1"/>
  <c r="E16" i="1"/>
  <c r="E17" i="1" s="1"/>
  <c r="E18" i="1" s="1"/>
  <c r="E19" i="1" s="1"/>
  <c r="E26" i="65" s="1"/>
  <c r="E25" i="65" l="1"/>
  <c r="H25" i="65" s="1"/>
  <c r="E27" i="65"/>
  <c r="H27" i="65" s="1"/>
  <c r="E29" i="65"/>
  <c r="H29" i="65" s="1"/>
  <c r="E30" i="65"/>
  <c r="H30" i="65" s="1"/>
  <c r="E28" i="65"/>
  <c r="H28" i="65" s="1"/>
  <c r="J23" i="65"/>
  <c r="G7" i="65"/>
  <c r="K23" i="65" l="1"/>
  <c r="L23" i="65" s="1"/>
  <c r="J24" i="65" l="1"/>
  <c r="K24" i="65" l="1"/>
  <c r="L24" i="65" s="1"/>
  <c r="J25" i="65" l="1"/>
  <c r="K25" i="65" l="1"/>
  <c r="L25" i="65" s="1"/>
  <c r="J26" i="65" l="1"/>
  <c r="K26" i="65" l="1"/>
  <c r="L26" i="65" s="1"/>
  <c r="J27" i="65" l="1"/>
  <c r="K27" i="65" s="1"/>
  <c r="L27" i="65" l="1"/>
  <c r="J28" i="65" l="1"/>
  <c r="K28" i="65" l="1"/>
  <c r="L28" i="65" s="1"/>
  <c r="J29" i="65" l="1"/>
  <c r="K29" i="65" l="1"/>
  <c r="L29" i="65" s="1"/>
  <c r="J30" i="65" l="1"/>
  <c r="K30" i="65" s="1"/>
  <c r="L30" i="65" l="1"/>
  <c r="G37" i="65" s="1"/>
  <c r="G39" i="65" s="1"/>
  <c r="E20" i="1" s="1"/>
  <c r="E22" i="1" l="1"/>
  <c r="E24" i="1" s="1"/>
</calcChain>
</file>

<file path=xl/sharedStrings.xml><?xml version="1.0" encoding="utf-8"?>
<sst xmlns="http://schemas.openxmlformats.org/spreadsheetml/2006/main" count="543" uniqueCount="351">
  <si>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</si>
  <si>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</si>
  <si>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</si>
  <si>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</si>
  <si>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</si>
  <si>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</si>
  <si>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</si>
  <si>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</si>
  <si>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</si>
  <si>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</si>
  <si>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</si>
  <si>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</si>
  <si>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</si>
  <si>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</si>
  <si>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</si>
  <si>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</si>
  <si>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</si>
  <si>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</si>
  <si>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</si>
  <si>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</si>
  <si>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</si>
  <si>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</si>
  <si>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</si>
  <si>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</si>
  <si>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</si>
  <si>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</si>
  <si>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</si>
  <si>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</si>
  <si>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</si>
  <si>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</si>
  <si>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</si>
  <si>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</si>
  <si>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</si>
  <si>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</si>
  <si>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</si>
  <si>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</si>
  <si>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</si>
  <si>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</si>
  <si>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</si>
  <si>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</si>
  <si>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</si>
  <si>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</si>
  <si>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</si>
  <si>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</si>
  <si>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</si>
  <si>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</si>
  <si>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</si>
  <si>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</si>
  <si>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</si>
  <si>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</si>
  <si>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</si>
  <si>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</si>
  <si>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</si>
  <si>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</si>
  <si>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</si>
  <si>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</si>
  <si>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</si>
  <si>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</si>
  <si>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</si>
  <si>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</si>
  <si>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</si>
  <si>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</si>
  <si>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</si>
  <si>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</si>
  <si>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</si>
  <si>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</si>
  <si>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</si>
  <si>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</si>
  <si>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</si>
  <si>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</si>
  <si>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</si>
  <si>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</si>
  <si>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</si>
  <si>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</si>
  <si>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</si>
  <si>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</si>
  <si>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</si>
  <si>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</si>
  <si>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</si>
  <si>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</si>
  <si>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</si>
  <si>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</si>
  <si>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</si>
  <si>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</si>
  <si>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</si>
  <si>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</si>
  <si>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</si>
  <si>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</si>
  <si>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</si>
  <si>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</si>
  <si>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</si>
  <si>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</si>
  <si>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</si>
  <si>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</si>
  <si>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</si>
  <si>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</si>
  <si>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</si>
  <si>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</si>
  <si>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</si>
  <si>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</si>
  <si>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</si>
  <si>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</si>
  <si>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</si>
  <si>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</si>
  <si>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</si>
  <si>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</si>
  <si>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</si>
  <si>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</si>
  <si>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</si>
  <si>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</si>
  <si>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</si>
  <si>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</si>
  <si>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</si>
  <si>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</si>
  <si>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</si>
  <si>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</si>
  <si>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</si>
  <si>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</si>
  <si>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</si>
  <si>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</si>
  <si>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</si>
  <si>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</si>
  <si>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</si>
  <si>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</si>
  <si>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</si>
  <si>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</si>
  <si>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</si>
  <si>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</si>
  <si>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</si>
  <si>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</si>
  <si>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</si>
  <si>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</si>
  <si>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</si>
  <si>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</si>
  <si>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</si>
  <si>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</si>
  <si>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</si>
  <si>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</si>
  <si>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</si>
  <si>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</si>
  <si>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</si>
  <si>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</si>
  <si>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</si>
  <si>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</si>
  <si>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</si>
  <si>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</si>
  <si>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</si>
  <si>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</si>
  <si>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</si>
  <si>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</si>
  <si>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</si>
  <si>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</si>
  <si>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</si>
  <si>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</si>
  <si>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</si>
  <si>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</si>
  <si>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</si>
  <si>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</si>
  <si>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</si>
  <si>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</si>
  <si>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</si>
  <si>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</si>
  <si>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</si>
  <si>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</si>
  <si>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</si>
  <si>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</si>
  <si>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</si>
  <si>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</si>
  <si>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</si>
  <si>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</si>
  <si>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</si>
  <si>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</si>
  <si>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</si>
  <si>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</si>
  <si>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</si>
  <si>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</si>
  <si>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</si>
  <si>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</si>
  <si>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</si>
  <si>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</si>
  <si>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</si>
  <si>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</si>
  <si>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</si>
  <si>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</si>
  <si>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</si>
  <si>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</si>
  <si>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</si>
  <si>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</si>
  <si>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</si>
  <si>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</si>
  <si>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</si>
  <si>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</si>
  <si>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</si>
  <si>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</si>
  <si>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</si>
  <si>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</si>
  <si>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</si>
  <si>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</si>
  <si>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</si>
  <si>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</si>
  <si>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</si>
  <si>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</si>
  <si>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</si>
  <si>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</si>
  <si>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</si>
  <si>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</si>
  <si>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</si>
  <si>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</si>
  <si>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</si>
  <si>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</si>
  <si>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</si>
  <si>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</si>
  <si>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</si>
  <si>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</si>
  <si>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</si>
  <si>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</si>
  <si>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</si>
  <si>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</si>
  <si>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ER19-1553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</si>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</sst>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  <numFmt numFmtId="199" formatCode="_(* #,##0.0000_);_(* \(#,##0.0000\);_(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9" fillId="0" borderId="0" applyFont="0" applyFill="0" applyBorder="0" applyAlignment="0" applyProtection="0"/>
  </cellStyleXfs>
  <cellXfs count="265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Fill="1" applyBorder="1" applyAlignment="1">
      <alignment horizontal="center"/>
    </xf>
    <xf numFmtId="0" fontId="23" fillId="0" borderId="0" xfId="0" applyFont="1" applyFill="1"/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Fill="1"/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43" fillId="0" borderId="0" xfId="0" applyFont="1" applyFill="1"/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Fill="1" applyAlignment="1">
      <alignment horizontal="left"/>
    </xf>
    <xf numFmtId="0" fontId="41" fillId="0" borderId="0" xfId="25" applyFont="1" applyFill="1" applyAlignment="1">
      <alignment horizontal="center"/>
    </xf>
    <xf numFmtId="0" fontId="41" fillId="0" borderId="0" xfId="25" applyNumberFormat="1" applyFont="1" applyFill="1" applyAlignment="1">
      <alignment horizontal="center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 applyAlignment="1"/>
    <xf numFmtId="0" fontId="23" fillId="0" borderId="0" xfId="25" applyFont="1" applyFill="1" applyAlignment="1">
      <alignment horizontal="center"/>
    </xf>
    <xf numFmtId="0" fontId="26" fillId="0" borderId="0" xfId="0" quotePrefix="1" applyFont="1" applyAlignment="1">
      <alignment horizontal="center" vertical="top"/>
    </xf>
    <xf numFmtId="0" fontId="26" fillId="0" borderId="0" xfId="0" quotePrefix="1" applyNumberFormat="1" applyFont="1" applyAlignment="1">
      <alignment horizontal="center" vertical="top"/>
    </xf>
    <xf numFmtId="0" fontId="26" fillId="0" borderId="0" xfId="25" applyFont="1" applyBorder="1" applyAlignment="1"/>
    <xf numFmtId="0" fontId="26" fillId="0" borderId="0" xfId="25" applyFont="1" applyFill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inden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 indent="1"/>
    </xf>
    <xf numFmtId="164" fontId="22" fillId="0" borderId="0" xfId="0" applyNumberFormat="1" applyFont="1"/>
    <xf numFmtId="0" fontId="22" fillId="0" borderId="0" xfId="25" applyFont="1" applyFill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Border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quotePrefix="1" applyFont="1" applyFill="1"/>
    <xf numFmtId="0" fontId="22" fillId="0" borderId="0" xfId="93" applyFont="1" applyFill="1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NumberFormat="1" applyFont="1" applyFill="1"/>
    <xf numFmtId="0" fontId="22" fillId="0" borderId="0" xfId="25" applyFont="1" applyFill="1" applyAlignment="1">
      <alignment horizontal="left" indent="1"/>
    </xf>
    <xf numFmtId="0" fontId="26" fillId="0" borderId="0" xfId="0" applyFont="1" applyFill="1"/>
    <xf numFmtId="0" fontId="22" fillId="0" borderId="0" xfId="0" applyFont="1" applyFill="1" applyAlignment="1">
      <alignment horizontal="left" indent="2"/>
    </xf>
    <xf numFmtId="0" fontId="22" fillId="0" borderId="0" xfId="25" applyFont="1" applyFill="1" applyAlignment="1">
      <alignment horizontal="right"/>
    </xf>
    <xf numFmtId="0" fontId="22" fillId="0" borderId="0" xfId="93" applyFont="1" applyFill="1" applyAlignment="1">
      <alignment horizontal="left"/>
    </xf>
    <xf numFmtId="0" fontId="0" fillId="0" borderId="0" xfId="0"/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/>
    <xf numFmtId="0" fontId="22" fillId="0" borderId="0" xfId="93" applyNumberFormat="1" applyFont="1" applyFill="1" applyBorder="1" applyAlignment="1">
      <alignment horizontal="left" indent="1"/>
    </xf>
    <xf numFmtId="164" fontId="43" fillId="35" borderId="0" xfId="0" applyNumberFormat="1" applyFont="1" applyFill="1" applyBorder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0" fontId="23" fillId="0" borderId="0" xfId="0" applyFont="1" applyFill="1" applyAlignment="1">
      <alignment horizontal="right"/>
    </xf>
    <xf numFmtId="10" fontId="22" fillId="34" borderId="0" xfId="0" applyNumberFormat="1" applyFont="1" applyFill="1"/>
    <xf numFmtId="0" fontId="136" fillId="0" borderId="0" xfId="0" applyFont="1" applyFill="1" applyAlignment="1"/>
    <xf numFmtId="164" fontId="2" fillId="35" borderId="0" xfId="53885" applyNumberFormat="1" applyFill="1"/>
    <xf numFmtId="0" fontId="26" fillId="0" borderId="0" xfId="25" applyFont="1"/>
    <xf numFmtId="0" fontId="26" fillId="0" borderId="0" xfId="25" applyFont="1" applyAlignment="1">
      <alignment horizontal="center"/>
    </xf>
    <xf numFmtId="0" fontId="22" fillId="35" borderId="0" xfId="25" applyFont="1" applyFill="1" applyAlignment="1">
      <alignment horizontal="left" indent="2"/>
    </xf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164" fontId="22" fillId="0" borderId="0" xfId="25" applyNumberFormat="1" applyFont="1" applyFill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0" fontId="22" fillId="0" borderId="0" xfId="25" applyFont="1" applyFill="1" applyAlignment="1">
      <alignment horizontal="left"/>
    </xf>
    <xf numFmtId="164" fontId="22" fillId="0" borderId="0" xfId="0" applyNumberFormat="1" applyFont="1" applyAlignment="1">
      <alignment horizontal="left" indent="2"/>
    </xf>
    <xf numFmtId="0" fontId="22" fillId="0" borderId="0" xfId="93" applyAlignment="1">
      <alignment horizontal="left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22" fillId="0" borderId="0" xfId="25" applyFont="1" applyAlignment="1">
      <alignment horizontal="left"/>
    </xf>
    <xf numFmtId="193" fontId="0" fillId="0" borderId="0" xfId="0" applyNumberFormat="1"/>
    <xf numFmtId="164" fontId="22" fillId="0" borderId="0" xfId="0" applyNumberFormat="1" applyFont="1" applyFill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0" fontId="141" fillId="0" borderId="0" xfId="0" applyFont="1" applyFill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 applyFill="1"/>
    <xf numFmtId="195" fontId="0" fillId="0" borderId="0" xfId="0" applyNumberFormat="1"/>
    <xf numFmtId="0" fontId="143" fillId="0" borderId="0" xfId="0" applyFont="1" applyFill="1"/>
    <xf numFmtId="1" fontId="22" fillId="35" borderId="0" xfId="25" applyNumberFormat="1" applyFont="1" applyFill="1" applyBorder="1" applyAlignment="1">
      <alignment horizontal="center"/>
    </xf>
    <xf numFmtId="0" fontId="22" fillId="0" borderId="0" xfId="25" applyNumberFormat="1" applyFont="1" applyFill="1" applyBorder="1" applyAlignment="1">
      <alignment horizontal="left"/>
    </xf>
    <xf numFmtId="164" fontId="22" fillId="35" borderId="0" xfId="0" applyNumberFormat="1" applyFont="1" applyFill="1" applyAlignment="1">
      <alignment horizontal="right"/>
    </xf>
    <xf numFmtId="164" fontId="22" fillId="35" borderId="0" xfId="0" applyNumberFormat="1" applyFont="1" applyFill="1"/>
    <xf numFmtId="165" fontId="22" fillId="0" borderId="0" xfId="0" applyNumberFormat="1" applyFont="1" applyFill="1"/>
    <xf numFmtId="165" fontId="22" fillId="35" borderId="0" xfId="0" applyNumberFormat="1" applyFont="1" applyFill="1"/>
    <xf numFmtId="0" fontId="22" fillId="0" borderId="0" xfId="0" applyFont="1" applyFill="1" applyAlignment="1">
      <alignment horizontal="left"/>
    </xf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 applyFill="1"/>
    <xf numFmtId="0" fontId="23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>
      <alignment horizontal="center"/>
    </xf>
    <xf numFmtId="0" fontId="44" fillId="0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93" fontId="22" fillId="0" borderId="0" xfId="0" applyNumberFormat="1" applyFont="1" applyFill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8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 applyFill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0" fillId="35" borderId="0" xfId="25" quotePrefix="1" applyFont="1" applyFill="1" applyAlignment="1">
      <alignment horizontal="left"/>
    </xf>
    <xf numFmtId="0" fontId="26" fillId="0" borderId="0" xfId="25" applyFont="1" applyFill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 applyFill="1"/>
    <xf numFmtId="0" fontId="136" fillId="0" borderId="0" xfId="0" applyFont="1" applyFill="1" applyAlignment="1">
      <alignment horizontal="left"/>
    </xf>
    <xf numFmtId="193" fontId="147" fillId="0" borderId="0" xfId="53889" applyNumberFormat="1" applyFont="1" applyFill="1" applyBorder="1" applyAlignment="1">
      <alignment horizontal="right" indent="3"/>
    </xf>
    <xf numFmtId="0" fontId="141" fillId="0" borderId="0" xfId="0" applyFont="1" applyFill="1" applyBorder="1"/>
    <xf numFmtId="0" fontId="0" fillId="0" borderId="0" xfId="0" applyFill="1" applyBorder="1"/>
    <xf numFmtId="0" fontId="141" fillId="0" borderId="0" xfId="0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46" fillId="0" borderId="0" xfId="0" applyFont="1" applyFill="1" applyBorder="1"/>
    <xf numFmtId="0" fontId="142" fillId="0" borderId="0" xfId="0" applyFont="1" applyFill="1" applyBorder="1" applyAlignment="1">
      <alignment horizontal="center" vertical="top" wrapText="1"/>
    </xf>
    <xf numFmtId="0" fontId="141" fillId="0" borderId="0" xfId="0" applyFont="1" applyFill="1" applyBorder="1" applyAlignment="1">
      <alignment horizontal="left" indent="1"/>
    </xf>
    <xf numFmtId="193" fontId="141" fillId="0" borderId="0" xfId="0" applyNumberFormat="1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 vertical="center"/>
    </xf>
    <xf numFmtId="10" fontId="141" fillId="0" borderId="0" xfId="0" applyNumberFormat="1" applyFont="1" applyFill="1" applyBorder="1" applyAlignment="1">
      <alignment horizontal="left" vertical="center" indent="1"/>
    </xf>
    <xf numFmtId="10" fontId="141" fillId="0" borderId="0" xfId="0" applyNumberFormat="1" applyFont="1" applyFill="1" applyBorder="1" applyAlignment="1">
      <alignment horizontal="right" vertical="center" indent="3"/>
    </xf>
    <xf numFmtId="193" fontId="141" fillId="0" borderId="0" xfId="0" applyNumberFormat="1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 indent="1"/>
    </xf>
    <xf numFmtId="10" fontId="142" fillId="0" borderId="0" xfId="0" applyNumberFormat="1" applyFont="1" applyFill="1" applyBorder="1" applyAlignment="1">
      <alignment horizontal="right" vertical="center" indent="3"/>
    </xf>
    <xf numFmtId="193" fontId="142" fillId="0" borderId="0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vertical="center"/>
    </xf>
    <xf numFmtId="0" fontId="141" fillId="0" borderId="0" xfId="0" applyFont="1" applyAlignment="1">
      <alignment horizont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Fill="1" applyAlignment="1">
      <alignment horizontal="right"/>
    </xf>
    <xf numFmtId="0" fontId="26" fillId="0" borderId="0" xfId="25" applyFont="1" applyAlignment="1"/>
    <xf numFmtId="0" fontId="22" fillId="0" borderId="0" xfId="25" applyFont="1" applyFill="1" applyAlignment="1"/>
    <xf numFmtId="0" fontId="22" fillId="35" borderId="0" xfId="25" applyFont="1" applyFill="1" applyAlignment="1"/>
    <xf numFmtId="0" fontId="22" fillId="0" borderId="0" xfId="0" quotePrefix="1" applyFont="1" applyAlignment="1">
      <alignment horizontal="left" indent="1"/>
    </xf>
    <xf numFmtId="0" fontId="43" fillId="0" borderId="0" xfId="0" applyFont="1" applyFill="1" applyAlignment="1"/>
    <xf numFmtId="0" fontId="0" fillId="0" borderId="0" xfId="25" applyFont="1" applyFill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0" fontId="22" fillId="0" borderId="0" xfId="0" applyFont="1" applyFill="1" applyAlignment="1">
      <alignment horizontal="right"/>
    </xf>
    <xf numFmtId="10" fontId="0" fillId="0" borderId="0" xfId="53889" applyNumberFormat="1" applyFont="1" applyFill="1"/>
    <xf numFmtId="0" fontId="0" fillId="0" borderId="0" xfId="93" applyNumberFormat="1" applyFont="1" applyFill="1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quotePrefix="1" applyFont="1" applyFill="1" applyAlignment="1">
      <alignment horizontal="left" indent="2"/>
    </xf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1" fillId="0" borderId="0" xfId="0" applyFont="1" applyAlignment="1">
      <alignment horizontal="left" indent="1"/>
    </xf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26" fillId="0" borderId="0" xfId="0" applyFont="1" applyFill="1" applyAlignment="1">
      <alignment horizontal="left"/>
    </xf>
    <xf numFmtId="0" fontId="142" fillId="0" borderId="0" xfId="0" applyFont="1"/>
    <xf numFmtId="0" fontId="138" fillId="0" borderId="0" xfId="0" applyFont="1"/>
    <xf numFmtId="164" fontId="22" fillId="0" borderId="0" xfId="0" applyNumberFormat="1" applyFont="1" applyFill="1" applyAlignment="1">
      <alignment horizontal="center"/>
    </xf>
    <xf numFmtId="0" fontId="141" fillId="35" borderId="0" xfId="0" applyFont="1" applyFill="1"/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46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0" fontId="22" fillId="35" borderId="0" xfId="25" applyFont="1" applyFill="1" applyAlignment="1">
      <alignment horizontal="center"/>
    </xf>
    <xf numFmtId="195" fontId="0" fillId="0" borderId="0" xfId="0" applyNumberFormat="1" applyBorder="1"/>
    <xf numFmtId="43" fontId="0" fillId="0" borderId="0" xfId="0" applyNumberFormat="1" applyBorder="1"/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3" fontId="22" fillId="35" borderId="0" xfId="0" applyNumberFormat="1" applyFont="1" applyFill="1"/>
    <xf numFmtId="3" fontId="150" fillId="35" borderId="0" xfId="0" applyNumberFormat="1" applyFont="1" applyFill="1"/>
    <xf numFmtId="164" fontId="150" fillId="35" borderId="0" xfId="0" applyNumberFormat="1" applyFont="1" applyFill="1"/>
    <xf numFmtId="0" fontId="141" fillId="0" borderId="0" xfId="0" applyFont="1" applyFill="1" applyAlignment="1">
      <alignment horizontal="center"/>
    </xf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22" fillId="0" borderId="0" xfId="53889" applyNumberFormat="1" applyFont="1" applyFill="1"/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0" fontId="0" fillId="0" borderId="0" xfId="0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195" fontId="0" fillId="35" borderId="0" xfId="25" applyNumberFormat="1" applyFont="1" applyFill="1"/>
    <xf numFmtId="195" fontId="0" fillId="0" borderId="0" xfId="25" applyNumberFormat="1" applyFont="1"/>
    <xf numFmtId="164" fontId="22" fillId="0" borderId="0" xfId="0" applyNumberFormat="1" applyFont="1" applyFill="1" applyBorder="1" applyAlignment="1">
      <alignment horizontal="right"/>
    </xf>
    <xf numFmtId="196" fontId="0" fillId="0" borderId="0" xfId="53889" applyNumberFormat="1" applyFont="1"/>
    <xf numFmtId="199" fontId="22" fillId="0" borderId="0" xfId="53890" applyNumberFormat="1" applyFont="1" applyFill="1"/>
    <xf numFmtId="165" fontId="22" fillId="0" borderId="0" xfId="0" applyNumberFormat="1" applyFont="1" applyAlignment="1">
      <alignment horizontal="right"/>
    </xf>
    <xf numFmtId="195" fontId="22" fillId="0" borderId="0" xfId="25" applyNumberFormat="1" applyFont="1" applyFill="1"/>
    <xf numFmtId="166" fontId="22" fillId="35" borderId="0" xfId="53890" applyNumberFormat="1" applyFont="1" applyFill="1"/>
    <xf numFmtId="197" fontId="0" fillId="35" borderId="44" xfId="0" applyNumberFormat="1" applyFill="1" applyBorder="1"/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view="pageLayout" topLeftCell="A43" zoomScale="120" zoomScaleNormal="100" zoomScalePageLayoutView="120" workbookViewId="0">
      <selection activeCell="B59" sqref="B59"/>
    </sheetView>
  </sheetViews>
  <sheetFormatPr defaultColWidth="9.453125" defaultRowHeight="12.5"/>
  <cols>
    <col min="1" max="2" width="9.453125" style="65"/>
    <col min="3" max="3" width="8.453125" style="65" customWidth="1"/>
    <col min="4" max="16384" width="9.453125" style="65"/>
  </cols>
  <sheetData>
    <row r="2" spans="1:14" ht="28">
      <c r="C2" s="258"/>
      <c r="D2" s="259"/>
      <c r="E2" s="259"/>
      <c r="F2" s="259"/>
      <c r="G2" s="259"/>
      <c r="H2" s="259"/>
    </row>
    <row r="3" spans="1:14">
      <c r="D3" s="42"/>
    </row>
    <row r="4" spans="1:14" ht="23">
      <c r="A4" s="5"/>
      <c r="B4" s="261"/>
      <c r="C4" s="261"/>
      <c r="D4" s="261"/>
      <c r="E4" s="261"/>
      <c r="F4" s="261"/>
      <c r="G4" s="261"/>
      <c r="H4" s="261"/>
      <c r="I4" s="261"/>
      <c r="J4" s="5"/>
      <c r="K4" s="5"/>
    </row>
    <row r="5" spans="1:14" ht="23">
      <c r="A5" s="5"/>
      <c r="B5" s="149"/>
      <c r="C5" s="246"/>
      <c r="D5" s="261"/>
      <c r="E5" s="262"/>
      <c r="F5" s="262"/>
      <c r="G5" s="262"/>
      <c r="H5" s="246"/>
      <c r="I5" s="246"/>
      <c r="J5" s="5"/>
      <c r="K5" s="5"/>
    </row>
    <row r="6" spans="1:14" ht="23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76"/>
      <c r="M6" s="76"/>
      <c r="N6" s="76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ht="25">
      <c r="A8" s="260" t="s">
        <v>0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</row>
    <row r="9" spans="1:14" ht="13">
      <c r="A9" s="55" t="s">
        <v>1</v>
      </c>
      <c r="B9" s="5"/>
      <c r="C9" s="5"/>
      <c r="D9" s="9"/>
      <c r="E9" s="5"/>
      <c r="F9" s="5"/>
      <c r="G9" s="5"/>
      <c r="H9" s="5"/>
      <c r="I9" s="5"/>
      <c r="J9" s="5"/>
      <c r="K9" s="5"/>
    </row>
    <row r="10" spans="1:14" ht="20">
      <c r="A10" s="263" t="s">
        <v>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&amp;R2023 Draft Annual Update
West of Devers Formula Rate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94"/>
  <sheetViews>
    <sheetView view="pageLayout" topLeftCell="C44" zoomScale="80" zoomScaleNormal="80" zoomScalePageLayoutView="80" workbookViewId="0">
      <selection activeCell="F53" sqref="F53"/>
    </sheetView>
  </sheetViews>
  <sheetFormatPr defaultRowHeight="12.5"/>
  <cols>
    <col min="1" max="1" width="4.54296875" customWidth="1"/>
    <col min="2" max="2" width="2.7265625" style="65" customWidth="1"/>
    <col min="3" max="3" width="3.7265625" customWidth="1"/>
    <col min="4" max="4" width="53.26953125" customWidth="1"/>
    <col min="5" max="5" width="2.453125" customWidth="1"/>
    <col min="6" max="6" width="52" customWidth="1"/>
    <col min="7" max="7" width="2.54296875" customWidth="1"/>
    <col min="8" max="8" width="21" customWidth="1"/>
    <col min="9" max="9" width="29.1796875" style="193" customWidth="1"/>
    <col min="10" max="10" width="25.7265625" customWidth="1"/>
    <col min="12" max="12" width="34.453125" bestFit="1" customWidth="1"/>
    <col min="13" max="13" width="12.54296875" customWidth="1"/>
  </cols>
  <sheetData>
    <row r="1" spans="1:13" ht="13">
      <c r="A1" s="1" t="s">
        <v>285</v>
      </c>
      <c r="B1" s="1"/>
      <c r="C1" s="1"/>
      <c r="D1" s="65"/>
      <c r="E1" s="65"/>
      <c r="F1" s="5"/>
      <c r="G1" s="65"/>
      <c r="H1" s="65"/>
      <c r="I1" s="202"/>
      <c r="J1" s="65"/>
      <c r="K1" s="65"/>
      <c r="L1" s="65"/>
      <c r="M1" s="65"/>
    </row>
    <row r="2" spans="1:13" ht="13">
      <c r="A2" s="248"/>
      <c r="B2" s="248"/>
      <c r="C2" s="100"/>
      <c r="D2" s="198"/>
      <c r="E2" s="176"/>
      <c r="F2" s="176"/>
      <c r="G2" s="100"/>
      <c r="H2" s="187"/>
      <c r="I2" s="202"/>
      <c r="J2" s="65"/>
      <c r="K2" s="65"/>
      <c r="L2" s="104"/>
      <c r="M2" s="101"/>
    </row>
    <row r="3" spans="1:13" ht="13">
      <c r="A3" s="10" t="s">
        <v>11</v>
      </c>
      <c r="B3" s="10"/>
      <c r="C3" s="100"/>
      <c r="D3" s="199"/>
      <c r="E3" s="100"/>
      <c r="F3" s="188"/>
      <c r="G3" s="100"/>
      <c r="H3" s="188"/>
      <c r="I3" s="2"/>
      <c r="J3" s="65"/>
      <c r="K3" s="65"/>
      <c r="L3" s="101"/>
      <c r="M3" s="101"/>
    </row>
    <row r="4" spans="1:13" s="65" customFormat="1" ht="13">
      <c r="A4" s="248">
        <v>1</v>
      </c>
      <c r="B4" s="248"/>
      <c r="C4" s="9" t="s">
        <v>286</v>
      </c>
      <c r="F4" s="43"/>
      <c r="I4" s="200"/>
    </row>
    <row r="5" spans="1:13" s="65" customFormat="1" ht="13">
      <c r="A5" s="248">
        <f t="shared" ref="A5:A72" si="0">A4+1</f>
        <v>2</v>
      </c>
      <c r="B5" s="248"/>
      <c r="C5" s="9"/>
      <c r="F5" s="43"/>
      <c r="I5" s="131"/>
    </row>
    <row r="6" spans="1:13" s="65" customFormat="1" ht="13">
      <c r="A6" s="248">
        <f t="shared" si="0"/>
        <v>3</v>
      </c>
      <c r="B6" s="248"/>
      <c r="C6" s="9"/>
      <c r="F6" s="248" t="s">
        <v>287</v>
      </c>
      <c r="H6" s="3" t="s">
        <v>119</v>
      </c>
      <c r="I6" s="131"/>
    </row>
    <row r="7" spans="1:13" s="65" customFormat="1" ht="13">
      <c r="A7" s="248">
        <f t="shared" si="0"/>
        <v>4</v>
      </c>
      <c r="B7" s="248"/>
      <c r="D7" s="61" t="s">
        <v>253</v>
      </c>
      <c r="F7" s="2" t="s">
        <v>288</v>
      </c>
      <c r="H7" s="2" t="s">
        <v>289</v>
      </c>
      <c r="I7" s="17" t="s">
        <v>15</v>
      </c>
    </row>
    <row r="8" spans="1:13" s="65" customFormat="1" ht="13">
      <c r="A8" s="248">
        <f t="shared" si="0"/>
        <v>5</v>
      </c>
      <c r="B8" s="248"/>
      <c r="D8" s="43" t="s">
        <v>290</v>
      </c>
      <c r="F8" s="43" t="s">
        <v>291</v>
      </c>
      <c r="H8" s="110">
        <v>58731185898</v>
      </c>
      <c r="I8" s="42"/>
      <c r="K8" s="42"/>
    </row>
    <row r="9" spans="1:13" s="65" customFormat="1" ht="13">
      <c r="A9" s="248">
        <f t="shared" si="0"/>
        <v>6</v>
      </c>
      <c r="B9" s="248"/>
      <c r="D9" s="43" t="s">
        <v>292</v>
      </c>
      <c r="F9" s="54" t="s">
        <v>293</v>
      </c>
      <c r="H9" s="110">
        <v>400000000</v>
      </c>
      <c r="I9" s="131" t="s">
        <v>294</v>
      </c>
    </row>
    <row r="10" spans="1:13" s="65" customFormat="1" ht="13">
      <c r="A10" s="248">
        <f t="shared" si="0"/>
        <v>7</v>
      </c>
      <c r="B10" s="248"/>
      <c r="D10" s="43" t="s">
        <v>295</v>
      </c>
      <c r="F10" s="5" t="str">
        <f>"Line "&amp;A8&amp;" + Line "&amp;A9&amp;""</f>
        <v>Line 5 + Line 6</v>
      </c>
      <c r="H10" s="96">
        <f>SUM(H8:H9)</f>
        <v>59131185898</v>
      </c>
      <c r="I10" s="131"/>
    </row>
    <row r="11" spans="1:13" s="65" customFormat="1" ht="13">
      <c r="A11" s="248">
        <f t="shared" si="0"/>
        <v>8</v>
      </c>
      <c r="B11" s="248"/>
      <c r="D11" s="43" t="s">
        <v>296</v>
      </c>
      <c r="F11" s="5" t="str">
        <f>"Line "&amp;A9&amp;""</f>
        <v>Line 6</v>
      </c>
      <c r="H11" s="96">
        <f>H9</f>
        <v>400000000</v>
      </c>
      <c r="I11" s="131"/>
    </row>
    <row r="12" spans="1:13" s="65" customFormat="1" ht="13">
      <c r="A12" s="248">
        <f t="shared" si="0"/>
        <v>9</v>
      </c>
      <c r="B12" s="248"/>
      <c r="D12" s="43" t="s">
        <v>297</v>
      </c>
      <c r="F12" s="5" t="str">
        <f>"Line "&amp;A11&amp;" / Line "&amp;A10&amp;""</f>
        <v>Line 8 / Line 7</v>
      </c>
      <c r="H12" s="111">
        <f>H11/H10</f>
        <v>6.7646199535045899E-3</v>
      </c>
      <c r="I12" s="131" t="s">
        <v>298</v>
      </c>
      <c r="J12" s="99"/>
    </row>
    <row r="13" spans="1:13" s="65" customFormat="1" ht="13">
      <c r="A13" s="248">
        <f>A12+1</f>
        <v>10</v>
      </c>
      <c r="B13" s="248"/>
      <c r="I13" s="202"/>
    </row>
    <row r="14" spans="1:13" s="65" customFormat="1" ht="13">
      <c r="A14" s="248">
        <f t="shared" si="0"/>
        <v>11</v>
      </c>
      <c r="B14" s="248"/>
      <c r="I14" s="202"/>
    </row>
    <row r="15" spans="1:13" s="65" customFormat="1" ht="13">
      <c r="A15" s="248">
        <f>A14+1</f>
        <v>12</v>
      </c>
      <c r="B15" s="248"/>
      <c r="C15" s="9" t="s">
        <v>299</v>
      </c>
      <c r="D15" s="5"/>
      <c r="E15" s="5"/>
      <c r="F15" s="43"/>
      <c r="G15" s="5"/>
      <c r="H15" s="5"/>
      <c r="I15" s="200"/>
      <c r="J15" s="5"/>
    </row>
    <row r="16" spans="1:13" s="65" customFormat="1" ht="13">
      <c r="A16" s="248">
        <f t="shared" si="0"/>
        <v>13</v>
      </c>
      <c r="B16" s="248"/>
      <c r="C16" s="9"/>
      <c r="F16" s="43"/>
      <c r="I16" s="131"/>
    </row>
    <row r="17" spans="1:10" s="65" customFormat="1" ht="13">
      <c r="A17" s="248">
        <f t="shared" si="0"/>
        <v>14</v>
      </c>
      <c r="B17" s="248"/>
      <c r="C17" s="9"/>
      <c r="F17" s="248" t="s">
        <v>287</v>
      </c>
      <c r="H17" s="3" t="s">
        <v>119</v>
      </c>
      <c r="I17" s="131"/>
    </row>
    <row r="18" spans="1:10" s="65" customFormat="1" ht="13">
      <c r="A18" s="248">
        <f t="shared" si="0"/>
        <v>15</v>
      </c>
      <c r="B18" s="248"/>
      <c r="D18" s="61" t="s">
        <v>253</v>
      </c>
      <c r="F18" s="2" t="s">
        <v>288</v>
      </c>
      <c r="H18" s="2" t="s">
        <v>289</v>
      </c>
      <c r="I18" s="17" t="s">
        <v>15</v>
      </c>
    </row>
    <row r="19" spans="1:10" s="65" customFormat="1" ht="13">
      <c r="A19" s="248">
        <f t="shared" si="0"/>
        <v>16</v>
      </c>
      <c r="B19" s="248"/>
      <c r="D19" s="43" t="s">
        <v>300</v>
      </c>
      <c r="F19" s="43" t="s">
        <v>301</v>
      </c>
      <c r="H19" s="110">
        <v>10351699667.555773</v>
      </c>
      <c r="I19" s="42"/>
    </row>
    <row r="20" spans="1:10" s="65" customFormat="1" ht="13">
      <c r="A20" s="248">
        <f t="shared" si="0"/>
        <v>17</v>
      </c>
      <c r="B20" s="248"/>
      <c r="D20" s="43" t="s">
        <v>302</v>
      </c>
      <c r="F20" s="43" t="s">
        <v>303</v>
      </c>
      <c r="H20" s="110">
        <v>5109953333.8658752</v>
      </c>
      <c r="I20" s="131"/>
      <c r="J20" s="186"/>
    </row>
    <row r="21" spans="1:10" s="65" customFormat="1" ht="13">
      <c r="A21" s="248">
        <f t="shared" si="0"/>
        <v>18</v>
      </c>
      <c r="B21" s="248"/>
      <c r="D21" s="43" t="s">
        <v>304</v>
      </c>
      <c r="F21" s="43" t="s">
        <v>305</v>
      </c>
      <c r="H21" s="242">
        <v>215308595.58726314</v>
      </c>
      <c r="I21" s="230"/>
    </row>
    <row r="22" spans="1:10" s="65" customFormat="1" ht="13">
      <c r="A22" s="248">
        <f t="shared" si="0"/>
        <v>19</v>
      </c>
      <c r="B22" s="248"/>
      <c r="D22" s="43" t="s">
        <v>306</v>
      </c>
      <c r="F22" s="43" t="s">
        <v>307</v>
      </c>
      <c r="H22" s="243">
        <v>58752899.030000001</v>
      </c>
      <c r="I22" s="230"/>
    </row>
    <row r="23" spans="1:10" s="65" customFormat="1" ht="13">
      <c r="A23" s="248">
        <f t="shared" si="0"/>
        <v>20</v>
      </c>
      <c r="B23" s="248"/>
      <c r="D23" s="43" t="s">
        <v>308</v>
      </c>
      <c r="F23" s="5" t="str">
        <f>"Line "&amp;A20&amp;" - Line "&amp;A21&amp;" - Line "&amp;A22</f>
        <v>Line 17 - Line 18 - Line 19</v>
      </c>
      <c r="H23" s="244">
        <f>H20-H21-H22</f>
        <v>4835891839.2486124</v>
      </c>
      <c r="I23" s="131"/>
    </row>
    <row r="24" spans="1:10" s="65" customFormat="1" ht="13">
      <c r="A24" s="248">
        <f t="shared" si="0"/>
        <v>21</v>
      </c>
      <c r="B24" s="248"/>
      <c r="D24" s="43" t="s">
        <v>309</v>
      </c>
      <c r="F24" s="5" t="str">
        <f>"Line "&amp;A23&amp;" / Line "&amp;A19&amp;""</f>
        <v>Line 20 / Line 16</v>
      </c>
      <c r="H24" s="125">
        <f>H23/H19</f>
        <v>0.46715921003825411</v>
      </c>
      <c r="I24" s="131" t="s">
        <v>310</v>
      </c>
    </row>
    <row r="25" spans="1:10" s="65" customFormat="1" ht="13">
      <c r="A25" s="248">
        <f t="shared" si="0"/>
        <v>22</v>
      </c>
      <c r="B25" s="248"/>
      <c r="I25" s="202"/>
    </row>
    <row r="26" spans="1:10" s="65" customFormat="1" ht="13">
      <c r="A26" s="248">
        <f t="shared" si="0"/>
        <v>23</v>
      </c>
      <c r="B26" s="248"/>
      <c r="I26" s="202"/>
    </row>
    <row r="27" spans="1:10" s="65" customFormat="1" ht="13">
      <c r="A27" s="248">
        <f t="shared" si="0"/>
        <v>24</v>
      </c>
      <c r="B27" s="248"/>
      <c r="C27" s="9" t="s">
        <v>311</v>
      </c>
      <c r="D27" s="42"/>
      <c r="E27" s="42"/>
      <c r="F27" s="43"/>
      <c r="G27" s="42"/>
      <c r="H27" s="42"/>
      <c r="I27" s="200"/>
      <c r="J27" s="124"/>
    </row>
    <row r="28" spans="1:10" s="65" customFormat="1" ht="13">
      <c r="A28" s="248">
        <f t="shared" si="0"/>
        <v>25</v>
      </c>
      <c r="B28" s="248"/>
      <c r="C28" s="9"/>
      <c r="D28" s="42"/>
      <c r="E28" s="42"/>
      <c r="F28" s="43"/>
      <c r="G28" s="42"/>
      <c r="H28" s="42"/>
      <c r="I28" s="131"/>
    </row>
    <row r="29" spans="1:10" s="65" customFormat="1" ht="13">
      <c r="A29" s="248">
        <f t="shared" si="0"/>
        <v>26</v>
      </c>
      <c r="B29" s="248"/>
      <c r="C29" s="9"/>
      <c r="D29" s="42"/>
      <c r="E29" s="42"/>
      <c r="F29" s="248" t="s">
        <v>287</v>
      </c>
      <c r="G29" s="42"/>
      <c r="H29" s="3" t="s">
        <v>119</v>
      </c>
      <c r="I29" s="131"/>
    </row>
    <row r="30" spans="1:10" s="65" customFormat="1" ht="13">
      <c r="A30" s="248">
        <f t="shared" si="0"/>
        <v>27</v>
      </c>
      <c r="B30" s="248"/>
      <c r="C30" s="42"/>
      <c r="D30" s="61" t="s">
        <v>253</v>
      </c>
      <c r="E30" s="42"/>
      <c r="F30" s="2" t="s">
        <v>288</v>
      </c>
      <c r="G30" s="42"/>
      <c r="H30" s="2" t="s">
        <v>289</v>
      </c>
      <c r="I30" s="17" t="s">
        <v>15</v>
      </c>
    </row>
    <row r="31" spans="1:10" s="65" customFormat="1" ht="13">
      <c r="A31" s="248">
        <f t="shared" si="0"/>
        <v>28</v>
      </c>
      <c r="B31" s="248"/>
      <c r="C31" s="42"/>
      <c r="D31" s="43" t="str">
        <f>D20</f>
        <v>Total SCE ISO Transmission Plant - Lines</v>
      </c>
      <c r="E31" s="42"/>
      <c r="F31" s="43" t="str">
        <f>"Line "&amp;A20&amp;""</f>
        <v>Line 17</v>
      </c>
      <c r="G31" s="42"/>
      <c r="H31" s="96">
        <f>H20</f>
        <v>5109953333.8658752</v>
      </c>
      <c r="I31" s="42"/>
    </row>
    <row r="32" spans="1:10" s="65" customFormat="1" ht="13">
      <c r="A32" s="248">
        <f t="shared" si="0"/>
        <v>29</v>
      </c>
      <c r="B32" s="248"/>
      <c r="C32" s="42"/>
      <c r="D32" s="43" t="str">
        <f>D23</f>
        <v>Total SCE ISO Overhead Line Related Transmission</v>
      </c>
      <c r="E32" s="42"/>
      <c r="F32" s="43" t="str">
        <f>"Line "&amp;A23&amp;""</f>
        <v>Line 20</v>
      </c>
      <c r="G32" s="42"/>
      <c r="H32" s="96">
        <f>H23</f>
        <v>4835891839.2486124</v>
      </c>
      <c r="I32" s="131"/>
    </row>
    <row r="33" spans="1:17" s="65" customFormat="1" ht="13">
      <c r="A33" s="248">
        <f t="shared" si="0"/>
        <v>30</v>
      </c>
      <c r="B33" s="248"/>
      <c r="C33" s="42"/>
      <c r="D33" s="43" t="s">
        <v>297</v>
      </c>
      <c r="E33" s="42"/>
      <c r="F33" s="43" t="str">
        <f>"Line "&amp;A32&amp;" / Line "&amp;A31&amp;""</f>
        <v>Line 29 / Line 28</v>
      </c>
      <c r="G33" s="42"/>
      <c r="H33" s="111">
        <f>H32/H31</f>
        <v>0.94636712378546817</v>
      </c>
      <c r="I33" s="131" t="s">
        <v>310</v>
      </c>
    </row>
    <row r="34" spans="1:17" s="65" customFormat="1" ht="13">
      <c r="A34" s="248">
        <f t="shared" si="0"/>
        <v>31</v>
      </c>
      <c r="B34" s="248"/>
      <c r="I34" s="202"/>
    </row>
    <row r="35" spans="1:17" s="65" customFormat="1" ht="13">
      <c r="A35" s="248">
        <f t="shared" si="0"/>
        <v>32</v>
      </c>
      <c r="B35" s="248"/>
      <c r="I35" s="202"/>
    </row>
    <row r="36" spans="1:17" s="65" customFormat="1" ht="13">
      <c r="A36" s="248">
        <f t="shared" si="0"/>
        <v>33</v>
      </c>
      <c r="B36" s="248"/>
      <c r="C36" s="1" t="s">
        <v>312</v>
      </c>
      <c r="I36" s="202"/>
    </row>
    <row r="37" spans="1:17" s="65" customFormat="1" ht="13">
      <c r="A37" s="248">
        <f t="shared" si="0"/>
        <v>34</v>
      </c>
      <c r="B37" s="248"/>
      <c r="C37" s="1"/>
      <c r="I37" s="17"/>
    </row>
    <row r="38" spans="1:17" s="65" customFormat="1" ht="13">
      <c r="A38" s="248">
        <f t="shared" si="0"/>
        <v>35</v>
      </c>
      <c r="B38" s="248"/>
      <c r="C38" s="1"/>
      <c r="F38" s="248" t="s">
        <v>287</v>
      </c>
      <c r="H38" s="3" t="s">
        <v>119</v>
      </c>
      <c r="I38" s="17"/>
    </row>
    <row r="39" spans="1:17" s="65" customFormat="1" ht="13">
      <c r="A39" s="248">
        <f t="shared" si="0"/>
        <v>36</v>
      </c>
      <c r="B39" s="248"/>
      <c r="C39" s="1"/>
      <c r="D39" s="61" t="s">
        <v>253</v>
      </c>
      <c r="F39" s="2" t="s">
        <v>288</v>
      </c>
      <c r="H39" s="2" t="s">
        <v>289</v>
      </c>
      <c r="I39" s="17" t="s">
        <v>15</v>
      </c>
    </row>
    <row r="40" spans="1:17" s="65" customFormat="1" ht="13">
      <c r="A40" s="248">
        <f t="shared" si="0"/>
        <v>37</v>
      </c>
      <c r="B40" s="248"/>
      <c r="D40" s="65" t="s">
        <v>313</v>
      </c>
      <c r="F40" s="54" t="s">
        <v>293</v>
      </c>
      <c r="H40" s="110">
        <v>651950746</v>
      </c>
      <c r="I40" s="42"/>
    </row>
    <row r="41" spans="1:17" s="65" customFormat="1" ht="13">
      <c r="A41" s="248">
        <f t="shared" si="0"/>
        <v>38</v>
      </c>
      <c r="B41" s="248"/>
      <c r="D41" s="43" t="s">
        <v>292</v>
      </c>
      <c r="F41" s="65" t="str">
        <f>"Line "&amp;A9&amp;""</f>
        <v>Line 6</v>
      </c>
      <c r="H41" s="96">
        <f>H9</f>
        <v>400000000</v>
      </c>
      <c r="I41" s="202"/>
    </row>
    <row r="42" spans="1:17" ht="13">
      <c r="A42" s="248">
        <f t="shared" si="0"/>
        <v>39</v>
      </c>
      <c r="B42" s="248"/>
      <c r="C42" s="65"/>
      <c r="D42" s="43" t="s">
        <v>314</v>
      </c>
      <c r="E42" s="5"/>
      <c r="F42" s="5" t="str">
        <f>"Line "&amp;A41&amp;" / Line "&amp;A40&amp;""</f>
        <v>Line 38 / Line 37</v>
      </c>
      <c r="G42" s="65"/>
      <c r="H42" s="125">
        <f>H41/H40</f>
        <v>0.61354328138156622</v>
      </c>
      <c r="I42" s="131" t="s">
        <v>315</v>
      </c>
      <c r="J42" s="65"/>
      <c r="K42" s="65"/>
      <c r="L42" s="65"/>
      <c r="M42" s="65"/>
      <c r="N42" s="65"/>
      <c r="O42" s="65"/>
      <c r="P42" s="65"/>
      <c r="Q42" s="65"/>
    </row>
    <row r="43" spans="1:17" s="65" customFormat="1" ht="13">
      <c r="A43" s="248">
        <f t="shared" si="0"/>
        <v>40</v>
      </c>
      <c r="B43" s="248"/>
      <c r="D43" s="43"/>
      <c r="E43" s="5"/>
      <c r="F43" s="5"/>
      <c r="H43" s="111"/>
      <c r="I43" s="202"/>
    </row>
    <row r="44" spans="1:17" s="65" customFormat="1" ht="13">
      <c r="A44" s="248">
        <f t="shared" si="0"/>
        <v>41</v>
      </c>
      <c r="B44" s="248"/>
      <c r="C44" s="106" t="s">
        <v>316</v>
      </c>
      <c r="D44" s="101"/>
      <c r="E44" s="5"/>
      <c r="F44" s="5"/>
      <c r="G44" s="5"/>
      <c r="H44" s="5"/>
      <c r="I44" s="202"/>
    </row>
    <row r="45" spans="1:17" s="65" customFormat="1" ht="13">
      <c r="A45" s="248">
        <f t="shared" si="0"/>
        <v>42</v>
      </c>
      <c r="B45" s="248"/>
      <c r="C45" s="104"/>
      <c r="D45" s="101"/>
      <c r="I45" s="202"/>
    </row>
    <row r="46" spans="1:17" s="65" customFormat="1" ht="13">
      <c r="A46" s="248">
        <f t="shared" si="0"/>
        <v>43</v>
      </c>
      <c r="B46" s="248"/>
      <c r="C46" s="104"/>
      <c r="D46" s="101"/>
      <c r="F46" s="248" t="s">
        <v>287</v>
      </c>
      <c r="H46" s="3" t="s">
        <v>119</v>
      </c>
      <c r="I46" s="17"/>
    </row>
    <row r="47" spans="1:17" s="65" customFormat="1" ht="13">
      <c r="A47" s="248">
        <f t="shared" si="0"/>
        <v>44</v>
      </c>
      <c r="B47" s="248"/>
      <c r="C47" s="101"/>
      <c r="D47" s="61" t="s">
        <v>253</v>
      </c>
      <c r="F47" s="2" t="s">
        <v>288</v>
      </c>
      <c r="H47" s="2" t="s">
        <v>289</v>
      </c>
      <c r="I47" s="17" t="s">
        <v>15</v>
      </c>
    </row>
    <row r="48" spans="1:17" s="65" customFormat="1" ht="13">
      <c r="A48" s="248">
        <f t="shared" si="0"/>
        <v>45</v>
      </c>
      <c r="B48" s="248"/>
      <c r="D48" s="43" t="s">
        <v>317</v>
      </c>
      <c r="F48" s="5" t="str">
        <f>"4-Allocated OandM, Line "&amp;'4-Allocated OandM'!B43&amp;" Col 5a"</f>
        <v>4-Allocated OandM, Line 32 Col 5a</v>
      </c>
      <c r="H48" s="4">
        <f>'4-Allocated OandM'!P43</f>
        <v>18706026.253991757</v>
      </c>
      <c r="I48" s="42"/>
    </row>
    <row r="49" spans="1:17" s="65" customFormat="1" ht="13">
      <c r="A49" s="248">
        <f t="shared" si="0"/>
        <v>46</v>
      </c>
      <c r="B49" s="248"/>
      <c r="D49" s="43" t="s">
        <v>318</v>
      </c>
      <c r="F49" s="5" t="str">
        <f>"Line "&amp;A72&amp;""</f>
        <v>Line 69</v>
      </c>
      <c r="H49" s="124">
        <f>H72</f>
        <v>1.991783226380479E-2</v>
      </c>
      <c r="I49" s="202"/>
    </row>
    <row r="50" spans="1:17" s="65" customFormat="1" ht="13">
      <c r="A50" s="248">
        <f t="shared" si="0"/>
        <v>47</v>
      </c>
      <c r="B50" s="248"/>
      <c r="D50" s="43" t="s">
        <v>319</v>
      </c>
      <c r="F50" s="5" t="str">
        <f>"Line "&amp;A48&amp;" * Line "&amp;A49&amp;""</f>
        <v>Line 45 * Line 46</v>
      </c>
      <c r="H50" s="4">
        <f>H48*H49</f>
        <v>372583.49324933649</v>
      </c>
      <c r="I50" s="202"/>
    </row>
    <row r="51" spans="1:17" s="65" customFormat="1" ht="13">
      <c r="A51" s="248">
        <f t="shared" si="0"/>
        <v>48</v>
      </c>
      <c r="B51" s="248"/>
      <c r="D51" s="42" t="s">
        <v>320</v>
      </c>
      <c r="F51" s="45" t="s">
        <v>321</v>
      </c>
      <c r="H51" s="67">
        <v>589124264.01808751</v>
      </c>
      <c r="I51" s="202"/>
    </row>
    <row r="52" spans="1:17" s="65" customFormat="1" ht="13">
      <c r="A52" s="248">
        <f t="shared" si="0"/>
        <v>49</v>
      </c>
      <c r="B52" s="248"/>
      <c r="D52" s="43" t="s">
        <v>265</v>
      </c>
      <c r="F52" s="5" t="str">
        <f>"Line "&amp;A50&amp;" / Line "&amp;A51&amp;""</f>
        <v>Line 47 / Line 48</v>
      </c>
      <c r="H52" s="252">
        <f>H50/H51</f>
        <v>6.3243617010128321E-4</v>
      </c>
      <c r="I52" s="202" t="s">
        <v>322</v>
      </c>
      <c r="J52" s="123"/>
    </row>
    <row r="53" spans="1:17" s="65" customFormat="1" ht="13">
      <c r="A53" s="248">
        <f t="shared" si="0"/>
        <v>50</v>
      </c>
      <c r="B53" s="248"/>
      <c r="D53" s="43"/>
      <c r="E53" s="5"/>
      <c r="F53" s="5"/>
      <c r="H53" s="111"/>
      <c r="I53" s="202"/>
    </row>
    <row r="54" spans="1:17" s="65" customFormat="1" ht="13">
      <c r="A54" s="248">
        <f t="shared" si="0"/>
        <v>51</v>
      </c>
      <c r="B54" s="248"/>
      <c r="D54" s="43"/>
      <c r="E54" s="5"/>
      <c r="F54" s="5"/>
      <c r="H54" s="111"/>
      <c r="I54" s="202"/>
      <c r="L54" s="101"/>
      <c r="M54" s="102"/>
    </row>
    <row r="55" spans="1:17" s="65" customFormat="1" ht="13">
      <c r="A55" s="248">
        <f t="shared" si="0"/>
        <v>52</v>
      </c>
      <c r="B55" s="248"/>
      <c r="C55" s="1" t="s">
        <v>323</v>
      </c>
      <c r="D55" s="43"/>
      <c r="E55" s="5"/>
      <c r="F55" s="5"/>
      <c r="H55" s="111"/>
      <c r="I55" s="202"/>
    </row>
    <row r="56" spans="1:17" s="65" customFormat="1" ht="13">
      <c r="A56" s="248">
        <f t="shared" si="0"/>
        <v>53</v>
      </c>
      <c r="B56" s="248"/>
      <c r="D56" s="43"/>
      <c r="E56" s="5"/>
      <c r="F56" s="5"/>
      <c r="H56" s="111"/>
      <c r="I56" s="202"/>
    </row>
    <row r="57" spans="1:17" s="65" customFormat="1" ht="13">
      <c r="A57" s="248">
        <f t="shared" si="0"/>
        <v>54</v>
      </c>
      <c r="B57" s="248"/>
      <c r="D57" s="43"/>
      <c r="E57" s="5"/>
      <c r="F57" s="248" t="s">
        <v>287</v>
      </c>
      <c r="H57" s="3" t="s">
        <v>119</v>
      </c>
      <c r="I57" s="202"/>
    </row>
    <row r="58" spans="1:17" s="65" customFormat="1" ht="13">
      <c r="A58" s="248">
        <f t="shared" si="0"/>
        <v>55</v>
      </c>
      <c r="B58" s="248"/>
      <c r="D58" s="61" t="s">
        <v>253</v>
      </c>
      <c r="E58" s="5"/>
      <c r="F58" s="2" t="s">
        <v>288</v>
      </c>
      <c r="H58" s="2" t="s">
        <v>289</v>
      </c>
      <c r="I58" s="17" t="s">
        <v>15</v>
      </c>
    </row>
    <row r="59" spans="1:17" s="65" customFormat="1" ht="13">
      <c r="A59" s="248">
        <f t="shared" si="0"/>
        <v>56</v>
      </c>
      <c r="B59" s="248"/>
      <c r="D59" s="43" t="s">
        <v>324</v>
      </c>
      <c r="E59" s="5"/>
      <c r="F59" s="54" t="s">
        <v>325</v>
      </c>
      <c r="H59" s="112">
        <v>1.907056322533977E-2</v>
      </c>
      <c r="I59" s="42"/>
    </row>
    <row r="60" spans="1:17" s="65" customFormat="1" ht="13">
      <c r="A60" s="248">
        <f t="shared" si="0"/>
        <v>57</v>
      </c>
      <c r="B60" s="248"/>
      <c r="D60" s="43" t="s">
        <v>326</v>
      </c>
      <c r="E60" s="5"/>
      <c r="F60" s="54" t="s">
        <v>327</v>
      </c>
      <c r="H60" s="112">
        <v>5.1770508276703368E-2</v>
      </c>
      <c r="I60" s="202"/>
    </row>
    <row r="61" spans="1:17" s="65" customFormat="1" ht="13">
      <c r="A61" s="248">
        <f t="shared" si="0"/>
        <v>58</v>
      </c>
      <c r="B61" s="248"/>
      <c r="D61" s="43" t="s">
        <v>328</v>
      </c>
      <c r="E61" s="5"/>
      <c r="F61" s="54" t="s">
        <v>329</v>
      </c>
      <c r="H61" s="112">
        <v>0.27983599999999997</v>
      </c>
      <c r="I61" s="202"/>
    </row>
    <row r="62" spans="1:17" s="65" customFormat="1" ht="13">
      <c r="A62" s="248">
        <f t="shared" si="0"/>
        <v>59</v>
      </c>
      <c r="B62" s="248"/>
      <c r="D62" s="43" t="s">
        <v>267</v>
      </c>
      <c r="E62" s="5"/>
      <c r="F62" s="54" t="str">
        <f>"Line "&amp;A59&amp;" + (Line "&amp;A60&amp;" * (1/(1 - Line "&amp;A61&amp;")))"</f>
        <v>Line 56 + (Line 57 * (1/(1 - Line 58)))</v>
      </c>
      <c r="H62" s="97">
        <f>H59 + (H60*(1/(1-H61)))</f>
        <v>9.095767265694614E-2</v>
      </c>
      <c r="I62" s="131" t="s">
        <v>330</v>
      </c>
    </row>
    <row r="63" spans="1:17" s="65" customFormat="1" ht="13">
      <c r="A63" s="248">
        <f t="shared" si="0"/>
        <v>60</v>
      </c>
      <c r="B63" s="248"/>
      <c r="D63" s="43"/>
      <c r="E63" s="5"/>
      <c r="F63" s="5"/>
      <c r="I63" s="202"/>
    </row>
    <row r="64" spans="1:17" ht="13">
      <c r="A64" s="248">
        <f t="shared" si="0"/>
        <v>61</v>
      </c>
      <c r="C64" s="65"/>
      <c r="D64" s="65"/>
      <c r="E64" s="65"/>
      <c r="F64" s="65"/>
      <c r="G64" s="65"/>
      <c r="H64" s="65"/>
      <c r="I64" s="202"/>
      <c r="J64" s="65"/>
      <c r="K64" s="65"/>
      <c r="L64" s="65"/>
      <c r="M64" s="65"/>
      <c r="N64" s="65"/>
      <c r="O64" s="65"/>
      <c r="P64" s="65"/>
      <c r="Q64" s="65"/>
    </row>
    <row r="65" spans="1:17" s="65" customFormat="1" ht="13">
      <c r="A65" s="248">
        <f t="shared" si="0"/>
        <v>62</v>
      </c>
      <c r="C65" s="1" t="s">
        <v>331</v>
      </c>
      <c r="D65" s="43"/>
      <c r="E65" s="5"/>
      <c r="F65" s="5"/>
      <c r="H65" s="111"/>
      <c r="I65" s="202"/>
    </row>
    <row r="66" spans="1:17" s="65" customFormat="1" ht="13">
      <c r="A66" s="248">
        <f t="shared" si="0"/>
        <v>63</v>
      </c>
      <c r="D66" s="43"/>
      <c r="E66" s="5"/>
      <c r="F66" s="5"/>
      <c r="H66" s="111"/>
      <c r="I66" s="202"/>
    </row>
    <row r="67" spans="1:17" s="65" customFormat="1" ht="13">
      <c r="A67" s="248">
        <f t="shared" si="0"/>
        <v>64</v>
      </c>
      <c r="D67" s="43"/>
      <c r="E67" s="5"/>
      <c r="F67" s="248" t="s">
        <v>287</v>
      </c>
      <c r="H67" s="3" t="s">
        <v>119</v>
      </c>
      <c r="I67" s="202"/>
    </row>
    <row r="68" spans="1:17" s="65" customFormat="1" ht="13">
      <c r="A68" s="248">
        <f t="shared" si="0"/>
        <v>65</v>
      </c>
      <c r="D68" s="61" t="s">
        <v>253</v>
      </c>
      <c r="E68" s="5"/>
      <c r="F68" s="2" t="s">
        <v>288</v>
      </c>
      <c r="H68" s="2" t="s">
        <v>289</v>
      </c>
      <c r="I68" s="17" t="s">
        <v>15</v>
      </c>
    </row>
    <row r="69" spans="1:17" s="65" customFormat="1" ht="13">
      <c r="A69" s="248">
        <f t="shared" si="0"/>
        <v>66</v>
      </c>
      <c r="D69" s="43" t="s">
        <v>332</v>
      </c>
      <c r="E69" s="5"/>
      <c r="F69" s="54" t="s">
        <v>333</v>
      </c>
      <c r="H69" s="256">
        <v>5649.4018181818174</v>
      </c>
      <c r="I69" s="43"/>
    </row>
    <row r="70" spans="1:17" s="65" customFormat="1" ht="13">
      <c r="A70" s="248">
        <f t="shared" si="0"/>
        <v>67</v>
      </c>
      <c r="D70" s="43" t="s">
        <v>334</v>
      </c>
      <c r="E70" s="5"/>
      <c r="F70" s="54" t="s">
        <v>293</v>
      </c>
      <c r="H70" s="256">
        <v>183.4</v>
      </c>
      <c r="I70" s="43"/>
    </row>
    <row r="71" spans="1:17" s="65" customFormat="1" ht="13">
      <c r="A71" s="248">
        <f t="shared" si="0"/>
        <v>68</v>
      </c>
      <c r="D71" s="43" t="s">
        <v>335</v>
      </c>
      <c r="E71" s="5"/>
      <c r="F71" s="5" t="str">
        <f>"Line "&amp;A70&amp;" * Line "&amp;A42&amp;""</f>
        <v>Line 67 * Line 39</v>
      </c>
      <c r="H71" s="253">
        <f>H70*H42</f>
        <v>112.52383780537924</v>
      </c>
      <c r="I71" s="131"/>
    </row>
    <row r="72" spans="1:17" s="65" customFormat="1" ht="13">
      <c r="A72" s="248">
        <f t="shared" si="0"/>
        <v>69</v>
      </c>
      <c r="D72" s="43" t="s">
        <v>318</v>
      </c>
      <c r="E72" s="5"/>
      <c r="F72" s="5" t="str">
        <f>"Line "&amp;A71&amp;" / Line "&amp;A69&amp;""</f>
        <v>Line 68 / Line 66</v>
      </c>
      <c r="H72" s="254">
        <f>H71/H69</f>
        <v>1.991783226380479E-2</v>
      </c>
      <c r="I72" s="131" t="s">
        <v>336</v>
      </c>
    </row>
    <row r="73" spans="1:17" s="65" customFormat="1" ht="13">
      <c r="A73" s="248"/>
      <c r="I73" s="202"/>
    </row>
    <row r="74" spans="1:17" ht="13">
      <c r="A74" s="65"/>
      <c r="B74" s="10"/>
      <c r="C74" s="10" t="s">
        <v>36</v>
      </c>
      <c r="D74" s="65"/>
      <c r="E74" s="65"/>
      <c r="F74" s="65"/>
      <c r="G74" s="65"/>
      <c r="H74" s="105"/>
      <c r="I74" s="202"/>
      <c r="J74" s="65"/>
      <c r="K74" s="65"/>
      <c r="L74" s="65"/>
      <c r="M74" s="65"/>
      <c r="N74" s="65"/>
      <c r="O74" s="65"/>
      <c r="P74" s="65"/>
      <c r="Q74" s="65"/>
    </row>
    <row r="75" spans="1:17">
      <c r="A75" s="65"/>
      <c r="C75" s="55" t="s">
        <v>337</v>
      </c>
      <c r="D75" s="42" t="s">
        <v>338</v>
      </c>
      <c r="E75" s="65"/>
      <c r="F75" s="65"/>
      <c r="G75" s="65"/>
      <c r="H75" s="65"/>
      <c r="I75" s="202"/>
      <c r="J75" s="65"/>
      <c r="K75" s="65"/>
      <c r="L75" s="65"/>
      <c r="M75" s="65"/>
      <c r="N75" s="65"/>
      <c r="O75" s="65"/>
      <c r="P75" s="65"/>
      <c r="Q75" s="65"/>
    </row>
    <row r="76" spans="1:17" s="65" customFormat="1">
      <c r="C76" s="55" t="s">
        <v>339</v>
      </c>
      <c r="D76" s="43" t="s">
        <v>340</v>
      </c>
      <c r="E76" s="5"/>
      <c r="F76" s="5"/>
      <c r="I76" s="202"/>
    </row>
    <row r="77" spans="1:17">
      <c r="A77" s="65"/>
      <c r="C77" s="55" t="s">
        <v>42</v>
      </c>
      <c r="D77" s="42" t="s">
        <v>341</v>
      </c>
      <c r="E77" s="65"/>
      <c r="F77" s="65"/>
      <c r="G77" s="65"/>
      <c r="H77" s="65"/>
      <c r="I77" s="202"/>
      <c r="J77" s="65"/>
      <c r="K77" s="65"/>
      <c r="L77" s="65"/>
      <c r="M77" s="65"/>
      <c r="N77" s="65"/>
      <c r="O77" s="65"/>
      <c r="P77" s="65"/>
      <c r="Q77" s="65"/>
    </row>
    <row r="78" spans="1:17" s="65" customFormat="1">
      <c r="C78" s="55" t="s">
        <v>342</v>
      </c>
      <c r="D78" s="42" t="s">
        <v>343</v>
      </c>
      <c r="I78" s="202"/>
    </row>
    <row r="79" spans="1:17" s="65" customFormat="1">
      <c r="C79" s="55" t="s">
        <v>344</v>
      </c>
      <c r="D79" s="42" t="s">
        <v>345</v>
      </c>
      <c r="E79" s="5"/>
      <c r="F79" s="5"/>
      <c r="G79" s="5"/>
      <c r="H79" s="5"/>
      <c r="I79" s="202"/>
    </row>
    <row r="80" spans="1:17">
      <c r="A80" s="65"/>
      <c r="C80" s="55" t="s">
        <v>346</v>
      </c>
      <c r="D80" s="42" t="s">
        <v>347</v>
      </c>
      <c r="E80" s="65"/>
      <c r="F80" s="65"/>
      <c r="G80" s="65"/>
      <c r="H80" s="65"/>
      <c r="I80" s="202"/>
      <c r="J80" s="65"/>
      <c r="K80" s="65"/>
      <c r="L80" s="65"/>
      <c r="M80" s="65"/>
      <c r="N80" s="65"/>
      <c r="O80" s="65"/>
      <c r="P80" s="65"/>
      <c r="Q80" s="65"/>
    </row>
    <row r="81" spans="1:17">
      <c r="A81" s="65"/>
      <c r="C81" s="55" t="s">
        <v>348</v>
      </c>
      <c r="D81" s="42" t="s">
        <v>349</v>
      </c>
      <c r="E81" s="65"/>
      <c r="F81" s="65"/>
      <c r="G81" s="65"/>
      <c r="H81" s="65"/>
      <c r="I81" s="202"/>
      <c r="J81" s="65"/>
      <c r="K81" s="65"/>
      <c r="L81" s="65"/>
      <c r="M81" s="65"/>
      <c r="N81" s="65"/>
      <c r="O81" s="65"/>
      <c r="P81" s="65"/>
      <c r="Q81" s="65"/>
    </row>
    <row r="82" spans="1:17" ht="13">
      <c r="A82" s="65"/>
      <c r="C82" s="135"/>
      <c r="D82" s="65"/>
      <c r="E82" s="65"/>
      <c r="F82" s="65"/>
      <c r="G82" s="65"/>
      <c r="H82" s="65"/>
      <c r="I82" s="202"/>
      <c r="J82" s="65"/>
      <c r="K82" s="65"/>
      <c r="L82" s="65"/>
      <c r="M82" s="65"/>
      <c r="N82" s="65"/>
      <c r="O82" s="65"/>
      <c r="P82" s="65"/>
      <c r="Q82" s="65"/>
    </row>
    <row r="83" spans="1:17">
      <c r="A83" s="65"/>
      <c r="C83" s="65"/>
      <c r="D83" s="65"/>
      <c r="E83" s="65"/>
      <c r="F83" s="65"/>
      <c r="G83" s="65"/>
      <c r="H83" s="65"/>
      <c r="I83" s="202"/>
      <c r="J83" s="65"/>
      <c r="K83" s="65"/>
      <c r="L83" s="65"/>
      <c r="M83" s="65"/>
      <c r="N83" s="65"/>
      <c r="O83" s="65"/>
      <c r="P83" s="65"/>
      <c r="Q83" s="65"/>
    </row>
    <row r="84" spans="1:17">
      <c r="A84" s="65"/>
      <c r="C84" s="65"/>
      <c r="D84" s="65"/>
      <c r="E84" s="65"/>
      <c r="F84" s="65"/>
      <c r="G84" s="65"/>
      <c r="H84" s="65"/>
      <c r="I84" s="202"/>
      <c r="J84" s="65"/>
      <c r="K84" s="65"/>
      <c r="L84" s="65"/>
      <c r="M84" s="65"/>
      <c r="N84" s="65"/>
      <c r="O84" s="65"/>
      <c r="P84" s="65"/>
      <c r="Q84" s="65"/>
    </row>
    <row r="85" spans="1:17">
      <c r="A85" s="65"/>
      <c r="C85" s="65"/>
      <c r="D85" s="65"/>
      <c r="E85" s="65"/>
      <c r="F85" s="65"/>
      <c r="G85" s="65"/>
      <c r="H85" s="65"/>
      <c r="I85" s="202"/>
      <c r="J85" s="65"/>
      <c r="K85" s="65"/>
      <c r="L85" s="65"/>
      <c r="M85" s="65"/>
      <c r="N85" s="65"/>
      <c r="O85" s="65"/>
      <c r="P85" s="65"/>
      <c r="Q85" s="65"/>
    </row>
    <row r="86" spans="1:17">
      <c r="A86" s="65"/>
      <c r="C86" s="65"/>
      <c r="D86" s="65"/>
      <c r="E86" s="65"/>
      <c r="F86" s="65"/>
      <c r="G86" s="65"/>
      <c r="H86" s="65"/>
      <c r="I86" s="202"/>
      <c r="J86" s="65"/>
      <c r="K86" s="65"/>
      <c r="L86" s="65"/>
      <c r="M86" s="65"/>
      <c r="N86" s="65"/>
      <c r="O86" s="65"/>
      <c r="P86" s="65"/>
      <c r="Q86" s="65"/>
    </row>
    <row r="87" spans="1:17">
      <c r="A87" s="65"/>
      <c r="C87" s="65"/>
      <c r="D87" s="65"/>
      <c r="E87" s="65"/>
      <c r="F87" s="65"/>
      <c r="G87" s="65"/>
      <c r="H87" s="65"/>
      <c r="I87" s="202"/>
      <c r="J87" s="65"/>
      <c r="K87" s="65"/>
      <c r="L87" s="65"/>
      <c r="M87" s="65"/>
      <c r="N87" s="65"/>
      <c r="O87" s="65"/>
      <c r="P87" s="65"/>
      <c r="Q87" s="65"/>
    </row>
    <row r="88" spans="1:17">
      <c r="A88" s="65"/>
      <c r="C88" s="65"/>
      <c r="D88" s="65"/>
      <c r="E88" s="65"/>
      <c r="F88" s="65"/>
      <c r="G88" s="65"/>
      <c r="H88" s="65"/>
      <c r="I88" s="202"/>
      <c r="J88" s="65"/>
      <c r="K88" s="65"/>
      <c r="L88" s="65"/>
      <c r="M88" s="65"/>
      <c r="N88" s="65"/>
      <c r="O88" s="65"/>
      <c r="P88" s="65"/>
      <c r="Q88" s="65"/>
    </row>
    <row r="89" spans="1:17">
      <c r="A89" s="65"/>
      <c r="C89" s="65"/>
      <c r="D89" s="65"/>
      <c r="E89" s="65"/>
      <c r="F89" s="65"/>
      <c r="G89" s="65"/>
      <c r="H89" s="65"/>
      <c r="I89" s="202"/>
      <c r="J89" s="65"/>
      <c r="K89" s="65"/>
      <c r="L89" s="65"/>
      <c r="M89" s="65"/>
      <c r="N89" s="65"/>
      <c r="O89" s="65"/>
      <c r="P89" s="65"/>
      <c r="Q89" s="65"/>
    </row>
    <row r="90" spans="1:17">
      <c r="A90" s="65"/>
      <c r="C90" s="65"/>
      <c r="D90" s="65"/>
      <c r="E90" s="65"/>
      <c r="F90" s="65"/>
      <c r="G90" s="65"/>
      <c r="H90" s="65"/>
      <c r="I90" s="202"/>
      <c r="J90" s="65"/>
      <c r="K90" s="65"/>
      <c r="L90" s="65"/>
      <c r="M90" s="65"/>
      <c r="N90" s="65"/>
      <c r="O90" s="65"/>
      <c r="P90" s="65"/>
      <c r="Q90" s="65"/>
    </row>
    <row r="91" spans="1:17">
      <c r="A91" s="65"/>
      <c r="C91" s="65"/>
      <c r="D91" s="65"/>
      <c r="E91" s="65"/>
      <c r="F91" s="65"/>
      <c r="G91" s="65"/>
      <c r="H91" s="65"/>
      <c r="I91" s="202"/>
      <c r="J91" s="65"/>
      <c r="K91" s="65"/>
      <c r="L91" s="65"/>
      <c r="M91" s="65"/>
      <c r="N91" s="65"/>
      <c r="O91" s="65"/>
      <c r="P91" s="65"/>
      <c r="Q91" s="65"/>
    </row>
    <row r="92" spans="1:17">
      <c r="A92" s="65"/>
      <c r="C92" s="65"/>
      <c r="D92" s="65"/>
      <c r="E92" s="65"/>
      <c r="F92" s="65"/>
      <c r="G92" s="65"/>
      <c r="H92" s="65"/>
      <c r="I92" s="202"/>
      <c r="J92" s="65"/>
      <c r="K92" s="65"/>
      <c r="L92" s="65"/>
      <c r="M92" s="65"/>
      <c r="N92" s="65"/>
      <c r="O92" s="65"/>
      <c r="P92" s="65"/>
      <c r="Q92" s="65"/>
    </row>
    <row r="93" spans="1:17">
      <c r="A93" s="65"/>
      <c r="C93" s="65"/>
      <c r="D93" s="65"/>
      <c r="E93" s="65"/>
      <c r="F93" s="65"/>
      <c r="G93" s="65"/>
      <c r="H93" s="65"/>
      <c r="I93" s="202"/>
      <c r="J93" s="65"/>
      <c r="K93" s="65"/>
      <c r="L93" s="65"/>
      <c r="M93" s="65"/>
      <c r="N93" s="65"/>
      <c r="O93" s="65"/>
      <c r="P93" s="65"/>
      <c r="Q93" s="65"/>
    </row>
    <row r="94" spans="1:17">
      <c r="A94" s="65"/>
      <c r="C94" s="65"/>
      <c r="D94" s="65"/>
      <c r="E94" s="65"/>
      <c r="F94" s="65"/>
      <c r="G94" s="65"/>
      <c r="H94" s="65"/>
      <c r="I94" s="202"/>
      <c r="J94" s="65"/>
      <c r="K94" s="65"/>
      <c r="L94" s="65"/>
      <c r="M94" s="65"/>
      <c r="N94" s="65"/>
      <c r="O94" s="65"/>
      <c r="P94" s="65"/>
      <c r="Q94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9
Allocators&amp;R2023 Draft Annual Update
West of Devers Formula Rate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5"/>
  <sheetViews>
    <sheetView view="pageLayout" zoomScaleNormal="90" workbookViewId="0">
      <selection activeCell="E38" sqref="E38"/>
    </sheetView>
  </sheetViews>
  <sheetFormatPr defaultRowHeight="12.5"/>
  <cols>
    <col min="1" max="1" width="3.7265625" customWidth="1"/>
    <col min="2" max="2" width="4.7265625" customWidth="1"/>
    <col min="3" max="3" width="50.54296875" customWidth="1"/>
    <col min="4" max="4" width="3.7265625" style="65" customWidth="1"/>
    <col min="5" max="5" width="24.54296875" customWidth="1"/>
    <col min="6" max="6" width="56.453125" customWidth="1"/>
    <col min="7" max="7" width="2.54296875" customWidth="1"/>
    <col min="8" max="8" width="12.1796875" customWidth="1"/>
    <col min="9" max="9" width="28" customWidth="1"/>
    <col min="10" max="10" width="12.453125" customWidth="1"/>
    <col min="11" max="11" width="12.453125" style="65" customWidth="1"/>
    <col min="12" max="12" width="6.453125" customWidth="1"/>
    <col min="13" max="13" width="48.81640625" customWidth="1"/>
    <col min="14" max="14" width="16.54296875" customWidth="1"/>
    <col min="15" max="15" width="18.81640625" bestFit="1" customWidth="1"/>
    <col min="16" max="16" width="18.54296875" customWidth="1"/>
    <col min="17" max="17" width="16.7265625" customWidth="1"/>
  </cols>
  <sheetData>
    <row r="1" spans="1:17" ht="13">
      <c r="A1" s="1" t="s">
        <v>3</v>
      </c>
      <c r="B1" s="65"/>
      <c r="C1" s="65"/>
      <c r="E1" s="65"/>
      <c r="F1" s="65"/>
      <c r="G1" s="65"/>
      <c r="H1" s="65"/>
      <c r="I1" s="65"/>
      <c r="J1" s="65"/>
      <c r="L1" s="65"/>
      <c r="M1" s="65"/>
      <c r="N1" s="65"/>
      <c r="O1" s="65"/>
      <c r="P1" s="65"/>
      <c r="Q1" s="65"/>
    </row>
    <row r="2" spans="1:17">
      <c r="A2" s="65"/>
      <c r="B2" s="65"/>
      <c r="C2" s="65"/>
      <c r="E2" s="65"/>
      <c r="F2" s="132" t="s">
        <v>4</v>
      </c>
      <c r="G2" s="5"/>
      <c r="H2" s="5"/>
      <c r="I2" s="5"/>
      <c r="J2" s="65"/>
      <c r="L2" s="65"/>
      <c r="M2" s="65"/>
      <c r="N2" s="65"/>
      <c r="O2" s="65"/>
      <c r="P2" s="65"/>
      <c r="Q2" s="65"/>
    </row>
    <row r="3" spans="1:17" s="65" customFormat="1"/>
    <row r="4" spans="1:17" s="65" customFormat="1" ht="13">
      <c r="C4" s="36" t="s">
        <v>5</v>
      </c>
      <c r="D4" s="36"/>
      <c r="E4" s="36" t="s">
        <v>6</v>
      </c>
      <c r="F4" s="36" t="s">
        <v>7</v>
      </c>
      <c r="H4" s="36" t="s">
        <v>8</v>
      </c>
      <c r="I4" s="36" t="s">
        <v>9</v>
      </c>
      <c r="L4" s="151"/>
      <c r="M4" s="151"/>
      <c r="N4" s="151"/>
      <c r="O4" s="151"/>
      <c r="P4" s="152"/>
      <c r="Q4" s="152"/>
    </row>
    <row r="5" spans="1:17" s="65" customFormat="1" ht="20">
      <c r="L5" s="166"/>
      <c r="M5" s="166"/>
      <c r="N5" s="166"/>
      <c r="O5" s="166"/>
      <c r="P5" s="152"/>
      <c r="Q5" s="153"/>
    </row>
    <row r="6" spans="1:17" s="65" customFormat="1" ht="15.75" customHeight="1">
      <c r="L6" s="154"/>
      <c r="M6" s="155"/>
      <c r="N6" s="156"/>
      <c r="O6" s="156"/>
      <c r="P6" s="153"/>
      <c r="Q6" s="153"/>
    </row>
    <row r="7" spans="1:17">
      <c r="A7" s="65"/>
      <c r="B7" s="65"/>
      <c r="C7" s="65"/>
      <c r="E7" s="65"/>
      <c r="F7" s="65"/>
      <c r="G7" s="65"/>
      <c r="H7" s="65"/>
      <c r="I7" s="65"/>
      <c r="J7" s="65"/>
      <c r="K7" s="167"/>
      <c r="L7" s="154"/>
      <c r="M7" s="157"/>
      <c r="N7" s="115"/>
      <c r="O7" s="115"/>
      <c r="P7" s="158"/>
      <c r="Q7" s="158"/>
    </row>
    <row r="8" spans="1:17" ht="13">
      <c r="A8" s="65"/>
      <c r="B8" s="65"/>
      <c r="C8" s="65"/>
      <c r="E8" s="65"/>
      <c r="F8" s="35" t="s">
        <v>10</v>
      </c>
      <c r="G8" s="59"/>
      <c r="H8" s="57"/>
      <c r="I8" s="65"/>
      <c r="J8" s="167"/>
      <c r="K8" s="167"/>
      <c r="L8" s="154"/>
      <c r="M8" s="157"/>
      <c r="N8" s="115"/>
      <c r="O8" s="115"/>
      <c r="P8" s="158"/>
      <c r="Q8" s="158"/>
    </row>
    <row r="9" spans="1:17" ht="13">
      <c r="A9" s="65"/>
      <c r="B9" s="10" t="s">
        <v>11</v>
      </c>
      <c r="C9" s="2" t="s">
        <v>12</v>
      </c>
      <c r="E9" s="2" t="s">
        <v>13</v>
      </c>
      <c r="F9" s="79" t="s">
        <v>14</v>
      </c>
      <c r="G9" s="59"/>
      <c r="H9" s="39" t="s">
        <v>15</v>
      </c>
      <c r="I9" s="79" t="s">
        <v>16</v>
      </c>
      <c r="J9" s="65"/>
      <c r="K9" s="100"/>
      <c r="L9" s="154"/>
      <c r="M9" s="157"/>
      <c r="N9" s="115"/>
      <c r="O9" s="115"/>
      <c r="P9" s="158"/>
      <c r="Q9" s="158"/>
    </row>
    <row r="10" spans="1:17" ht="13">
      <c r="A10" s="65"/>
      <c r="B10" s="248">
        <v>1</v>
      </c>
      <c r="C10" s="44" t="s">
        <v>17</v>
      </c>
      <c r="D10" s="42"/>
      <c r="E10" s="203">
        <f>'3-Direct OandM'!E29</f>
        <v>1431600.9898903212</v>
      </c>
      <c r="F10" s="6" t="str">
        <f>"3-Direct OandM, Line "&amp;'3-Direct OandM'!B29&amp;""</f>
        <v>3-Direct OandM, Line 18</v>
      </c>
      <c r="G10" s="65"/>
      <c r="H10" s="65"/>
      <c r="I10" s="132"/>
      <c r="J10" s="65"/>
      <c r="L10" s="154"/>
      <c r="M10" s="157"/>
      <c r="N10" s="115"/>
      <c r="O10" s="115"/>
      <c r="P10" s="153"/>
      <c r="Q10" s="153"/>
    </row>
    <row r="11" spans="1:17" ht="13">
      <c r="A11" s="65"/>
      <c r="B11" s="7">
        <f>B10+1</f>
        <v>2</v>
      </c>
      <c r="C11" s="44" t="s">
        <v>18</v>
      </c>
      <c r="D11" s="42"/>
      <c r="E11" s="203">
        <f>'4-Allocated OandM'!T43</f>
        <v>1186112.7496441586</v>
      </c>
      <c r="F11" s="6" t="str">
        <f>"4-Allocated OandM, Line "&amp;'4-Allocated OandM'!B43&amp;""</f>
        <v>4-Allocated OandM, Line 32</v>
      </c>
      <c r="G11" s="65"/>
      <c r="H11" s="65"/>
      <c r="I11" s="132"/>
      <c r="J11" s="65"/>
      <c r="L11" s="154"/>
      <c r="M11" s="157"/>
      <c r="N11" s="115"/>
      <c r="O11" s="115"/>
      <c r="P11" s="153"/>
      <c r="Q11" s="153"/>
    </row>
    <row r="12" spans="1:17" ht="13">
      <c r="A12" s="65"/>
      <c r="B12" s="7">
        <f t="shared" ref="B12:B16" si="0">B11+1</f>
        <v>3</v>
      </c>
      <c r="C12" s="44" t="s">
        <v>19</v>
      </c>
      <c r="D12" s="42"/>
      <c r="E12" s="203">
        <f>'5-AandG'!K26</f>
        <v>1398630.9707483295</v>
      </c>
      <c r="F12" s="6" t="str">
        <f>"5-AandG, Line "&amp;'5-AandG'!B26&amp;""</f>
        <v>5-AandG, Line 15</v>
      </c>
      <c r="G12" s="65"/>
      <c r="H12" s="65"/>
      <c r="I12" s="132"/>
      <c r="J12" s="65"/>
      <c r="L12" s="154"/>
      <c r="M12" s="157"/>
      <c r="N12" s="115"/>
      <c r="O12" s="115"/>
      <c r="P12" s="153"/>
      <c r="Q12" s="153"/>
    </row>
    <row r="13" spans="1:17" ht="13">
      <c r="A13" s="65"/>
      <c r="B13" s="7">
        <f t="shared" si="0"/>
        <v>4</v>
      </c>
      <c r="C13" s="41" t="s">
        <v>20</v>
      </c>
      <c r="D13" s="5"/>
      <c r="E13" s="203">
        <f>'6-General and Intangible'!E27</f>
        <v>734664.08526704193</v>
      </c>
      <c r="F13" s="6" t="str">
        <f>"6-General and Intangible, Line "&amp;'6-General and Intangible'!B18&amp;""</f>
        <v>6-General and Intangible, Line 13</v>
      </c>
      <c r="G13" s="65"/>
      <c r="H13" s="65"/>
      <c r="I13" s="132"/>
      <c r="J13" s="65"/>
      <c r="L13" s="154"/>
      <c r="M13" s="157"/>
      <c r="N13" s="115"/>
      <c r="O13" s="115"/>
      <c r="P13" s="158"/>
      <c r="Q13" s="158"/>
    </row>
    <row r="14" spans="1:17" ht="13">
      <c r="A14" s="65"/>
      <c r="B14" s="7">
        <f t="shared" si="0"/>
        <v>5</v>
      </c>
      <c r="C14" s="44" t="s">
        <v>21</v>
      </c>
      <c r="E14" s="203">
        <f>'7-Payroll Taxes'!E8</f>
        <v>43187.143766477609</v>
      </c>
      <c r="F14" s="6" t="str">
        <f>"7-Payroll Taxes, Line "&amp;'7-Payroll Taxes'!B8&amp;""</f>
        <v>7-Payroll Taxes, Line 3</v>
      </c>
      <c r="G14" s="65"/>
      <c r="H14" s="65"/>
      <c r="I14" s="132"/>
      <c r="J14" s="65"/>
      <c r="L14" s="154"/>
      <c r="M14" s="157"/>
      <c r="N14" s="115"/>
      <c r="O14" s="115"/>
      <c r="P14" s="158"/>
      <c r="Q14" s="158"/>
    </row>
    <row r="15" spans="1:17" ht="13">
      <c r="A15" s="65"/>
      <c r="B15" s="7">
        <f t="shared" si="0"/>
        <v>6</v>
      </c>
      <c r="C15" s="44" t="s">
        <v>22</v>
      </c>
      <c r="E15" s="204">
        <f>'8-Property Tax'!E10</f>
        <v>0</v>
      </c>
      <c r="F15" s="6" t="str">
        <f>"8-Property Taxes, Line "&amp;'8-Property Tax'!B10&amp;""</f>
        <v>8-Property Taxes, Line 6</v>
      </c>
      <c r="G15" s="65"/>
      <c r="H15" s="65"/>
      <c r="I15" s="132"/>
      <c r="J15" s="65"/>
      <c r="L15" s="154"/>
      <c r="M15" s="157"/>
      <c r="N15" s="115"/>
      <c r="O15" s="115"/>
      <c r="P15" s="153"/>
      <c r="Q15" s="153"/>
    </row>
    <row r="16" spans="1:17" ht="13">
      <c r="A16" s="65"/>
      <c r="B16" s="7">
        <f t="shared" si="0"/>
        <v>7</v>
      </c>
      <c r="C16" s="44" t="s">
        <v>23</v>
      </c>
      <c r="E16" s="211">
        <f>(E10+E11+E12)/8*'9-Allocators'!H62</f>
        <v>45664.670929420114</v>
      </c>
      <c r="F16" s="6" t="str">
        <f>"(Line 1 + Line 2 + Line 3)(1/8)*(9-Allocators, Line "&amp;'9-Allocators'!A62&amp;")"</f>
        <v>(Line 1 + Line 2 + Line 3)(1/8)*(9-Allocators, Line 59)</v>
      </c>
      <c r="G16" s="65"/>
      <c r="H16" s="65"/>
      <c r="I16" s="14"/>
      <c r="J16" s="65"/>
      <c r="L16" s="154"/>
      <c r="M16" s="151"/>
      <c r="N16" s="150"/>
      <c r="O16" s="150"/>
      <c r="P16" s="153"/>
      <c r="Q16" s="153"/>
    </row>
    <row r="17" spans="1:17" ht="13">
      <c r="A17" s="65"/>
      <c r="B17" s="7">
        <f>B16+1</f>
        <v>8</v>
      </c>
      <c r="C17" s="12" t="s">
        <v>24</v>
      </c>
      <c r="D17" s="42"/>
      <c r="E17" s="203">
        <f>SUM(E10:E16)</f>
        <v>4839860.6102457484</v>
      </c>
      <c r="F17" s="41" t="str">
        <f>"Sum of Lines "&amp;B10&amp;"- "&amp;B16</f>
        <v>Sum of Lines 1- 7</v>
      </c>
      <c r="G17" s="65"/>
      <c r="H17" s="65"/>
      <c r="I17" s="14"/>
      <c r="J17" s="65"/>
      <c r="L17" s="159"/>
      <c r="M17" s="160"/>
      <c r="N17" s="161"/>
      <c r="O17" s="161"/>
      <c r="P17" s="162"/>
      <c r="Q17" s="162"/>
    </row>
    <row r="18" spans="1:17" ht="13">
      <c r="A18" s="65"/>
      <c r="B18" s="7">
        <f t="shared" ref="B18:B24" si="1">B17+1</f>
        <v>9</v>
      </c>
      <c r="C18" s="146" t="s">
        <v>25</v>
      </c>
      <c r="D18" s="100"/>
      <c r="E18" s="205">
        <f>(E17-'3-Direct OandM'!E15)*E28</f>
        <v>31916.92545658692</v>
      </c>
      <c r="F18" s="145" t="str">
        <f>"(Line 8 - 3-DirectOandM, Line "&amp;'3-Direct OandM'!B15&amp;", Col 2)* Franchise Fee Rate"</f>
        <v>(Line 8 - 3-DirectOandM, Line 4, Col 2)* Franchise Fee Rate</v>
      </c>
      <c r="G18" s="65"/>
      <c r="H18" s="245" t="s">
        <v>26</v>
      </c>
      <c r="I18" s="14"/>
      <c r="J18" s="65"/>
      <c r="L18" s="159"/>
      <c r="M18" s="163"/>
      <c r="N18" s="164"/>
      <c r="O18" s="164"/>
      <c r="P18" s="165"/>
      <c r="Q18" s="165"/>
    </row>
    <row r="19" spans="1:17" s="65" customFormat="1" ht="13">
      <c r="B19" s="7">
        <f t="shared" si="1"/>
        <v>10</v>
      </c>
      <c r="C19" s="189" t="s">
        <v>27</v>
      </c>
      <c r="D19" s="100"/>
      <c r="E19" s="205">
        <f>E17+E18</f>
        <v>4871777.5357023356</v>
      </c>
      <c r="F19" s="145" t="str">
        <f>"Line "&amp;B17&amp;" + Line "&amp;B18</f>
        <v>Line 8 + Line 9</v>
      </c>
      <c r="I19" s="132"/>
      <c r="L19" s="159"/>
      <c r="M19" s="163"/>
      <c r="N19" s="164"/>
      <c r="O19" s="164"/>
      <c r="P19" s="165"/>
      <c r="Q19" s="165"/>
    </row>
    <row r="20" spans="1:17" ht="13">
      <c r="A20" s="65"/>
      <c r="B20" s="7">
        <f t="shared" si="1"/>
        <v>11</v>
      </c>
      <c r="C20" s="41" t="s">
        <v>28</v>
      </c>
      <c r="D20" s="43"/>
      <c r="E20" s="251">
        <f>IF(E31="Yes",0,'2-True Up Adjustment'!G39)</f>
        <v>166236.94771894079</v>
      </c>
      <c r="F20" s="6" t="str">
        <f>"2-True Up Adjustment, Line "&amp;'2-True Up Adjustment'!B39</f>
        <v>2-True Up Adjustment, Line 27</v>
      </c>
      <c r="G20" s="65"/>
      <c r="H20" s="245" t="s">
        <v>29</v>
      </c>
      <c r="I20" s="14"/>
      <c r="J20" s="65"/>
      <c r="L20" s="100"/>
      <c r="M20" s="100"/>
      <c r="N20" s="100"/>
      <c r="O20" s="100"/>
      <c r="P20" s="65"/>
      <c r="Q20" s="65"/>
    </row>
    <row r="21" spans="1:17" ht="13">
      <c r="A21" s="65"/>
      <c r="B21" s="7">
        <f t="shared" si="1"/>
        <v>12</v>
      </c>
      <c r="C21" s="113" t="s">
        <v>30</v>
      </c>
      <c r="E21" s="257">
        <v>6368929.9793886086</v>
      </c>
      <c r="F21" s="173" t="s">
        <v>31</v>
      </c>
      <c r="G21" s="65"/>
      <c r="H21" s="202" t="s">
        <v>32</v>
      </c>
      <c r="I21" s="14"/>
      <c r="J21" s="65"/>
      <c r="L21" s="65"/>
      <c r="M21" s="65"/>
      <c r="N21" s="65"/>
      <c r="O21" s="65"/>
      <c r="P21" s="65"/>
      <c r="Q21" s="65"/>
    </row>
    <row r="22" spans="1:17" ht="13">
      <c r="A22" s="65"/>
      <c r="B22" s="7">
        <f t="shared" si="1"/>
        <v>13</v>
      </c>
      <c r="C22" s="12" t="s">
        <v>33</v>
      </c>
      <c r="D22" s="42"/>
      <c r="E22" s="204">
        <f>E19+E20+E21</f>
        <v>11406944.462809885</v>
      </c>
      <c r="F22" s="41" t="s">
        <v>34</v>
      </c>
      <c r="G22" s="65"/>
      <c r="H22" s="42"/>
      <c r="I22" s="14"/>
      <c r="J22" s="65"/>
      <c r="L22" s="65"/>
      <c r="M22" s="65"/>
      <c r="N22" s="65"/>
      <c r="O22" s="65"/>
      <c r="P22" s="65"/>
      <c r="Q22" s="65"/>
    </row>
    <row r="23" spans="1:17" ht="13">
      <c r="A23" s="65"/>
      <c r="B23" s="7">
        <f t="shared" si="1"/>
        <v>14</v>
      </c>
      <c r="C23" s="65"/>
      <c r="E23" s="122"/>
      <c r="F23" s="65"/>
      <c r="G23" s="65"/>
      <c r="H23" s="65"/>
      <c r="I23" s="65"/>
      <c r="J23" s="65"/>
      <c r="L23" s="65"/>
      <c r="M23" s="65"/>
      <c r="N23" s="65"/>
      <c r="O23" s="65"/>
      <c r="P23" s="65"/>
      <c r="Q23" s="65"/>
    </row>
    <row r="24" spans="1:17" ht="13">
      <c r="A24" s="65"/>
      <c r="B24" s="7">
        <f t="shared" si="1"/>
        <v>15</v>
      </c>
      <c r="C24" s="74" t="s">
        <v>35</v>
      </c>
      <c r="D24" s="9"/>
      <c r="E24" s="206">
        <f>E22/12</f>
        <v>950578.70523415704</v>
      </c>
      <c r="F24" s="6" t="str">
        <f>"Line "&amp;B22&amp;" Divided by 12"</f>
        <v>Line 13 Divided by 12</v>
      </c>
      <c r="G24" s="65"/>
      <c r="H24" s="100"/>
      <c r="I24" s="201"/>
      <c r="J24" s="100"/>
      <c r="L24" s="65"/>
      <c r="M24" s="65"/>
      <c r="N24" s="65"/>
      <c r="O24" s="65"/>
      <c r="P24" s="65"/>
      <c r="Q24" s="65"/>
    </row>
    <row r="25" spans="1:17">
      <c r="A25" s="65"/>
      <c r="B25" s="65"/>
      <c r="C25" s="42"/>
      <c r="E25" s="65"/>
      <c r="F25" s="65"/>
      <c r="G25" s="65"/>
      <c r="H25" s="194"/>
      <c r="I25" s="100"/>
      <c r="J25" s="100"/>
      <c r="L25" s="65"/>
      <c r="M25" s="65"/>
      <c r="N25" s="65"/>
      <c r="O25" s="65"/>
      <c r="P25" s="65"/>
      <c r="Q25" s="65"/>
    </row>
    <row r="26" spans="1:17">
      <c r="A26" s="65"/>
      <c r="B26" s="65"/>
      <c r="C26" s="65"/>
      <c r="E26" s="65"/>
      <c r="F26" s="65"/>
      <c r="G26" s="65"/>
      <c r="H26" s="194"/>
      <c r="I26" s="100"/>
      <c r="J26" s="100"/>
      <c r="L26" s="65"/>
      <c r="M26" s="65"/>
      <c r="N26" s="65"/>
      <c r="O26" s="65"/>
      <c r="P26" s="65"/>
      <c r="Q26" s="65"/>
    </row>
    <row r="27" spans="1:17" ht="13">
      <c r="A27" s="65"/>
      <c r="B27" s="144" t="s">
        <v>36</v>
      </c>
      <c r="C27" s="5"/>
      <c r="E27" s="65"/>
      <c r="F27" s="79" t="s">
        <v>14</v>
      </c>
      <c r="G27" s="65"/>
      <c r="H27" s="194"/>
      <c r="I27" s="100"/>
      <c r="J27" s="100"/>
      <c r="L27" s="65"/>
      <c r="M27" s="65"/>
      <c r="N27" s="65"/>
      <c r="O27" s="65"/>
      <c r="P27" s="65"/>
      <c r="Q27" s="65"/>
    </row>
    <row r="28" spans="1:17" s="65" customFormat="1">
      <c r="B28" s="6" t="s">
        <v>37</v>
      </c>
      <c r="E28" s="234">
        <v>9.3645816374923023E-3</v>
      </c>
      <c r="F28" s="44" t="s">
        <v>38</v>
      </c>
      <c r="H28" s="194"/>
      <c r="I28" s="100"/>
      <c r="J28" s="100"/>
    </row>
    <row r="29" spans="1:17" s="65" customFormat="1">
      <c r="B29" s="6"/>
      <c r="C29" s="65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48"/>
      <c r="F29" s="6"/>
      <c r="H29" s="194"/>
      <c r="I29" s="100"/>
      <c r="J29" s="100"/>
    </row>
    <row r="30" spans="1:17">
      <c r="A30" s="65"/>
      <c r="B30" s="113" t="s">
        <v>39</v>
      </c>
      <c r="C30" s="65"/>
      <c r="E30" s="65"/>
      <c r="F30" s="65"/>
      <c r="G30" s="65"/>
      <c r="H30" s="194"/>
      <c r="I30" s="100"/>
      <c r="J30" s="100"/>
      <c r="L30" s="65"/>
      <c r="M30" s="65"/>
      <c r="N30" s="65"/>
      <c r="O30" s="65"/>
      <c r="P30" s="65"/>
      <c r="Q30" s="65"/>
    </row>
    <row r="31" spans="1:17">
      <c r="A31" s="65"/>
      <c r="B31" s="65"/>
      <c r="C31" s="113" t="s">
        <v>40</v>
      </c>
      <c r="E31" s="147" t="s">
        <v>350</v>
      </c>
      <c r="F31" s="41" t="s">
        <v>41</v>
      </c>
      <c r="G31" s="65"/>
      <c r="H31" s="194"/>
      <c r="I31" s="100"/>
      <c r="J31" s="100"/>
      <c r="L31" s="65"/>
      <c r="M31" s="65"/>
      <c r="N31" s="65"/>
      <c r="O31" s="65"/>
      <c r="P31" s="65"/>
      <c r="Q31" s="65"/>
    </row>
    <row r="32" spans="1:17">
      <c r="A32" s="65"/>
      <c r="B32" s="40" t="s">
        <v>42</v>
      </c>
      <c r="C32" s="42" t="s">
        <v>43</v>
      </c>
      <c r="E32" s="65"/>
      <c r="F32" s="65"/>
      <c r="G32" s="65"/>
      <c r="H32" s="194"/>
      <c r="I32" s="100"/>
      <c r="J32" s="100"/>
      <c r="L32" s="65"/>
      <c r="M32" s="65"/>
      <c r="N32" s="65"/>
      <c r="O32" s="65"/>
      <c r="P32" s="65"/>
      <c r="Q32" s="65"/>
    </row>
    <row r="33" spans="1:17">
      <c r="A33" s="65"/>
      <c r="B33" s="65"/>
      <c r="C33" s="42" t="s">
        <v>44</v>
      </c>
      <c r="E33" s="65"/>
      <c r="F33" s="65"/>
      <c r="G33" s="65"/>
      <c r="H33" s="195"/>
      <c r="I33" s="100"/>
      <c r="J33" s="100"/>
      <c r="L33" s="65"/>
      <c r="M33" s="65"/>
      <c r="N33" s="65"/>
      <c r="O33" s="65"/>
      <c r="P33" s="65"/>
      <c r="Q33" s="65"/>
    </row>
    <row r="34" spans="1:17">
      <c r="A34" s="65"/>
      <c r="B34" s="65"/>
      <c r="C34" s="42" t="s">
        <v>45</v>
      </c>
      <c r="E34" s="65"/>
      <c r="F34" s="65"/>
      <c r="G34" s="65"/>
      <c r="H34" s="100"/>
      <c r="I34" s="100"/>
      <c r="J34" s="100"/>
      <c r="L34" s="65"/>
      <c r="M34" s="65"/>
      <c r="N34" s="65"/>
      <c r="O34" s="65"/>
      <c r="P34" s="65"/>
      <c r="Q34" s="65"/>
    </row>
    <row r="35" spans="1:17">
      <c r="A35" s="65"/>
      <c r="B35" s="65"/>
      <c r="C35" s="65"/>
      <c r="E35" s="65"/>
      <c r="F35" s="65"/>
      <c r="G35" s="65"/>
      <c r="H35" s="65"/>
      <c r="I35" s="65"/>
      <c r="J35" s="65"/>
      <c r="L35" s="65"/>
      <c r="M35" s="65"/>
      <c r="N35" s="65"/>
      <c r="O35" s="65"/>
      <c r="P35" s="65"/>
      <c r="Q35" s="65"/>
    </row>
    <row r="36" spans="1:17">
      <c r="A36" s="65"/>
      <c r="B36" s="65"/>
      <c r="C36" s="65"/>
      <c r="E36" s="65"/>
      <c r="F36" s="65"/>
      <c r="G36" s="65"/>
      <c r="H36" s="100"/>
      <c r="I36" s="100"/>
      <c r="J36" s="100"/>
      <c r="L36" s="65"/>
      <c r="M36" s="65"/>
      <c r="N36" s="65"/>
      <c r="O36" s="65"/>
      <c r="P36" s="65"/>
      <c r="Q36" s="65"/>
    </row>
    <row r="37" spans="1:17">
      <c r="A37" s="65"/>
      <c r="B37" s="65"/>
      <c r="C37" s="178"/>
      <c r="D37" s="5"/>
      <c r="E37" s="179"/>
      <c r="F37" s="65"/>
      <c r="G37" s="65"/>
      <c r="H37" s="196"/>
      <c r="I37" s="100"/>
      <c r="J37" s="100"/>
      <c r="L37" s="65"/>
      <c r="M37" s="65"/>
      <c r="N37" s="65"/>
      <c r="O37" s="65"/>
      <c r="P37" s="65"/>
      <c r="Q37" s="65"/>
    </row>
    <row r="38" spans="1:17">
      <c r="A38" s="65"/>
      <c r="B38" s="65"/>
      <c r="C38" s="65"/>
      <c r="E38" s="65"/>
      <c r="F38" s="65"/>
      <c r="G38" s="65"/>
      <c r="H38" s="100"/>
      <c r="I38" s="100"/>
      <c r="J38" s="100"/>
      <c r="L38" s="65"/>
      <c r="M38" s="65"/>
      <c r="N38" s="65"/>
      <c r="O38" s="65"/>
      <c r="P38" s="65"/>
      <c r="Q38" s="65"/>
    </row>
    <row r="39" spans="1:17">
      <c r="A39" s="65"/>
      <c r="B39" s="65"/>
      <c r="C39" s="65"/>
      <c r="E39" s="65"/>
      <c r="F39" s="65"/>
      <c r="G39" s="65"/>
      <c r="H39" s="100"/>
      <c r="I39" s="100"/>
      <c r="J39" s="100"/>
      <c r="L39" s="65"/>
      <c r="M39" s="65"/>
      <c r="N39" s="65"/>
      <c r="O39" s="65"/>
      <c r="P39" s="65"/>
      <c r="Q39" s="65"/>
    </row>
    <row r="40" spans="1:17">
      <c r="A40" s="65"/>
      <c r="B40" s="65"/>
      <c r="C40" s="65"/>
      <c r="E40" s="4"/>
      <c r="F40" s="65"/>
      <c r="G40" s="65"/>
      <c r="H40" s="100"/>
      <c r="I40" s="100"/>
      <c r="J40" s="100"/>
      <c r="L40" s="65"/>
      <c r="M40" s="65"/>
      <c r="N40" s="65"/>
      <c r="O40" s="65"/>
      <c r="P40" s="65"/>
      <c r="Q40" s="65"/>
    </row>
    <row r="41" spans="1:17">
      <c r="A41" s="65"/>
      <c r="B41" s="65"/>
      <c r="C41" s="65"/>
      <c r="E41" s="65"/>
      <c r="F41" s="65"/>
      <c r="G41" s="65"/>
      <c r="H41" s="100"/>
      <c r="I41" s="100"/>
      <c r="J41" s="100"/>
      <c r="L41" s="65"/>
      <c r="M41" s="65"/>
      <c r="N41" s="65"/>
      <c r="O41" s="65"/>
      <c r="P41" s="65"/>
      <c r="Q41" s="65"/>
    </row>
    <row r="44" spans="1:17">
      <c r="A44" s="65"/>
      <c r="B44" s="65"/>
      <c r="C44" s="65"/>
      <c r="E44" s="65"/>
      <c r="F44" s="65"/>
      <c r="G44" s="65"/>
      <c r="H44" s="129"/>
      <c r="I44" s="65"/>
      <c r="J44" s="65"/>
      <c r="L44" s="65"/>
      <c r="M44" s="65"/>
      <c r="N44" s="65"/>
      <c r="O44" s="65"/>
      <c r="P44" s="65"/>
      <c r="Q44" s="65"/>
    </row>
    <row r="45" spans="1:17">
      <c r="A45" s="65"/>
      <c r="B45" s="65"/>
      <c r="C45" s="65"/>
      <c r="E45" s="65"/>
      <c r="F45" s="65"/>
      <c r="G45" s="65"/>
      <c r="H45" s="100"/>
      <c r="I45" s="65"/>
      <c r="J45" s="65"/>
      <c r="L45" s="65"/>
      <c r="M45" s="65"/>
      <c r="N45" s="65"/>
      <c r="O45" s="65"/>
      <c r="P45" s="65"/>
      <c r="Q45" s="65"/>
    </row>
    <row r="46" spans="1:17">
      <c r="A46" s="65"/>
      <c r="B46" s="65"/>
      <c r="C46" s="65"/>
      <c r="E46" s="65"/>
      <c r="F46" s="65"/>
      <c r="G46" s="65"/>
      <c r="H46" s="65"/>
      <c r="I46" s="65"/>
      <c r="J46" s="65"/>
      <c r="L46" s="65"/>
      <c r="M46" s="65"/>
      <c r="N46" s="65"/>
      <c r="O46" s="65"/>
      <c r="P46" s="65"/>
      <c r="Q46" s="65"/>
    </row>
    <row r="47" spans="1:17">
      <c r="A47" s="65"/>
      <c r="B47" s="65"/>
      <c r="C47" s="65"/>
      <c r="E47" s="65"/>
      <c r="F47" s="65"/>
      <c r="G47" s="65"/>
      <c r="H47" s="65"/>
      <c r="I47" s="65"/>
      <c r="J47" s="65"/>
      <c r="L47" s="65"/>
      <c r="M47" s="65"/>
      <c r="N47" s="65"/>
      <c r="O47" s="65"/>
      <c r="P47" s="65"/>
      <c r="Q47" s="65"/>
    </row>
    <row r="48" spans="1:17">
      <c r="A48" s="65"/>
      <c r="B48" s="65"/>
      <c r="C48" s="65"/>
      <c r="E48" s="65"/>
      <c r="F48" s="65"/>
      <c r="G48" s="65"/>
      <c r="H48" s="65"/>
      <c r="I48" s="65"/>
      <c r="J48" s="65"/>
      <c r="L48" s="65"/>
      <c r="M48" s="65"/>
      <c r="N48" s="65"/>
      <c r="O48" s="65"/>
      <c r="P48" s="65"/>
      <c r="Q48" s="65"/>
    </row>
    <row r="49" spans="1:17">
      <c r="A49" s="65"/>
      <c r="B49" s="65"/>
      <c r="C49" s="65"/>
      <c r="E49" s="65"/>
      <c r="F49" s="65"/>
      <c r="G49" s="65"/>
      <c r="H49" s="65"/>
      <c r="I49" s="65"/>
      <c r="J49" s="65"/>
      <c r="L49" s="65"/>
      <c r="M49" s="65"/>
      <c r="N49" s="65"/>
      <c r="O49" s="65"/>
      <c r="P49" s="65"/>
      <c r="Q49" s="65"/>
    </row>
    <row r="50" spans="1:17">
      <c r="A50" s="65"/>
      <c r="B50" s="65"/>
      <c r="C50" s="65"/>
      <c r="E50" s="65"/>
      <c r="F50" s="65"/>
      <c r="G50" s="65"/>
      <c r="H50" s="65"/>
      <c r="I50" s="65"/>
      <c r="J50" s="65"/>
      <c r="L50" s="65"/>
      <c r="M50" s="65"/>
      <c r="N50" s="65"/>
      <c r="O50" s="65"/>
      <c r="P50" s="65"/>
      <c r="Q50" s="65"/>
    </row>
    <row r="51" spans="1:17">
      <c r="A51" s="65"/>
      <c r="B51" s="65"/>
      <c r="C51" s="65"/>
      <c r="E51" s="65"/>
      <c r="F51" s="65"/>
      <c r="G51" s="65"/>
      <c r="H51" s="65"/>
      <c r="I51" s="65"/>
      <c r="J51" s="65"/>
      <c r="L51" s="65"/>
      <c r="M51" s="65"/>
      <c r="N51" s="65"/>
      <c r="O51" s="65"/>
      <c r="P51" s="65"/>
      <c r="Q51" s="65"/>
    </row>
    <row r="52" spans="1:17">
      <c r="A52" s="65"/>
      <c r="B52" s="65"/>
      <c r="C52" s="65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Q52" s="65"/>
    </row>
    <row r="53" spans="1:17">
      <c r="A53" s="65"/>
      <c r="B53" s="65"/>
      <c r="C53" s="65"/>
      <c r="E53" s="65"/>
      <c r="F53" s="65"/>
      <c r="G53" s="65"/>
      <c r="H53" s="65"/>
      <c r="I53" s="65"/>
      <c r="J53" s="65"/>
      <c r="L53" s="65"/>
      <c r="M53" s="65"/>
      <c r="N53" s="65"/>
      <c r="O53" s="65"/>
      <c r="P53" s="65"/>
      <c r="Q53" s="65"/>
    </row>
    <row r="54" spans="1:17">
      <c r="A54" s="65"/>
      <c r="B54" s="65"/>
      <c r="C54" s="65"/>
      <c r="E54" s="65"/>
      <c r="F54" s="65"/>
      <c r="G54" s="65"/>
      <c r="H54" s="65"/>
      <c r="I54" s="65"/>
      <c r="J54" s="65"/>
      <c r="L54" s="65"/>
      <c r="M54" s="65"/>
      <c r="N54" s="65"/>
      <c r="O54" s="65"/>
      <c r="P54" s="65"/>
      <c r="Q54" s="65"/>
    </row>
    <row r="55" spans="1:17">
      <c r="A55" s="65"/>
      <c r="B55" s="65"/>
      <c r="C55" s="65"/>
      <c r="E55" s="65"/>
      <c r="F55" s="65"/>
      <c r="G55" s="65"/>
      <c r="H55" s="65"/>
      <c r="I55" s="65"/>
      <c r="J55" s="65"/>
      <c r="L55" s="65"/>
      <c r="M55" s="65"/>
      <c r="N55" s="65"/>
      <c r="O55" s="65"/>
      <c r="P55" s="65"/>
      <c r="Q55" s="65"/>
    </row>
    <row r="56" spans="1:17">
      <c r="A56" s="65"/>
      <c r="B56" s="65"/>
      <c r="C56" s="65"/>
      <c r="E56" s="65"/>
      <c r="F56" s="65"/>
      <c r="G56" s="65"/>
      <c r="H56" s="65"/>
      <c r="I56" s="65"/>
      <c r="J56" s="65"/>
      <c r="L56" s="65"/>
      <c r="M56" s="65"/>
      <c r="N56" s="65"/>
      <c r="O56" s="65"/>
      <c r="P56" s="65"/>
      <c r="Q56" s="65"/>
    </row>
    <row r="57" spans="1:17">
      <c r="A57" s="65"/>
      <c r="B57" s="65"/>
      <c r="C57" s="65"/>
      <c r="E57" s="65"/>
      <c r="F57" s="65"/>
      <c r="G57" s="65"/>
      <c r="H57" s="65"/>
      <c r="I57" s="65"/>
      <c r="J57" s="65"/>
      <c r="L57" s="65"/>
      <c r="M57" s="65"/>
      <c r="N57" s="65"/>
      <c r="O57" s="65"/>
      <c r="P57" s="65"/>
      <c r="Q57" s="65"/>
    </row>
    <row r="58" spans="1:17">
      <c r="A58" s="65"/>
      <c r="B58" s="65"/>
      <c r="C58" s="65"/>
      <c r="E58" s="65"/>
      <c r="F58" s="65"/>
      <c r="G58" s="65"/>
      <c r="H58" s="65"/>
      <c r="I58" s="65"/>
      <c r="J58" s="65"/>
      <c r="L58" s="65"/>
      <c r="M58" s="65"/>
      <c r="N58" s="65"/>
      <c r="O58" s="65"/>
      <c r="P58" s="65"/>
      <c r="Q58" s="65"/>
    </row>
    <row r="59" spans="1:17">
      <c r="A59" s="65"/>
      <c r="B59" s="65"/>
      <c r="C59" s="65"/>
      <c r="E59" s="65"/>
      <c r="F59" s="65"/>
      <c r="G59" s="65"/>
      <c r="H59" s="65"/>
      <c r="I59" s="65"/>
      <c r="J59" s="65"/>
      <c r="L59" s="65"/>
      <c r="M59" s="65"/>
      <c r="N59" s="65"/>
      <c r="O59" s="65"/>
      <c r="P59" s="65"/>
      <c r="Q59" s="65"/>
    </row>
    <row r="61" spans="1:17">
      <c r="A61" s="65"/>
      <c r="B61" s="65"/>
      <c r="C61" s="65"/>
      <c r="E61" s="65"/>
      <c r="F61" s="65"/>
      <c r="G61" s="65"/>
      <c r="H61" s="65"/>
      <c r="I61" s="65"/>
      <c r="J61" s="65"/>
      <c r="L61" s="65"/>
      <c r="M61" s="65"/>
      <c r="N61" s="65"/>
      <c r="O61" s="65"/>
      <c r="P61" s="65"/>
      <c r="Q61" s="65"/>
    </row>
    <row r="62" spans="1:17">
      <c r="A62" s="65"/>
      <c r="B62" s="65"/>
      <c r="C62" s="65"/>
      <c r="E62" s="65"/>
      <c r="F62" s="65"/>
      <c r="G62" s="65"/>
      <c r="H62" s="65"/>
      <c r="I62" s="65"/>
      <c r="J62" s="65"/>
      <c r="L62" s="65"/>
      <c r="M62" s="65"/>
      <c r="N62" s="65"/>
      <c r="O62" s="65"/>
      <c r="P62" s="65"/>
      <c r="Q62" s="65"/>
    </row>
    <row r="63" spans="1:17">
      <c r="A63" s="65"/>
      <c r="B63" s="65"/>
      <c r="C63" s="65"/>
      <c r="E63" s="65"/>
      <c r="F63" s="65"/>
      <c r="G63" s="65"/>
      <c r="H63" s="65"/>
      <c r="I63" s="65"/>
      <c r="J63" s="65"/>
      <c r="L63" s="65"/>
      <c r="M63" s="65"/>
      <c r="N63" s="65"/>
      <c r="O63" s="65"/>
      <c r="P63" s="65"/>
      <c r="Q63" s="65"/>
    </row>
    <row r="64" spans="1:17">
      <c r="A64" s="65"/>
      <c r="B64" s="65"/>
      <c r="C64" s="65"/>
      <c r="E64" s="65"/>
      <c r="F64" s="65"/>
      <c r="G64" s="65"/>
      <c r="H64" s="65"/>
      <c r="I64" s="65"/>
      <c r="J64" s="65"/>
      <c r="L64" s="65"/>
      <c r="M64" s="65"/>
      <c r="N64" s="65"/>
      <c r="O64" s="65"/>
      <c r="P64" s="65"/>
      <c r="Q64" s="65"/>
    </row>
    <row r="65" spans="1:17">
      <c r="A65" s="65"/>
      <c r="B65" s="65"/>
      <c r="C65" s="65"/>
      <c r="E65" s="65"/>
      <c r="F65" s="65"/>
      <c r="G65" s="65"/>
      <c r="H65" s="65"/>
      <c r="I65" s="65"/>
      <c r="J65" s="65"/>
      <c r="L65" s="65"/>
      <c r="M65" s="65"/>
      <c r="N65" s="65"/>
      <c r="O65" s="65"/>
      <c r="P65" s="65"/>
      <c r="Q65" s="65"/>
    </row>
  </sheetData>
  <phoneticPr fontId="24" type="noConversion"/>
  <conditionalFormatting sqref="N18:P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Q18:Q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5" right="0.75" top="1" bottom="1" header="0.5" footer="0.5"/>
  <pageSetup scale="48" orientation="portrait" cellComments="asDisplayed" r:id="rId1"/>
  <headerFooter alignWithMargins="0">
    <oddHeader xml:space="preserve">&amp;CSchedule 1
Morongo WOD Cost
&amp;R2023 Draft Annual Update
West of Devers Formula Rate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2"/>
  <sheetViews>
    <sheetView view="pageLayout" topLeftCell="C1" zoomScale="80" zoomScaleNormal="100" zoomScalePageLayoutView="80" workbookViewId="0">
      <selection activeCell="G45" sqref="G45"/>
    </sheetView>
  </sheetViews>
  <sheetFormatPr defaultRowHeight="12.5"/>
  <cols>
    <col min="1" max="1" width="4.54296875" customWidth="1"/>
    <col min="2" max="2" width="6.54296875" customWidth="1"/>
    <col min="3" max="5" width="14.54296875" customWidth="1"/>
    <col min="6" max="6" width="15.54296875" customWidth="1"/>
    <col min="7" max="7" width="16.54296875" customWidth="1"/>
    <col min="8" max="9" width="15.54296875" customWidth="1"/>
    <col min="10" max="10" width="15.453125" customWidth="1"/>
    <col min="11" max="11" width="14.54296875" customWidth="1"/>
    <col min="12" max="12" width="15.453125" customWidth="1"/>
    <col min="13" max="16" width="12.54296875" customWidth="1"/>
  </cols>
  <sheetData>
    <row r="1" spans="1:12" ht="13">
      <c r="A1" s="9" t="s">
        <v>46</v>
      </c>
      <c r="B1" s="25"/>
      <c r="C1" s="25"/>
      <c r="D1" s="25"/>
      <c r="E1" s="25"/>
      <c r="F1" s="25"/>
      <c r="G1" s="18"/>
      <c r="H1" s="18"/>
      <c r="I1" s="18"/>
      <c r="J1" s="18"/>
      <c r="K1" s="18"/>
      <c r="L1" s="65"/>
    </row>
    <row r="2" spans="1:12" ht="13">
      <c r="A2" s="18"/>
      <c r="B2" s="18"/>
      <c r="C2" s="18"/>
      <c r="D2" s="18"/>
      <c r="E2" s="18"/>
      <c r="F2" s="18"/>
      <c r="G2" s="18"/>
      <c r="H2" s="18"/>
      <c r="I2" s="18"/>
      <c r="J2" s="116"/>
      <c r="K2" s="116"/>
      <c r="L2" s="116"/>
    </row>
    <row r="3" spans="1:12" ht="13">
      <c r="A3" s="248"/>
      <c r="B3" s="117" t="s">
        <v>47</v>
      </c>
      <c r="C3" s="25"/>
      <c r="D3" s="118"/>
      <c r="E3" s="22"/>
      <c r="F3" s="25"/>
      <c r="G3" s="25"/>
      <c r="H3" s="25"/>
      <c r="I3" s="18"/>
      <c r="J3" s="18"/>
      <c r="K3" s="45"/>
      <c r="L3" s="18"/>
    </row>
    <row r="4" spans="1:12" s="5" customFormat="1" ht="13">
      <c r="A4" s="16"/>
      <c r="B4" s="119" t="s">
        <v>48</v>
      </c>
      <c r="C4" s="25"/>
      <c r="D4" s="118"/>
      <c r="E4" s="22"/>
      <c r="F4" s="25"/>
      <c r="G4" s="25"/>
      <c r="H4" s="25"/>
      <c r="I4" s="25"/>
      <c r="J4" s="25"/>
      <c r="K4" s="25"/>
      <c r="L4" s="25"/>
    </row>
    <row r="5" spans="1:12" s="5" customFormat="1" ht="13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">
      <c r="A6" s="65"/>
      <c r="B6" s="2" t="s">
        <v>49</v>
      </c>
      <c r="C6" s="65"/>
      <c r="D6" s="19"/>
      <c r="E6" s="20"/>
      <c r="F6" s="2"/>
      <c r="G6" s="93" t="s">
        <v>13</v>
      </c>
      <c r="H6" s="93" t="s">
        <v>14</v>
      </c>
      <c r="I6" s="18"/>
      <c r="J6" s="18"/>
      <c r="K6" s="18"/>
      <c r="L6" s="18"/>
    </row>
    <row r="7" spans="1:12" ht="13">
      <c r="A7" s="65"/>
      <c r="B7" s="248">
        <v>1</v>
      </c>
      <c r="C7" s="65"/>
      <c r="D7" s="49"/>
      <c r="E7" s="65"/>
      <c r="F7" s="12" t="s">
        <v>27</v>
      </c>
      <c r="G7" s="89">
        <f>'1-Morongo WOD Cost'!E19</f>
        <v>4871777.5357023356</v>
      </c>
      <c r="H7" s="18" t="str">
        <f>"1-Morongo WOD Cost, Line "&amp;'1-Morongo WOD Cost'!B19&amp;""</f>
        <v>1-Morongo WOD Cost, Line 10</v>
      </c>
      <c r="I7" s="25"/>
      <c r="J7" s="18"/>
      <c r="K7" s="18"/>
      <c r="L7" s="18"/>
    </row>
    <row r="8" spans="1:12" s="65" customFormat="1" ht="13">
      <c r="B8" s="248">
        <f>B7+1</f>
        <v>2</v>
      </c>
      <c r="D8" s="40"/>
      <c r="F8" s="12"/>
      <c r="G8" s="89"/>
      <c r="H8" s="18"/>
      <c r="I8" s="25"/>
      <c r="J8" s="18"/>
      <c r="K8" s="18"/>
      <c r="L8" s="18"/>
    </row>
    <row r="9" spans="1:12" ht="13">
      <c r="A9" s="65"/>
      <c r="B9" s="248">
        <f t="shared" ref="B9:B30" si="0">B8+1</f>
        <v>3</v>
      </c>
      <c r="C9" s="65"/>
      <c r="D9" s="18"/>
      <c r="E9" s="18"/>
      <c r="F9" s="18"/>
      <c r="G9" s="18"/>
      <c r="H9" s="20"/>
      <c r="I9" s="18"/>
      <c r="J9" s="18"/>
      <c r="K9" s="18"/>
      <c r="L9" s="18"/>
    </row>
    <row r="10" spans="1:12" ht="13">
      <c r="A10" s="65"/>
      <c r="B10" s="248">
        <f t="shared" si="0"/>
        <v>4</v>
      </c>
      <c r="C10" s="18"/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50</v>
      </c>
      <c r="J10" s="13" t="s">
        <v>51</v>
      </c>
      <c r="K10" s="13" t="s">
        <v>52</v>
      </c>
      <c r="L10" s="13" t="s">
        <v>53</v>
      </c>
    </row>
    <row r="11" spans="1:12" ht="13">
      <c r="A11" s="65"/>
      <c r="B11" s="248">
        <f t="shared" si="0"/>
        <v>5</v>
      </c>
      <c r="C11" s="19" t="s">
        <v>54</v>
      </c>
      <c r="D11" s="13"/>
      <c r="E11" s="202" t="s">
        <v>55</v>
      </c>
      <c r="F11" s="202" t="s">
        <v>56</v>
      </c>
      <c r="G11" s="202" t="s">
        <v>32</v>
      </c>
      <c r="H11" s="86" t="s">
        <v>57</v>
      </c>
      <c r="I11" s="202" t="s">
        <v>58</v>
      </c>
      <c r="J11" s="202" t="s">
        <v>59</v>
      </c>
      <c r="K11" s="202" t="s">
        <v>60</v>
      </c>
      <c r="L11" s="86" t="s">
        <v>61</v>
      </c>
    </row>
    <row r="12" spans="1:12" ht="13">
      <c r="A12" s="65"/>
      <c r="B12" s="248">
        <f t="shared" si="0"/>
        <v>6</v>
      </c>
      <c r="C12" s="18"/>
      <c r="D12" s="13"/>
      <c r="E12" s="245" t="s">
        <v>62</v>
      </c>
      <c r="F12" s="245" t="s">
        <v>62</v>
      </c>
      <c r="G12" s="120" t="s">
        <v>63</v>
      </c>
      <c r="H12" s="65"/>
      <c r="I12" s="13"/>
      <c r="J12" s="248" t="s">
        <v>64</v>
      </c>
      <c r="K12" s="13"/>
      <c r="L12" s="13"/>
    </row>
    <row r="13" spans="1:12" ht="13">
      <c r="A13" s="65"/>
      <c r="B13" s="248">
        <f t="shared" si="0"/>
        <v>7</v>
      </c>
      <c r="C13" s="18"/>
      <c r="D13" s="13"/>
      <c r="E13" s="65"/>
      <c r="F13" s="65"/>
      <c r="G13" s="121" t="s">
        <v>65</v>
      </c>
      <c r="H13" s="65"/>
      <c r="I13" s="18"/>
      <c r="J13" s="248" t="s">
        <v>66</v>
      </c>
      <c r="K13" s="18"/>
      <c r="L13" s="248" t="s">
        <v>64</v>
      </c>
    </row>
    <row r="14" spans="1:12" ht="13">
      <c r="A14" s="65"/>
      <c r="B14" s="248">
        <f t="shared" si="0"/>
        <v>8</v>
      </c>
      <c r="C14" s="18"/>
      <c r="D14" s="13"/>
      <c r="E14" s="65"/>
      <c r="F14" s="248"/>
      <c r="G14" s="16" t="s">
        <v>67</v>
      </c>
      <c r="H14" s="248" t="s">
        <v>68</v>
      </c>
      <c r="I14" s="18"/>
      <c r="J14" s="248" t="s">
        <v>69</v>
      </c>
      <c r="K14" s="18"/>
      <c r="L14" s="248" t="s">
        <v>66</v>
      </c>
    </row>
    <row r="15" spans="1:12" ht="13">
      <c r="A15" s="65"/>
      <c r="B15" s="248">
        <f t="shared" si="0"/>
        <v>9</v>
      </c>
      <c r="C15" s="18"/>
      <c r="D15" s="248"/>
      <c r="E15" s="65"/>
      <c r="F15" s="248" t="s">
        <v>68</v>
      </c>
      <c r="G15" s="16" t="s">
        <v>70</v>
      </c>
      <c r="H15" s="248" t="s">
        <v>66</v>
      </c>
      <c r="I15" s="248" t="s">
        <v>68</v>
      </c>
      <c r="J15" s="248" t="s">
        <v>71</v>
      </c>
      <c r="K15" s="21" t="s">
        <v>72</v>
      </c>
      <c r="L15" s="248" t="s">
        <v>69</v>
      </c>
    </row>
    <row r="16" spans="1:12" ht="13">
      <c r="A16" s="65"/>
      <c r="B16" s="248">
        <f t="shared" si="0"/>
        <v>10</v>
      </c>
      <c r="C16" s="18"/>
      <c r="D16" s="248"/>
      <c r="E16" s="248" t="s">
        <v>68</v>
      </c>
      <c r="F16" s="248" t="s">
        <v>73</v>
      </c>
      <c r="G16" s="16" t="s">
        <v>74</v>
      </c>
      <c r="H16" s="248" t="s">
        <v>69</v>
      </c>
      <c r="I16" s="248" t="s">
        <v>72</v>
      </c>
      <c r="J16" s="248" t="s">
        <v>75</v>
      </c>
      <c r="K16" s="248" t="s">
        <v>76</v>
      </c>
      <c r="L16" s="248" t="s">
        <v>71</v>
      </c>
    </row>
    <row r="17" spans="1:12" s="5" customFormat="1" ht="13">
      <c r="B17" s="248">
        <f t="shared" si="0"/>
        <v>11</v>
      </c>
      <c r="C17" s="8" t="s">
        <v>77</v>
      </c>
      <c r="D17" s="8" t="s">
        <v>78</v>
      </c>
      <c r="E17" s="17" t="s">
        <v>79</v>
      </c>
      <c r="F17" s="17" t="s">
        <v>80</v>
      </c>
      <c r="G17" s="17" t="s">
        <v>81</v>
      </c>
      <c r="H17" s="17" t="s">
        <v>71</v>
      </c>
      <c r="I17" s="17" t="s">
        <v>82</v>
      </c>
      <c r="J17" s="17" t="s">
        <v>83</v>
      </c>
      <c r="K17" s="17" t="s">
        <v>77</v>
      </c>
      <c r="L17" s="17" t="s">
        <v>84</v>
      </c>
    </row>
    <row r="18" spans="1:12" s="65" customFormat="1" ht="13">
      <c r="B18" s="248">
        <f t="shared" si="0"/>
        <v>12</v>
      </c>
      <c r="C18" s="51" t="s">
        <v>85</v>
      </c>
      <c r="D18" s="107">
        <v>2020</v>
      </c>
      <c r="E18" s="24" t="s">
        <v>86</v>
      </c>
      <c r="F18" s="24" t="s">
        <v>86</v>
      </c>
      <c r="G18" s="68">
        <v>0</v>
      </c>
      <c r="H18" s="20">
        <f>G18</f>
        <v>0</v>
      </c>
      <c r="I18" s="24" t="s">
        <v>86</v>
      </c>
      <c r="J18" s="23">
        <f>H18</f>
        <v>0</v>
      </c>
      <c r="K18" s="24" t="s">
        <v>86</v>
      </c>
      <c r="L18" s="69">
        <f>J18</f>
        <v>0</v>
      </c>
    </row>
    <row r="19" spans="1:12" ht="13">
      <c r="A19" s="65"/>
      <c r="B19" s="248">
        <f t="shared" si="0"/>
        <v>13</v>
      </c>
      <c r="C19" s="51" t="s">
        <v>87</v>
      </c>
      <c r="D19" s="107">
        <v>2021</v>
      </c>
      <c r="E19" s="66">
        <v>0</v>
      </c>
      <c r="F19" s="66">
        <v>0</v>
      </c>
      <c r="G19" s="71">
        <v>0</v>
      </c>
      <c r="H19" s="20">
        <f>E19-F19+G19</f>
        <v>0</v>
      </c>
      <c r="I19" s="75">
        <v>2.7000000000000001E-3</v>
      </c>
      <c r="J19" s="23">
        <f>L18+H19</f>
        <v>0</v>
      </c>
      <c r="K19" s="23">
        <f>((L18+J19)/2)*I19</f>
        <v>0</v>
      </c>
      <c r="L19" s="23">
        <f>J19+K19</f>
        <v>0</v>
      </c>
    </row>
    <row r="20" spans="1:12" ht="13">
      <c r="A20" s="65"/>
      <c r="B20" s="248">
        <f t="shared" si="0"/>
        <v>14</v>
      </c>
      <c r="C20" s="108" t="s">
        <v>88</v>
      </c>
      <c r="D20" s="107">
        <v>2021</v>
      </c>
      <c r="E20" s="66">
        <v>0</v>
      </c>
      <c r="F20" s="66">
        <v>0</v>
      </c>
      <c r="G20" s="109">
        <v>0</v>
      </c>
      <c r="H20" s="20">
        <f t="shared" ref="H20:H29" si="1">E20-F20+G20</f>
        <v>0</v>
      </c>
      <c r="I20" s="75">
        <v>2.7000000000000001E-3</v>
      </c>
      <c r="J20" s="23">
        <f>L19+H20</f>
        <v>0</v>
      </c>
      <c r="K20" s="23">
        <f>((L19+J20)/2)*I20</f>
        <v>0</v>
      </c>
      <c r="L20" s="23">
        <f t="shared" ref="L20:L29" si="2">J20+K20</f>
        <v>0</v>
      </c>
    </row>
    <row r="21" spans="1:12" ht="13">
      <c r="A21" s="65"/>
      <c r="B21" s="248">
        <f t="shared" si="0"/>
        <v>15</v>
      </c>
      <c r="C21" s="108" t="s">
        <v>89</v>
      </c>
      <c r="D21" s="107">
        <v>2021</v>
      </c>
      <c r="E21" s="66">
        <v>0</v>
      </c>
      <c r="F21" s="66">
        <v>0</v>
      </c>
      <c r="G21" s="109">
        <v>0</v>
      </c>
      <c r="H21" s="20">
        <f t="shared" si="1"/>
        <v>0</v>
      </c>
      <c r="I21" s="75">
        <v>2.7000000000000001E-3</v>
      </c>
      <c r="J21" s="23">
        <f t="shared" ref="J21:J29" si="3">L20+H21</f>
        <v>0</v>
      </c>
      <c r="K21" s="23">
        <f t="shared" ref="K21:K30" si="4">((L20+J21)/2)*I21</f>
        <v>0</v>
      </c>
      <c r="L21" s="23">
        <f t="shared" si="2"/>
        <v>0</v>
      </c>
    </row>
    <row r="22" spans="1:12" ht="13">
      <c r="A22" s="65"/>
      <c r="B22" s="248">
        <f t="shared" si="0"/>
        <v>16</v>
      </c>
      <c r="C22" s="51" t="s">
        <v>90</v>
      </c>
      <c r="D22" s="107">
        <v>2021</v>
      </c>
      <c r="E22" s="66">
        <v>0</v>
      </c>
      <c r="F22" s="66">
        <v>0</v>
      </c>
      <c r="G22" s="109">
        <v>0</v>
      </c>
      <c r="H22" s="20">
        <f t="shared" si="1"/>
        <v>0</v>
      </c>
      <c r="I22" s="75">
        <v>2.7000000000000001E-3</v>
      </c>
      <c r="J22" s="23">
        <f t="shared" si="3"/>
        <v>0</v>
      </c>
      <c r="K22" s="23">
        <f t="shared" si="4"/>
        <v>0</v>
      </c>
      <c r="L22" s="23">
        <f t="shared" si="2"/>
        <v>0</v>
      </c>
    </row>
    <row r="23" spans="1:12" ht="13">
      <c r="A23" s="65"/>
      <c r="B23" s="248">
        <f t="shared" si="0"/>
        <v>17</v>
      </c>
      <c r="C23" s="108" t="s">
        <v>91</v>
      </c>
      <c r="D23" s="107">
        <v>2021</v>
      </c>
      <c r="E23" s="66">
        <v>0</v>
      </c>
      <c r="F23" s="66">
        <v>0</v>
      </c>
      <c r="G23" s="109">
        <v>0</v>
      </c>
      <c r="H23" s="20">
        <f t="shared" si="1"/>
        <v>0</v>
      </c>
      <c r="I23" s="75">
        <v>2.7000000000000001E-3</v>
      </c>
      <c r="J23" s="23">
        <f t="shared" si="3"/>
        <v>0</v>
      </c>
      <c r="K23" s="23">
        <f t="shared" si="4"/>
        <v>0</v>
      </c>
      <c r="L23" s="23">
        <f t="shared" si="2"/>
        <v>0</v>
      </c>
    </row>
    <row r="24" spans="1:12" ht="13">
      <c r="A24" s="65"/>
      <c r="B24" s="248">
        <f t="shared" si="0"/>
        <v>18</v>
      </c>
      <c r="C24" s="108" t="s">
        <v>92</v>
      </c>
      <c r="D24" s="107">
        <v>2021</v>
      </c>
      <c r="E24" s="66">
        <v>0</v>
      </c>
      <c r="F24" s="66">
        <v>0</v>
      </c>
      <c r="G24" s="109">
        <v>0</v>
      </c>
      <c r="H24" s="20">
        <f t="shared" si="1"/>
        <v>0</v>
      </c>
      <c r="I24" s="75">
        <v>2.7000000000000001E-3</v>
      </c>
      <c r="J24" s="23">
        <f t="shared" si="3"/>
        <v>0</v>
      </c>
      <c r="K24" s="23">
        <f t="shared" si="4"/>
        <v>0</v>
      </c>
      <c r="L24" s="23">
        <f t="shared" si="2"/>
        <v>0</v>
      </c>
    </row>
    <row r="25" spans="1:12" ht="13">
      <c r="A25" s="65"/>
      <c r="B25" s="248">
        <f t="shared" si="0"/>
        <v>19</v>
      </c>
      <c r="C25" s="51" t="s">
        <v>93</v>
      </c>
      <c r="D25" s="107">
        <v>2021</v>
      </c>
      <c r="E25" s="66">
        <f>('1-Morongo WOD Cost'!$E$19/12)*(19/31)</f>
        <v>248827.34725361393</v>
      </c>
      <c r="F25" s="66">
        <v>0</v>
      </c>
      <c r="G25" s="109">
        <v>0</v>
      </c>
      <c r="H25" s="20">
        <f t="shared" si="1"/>
        <v>248827.34725361393</v>
      </c>
      <c r="I25" s="75">
        <v>2.7000000000000001E-3</v>
      </c>
      <c r="J25" s="23">
        <f t="shared" si="3"/>
        <v>248827.34725361393</v>
      </c>
      <c r="K25" s="23">
        <f t="shared" si="4"/>
        <v>335.91691879237885</v>
      </c>
      <c r="L25" s="23">
        <f t="shared" si="2"/>
        <v>249163.26417240631</v>
      </c>
    </row>
    <row r="26" spans="1:12" ht="13">
      <c r="A26" s="65"/>
      <c r="B26" s="248">
        <f t="shared" si="0"/>
        <v>20</v>
      </c>
      <c r="C26" s="108" t="s">
        <v>94</v>
      </c>
      <c r="D26" s="107">
        <v>2021</v>
      </c>
      <c r="E26" s="66">
        <f>'1-Morongo WOD Cost'!$E$19/12</f>
        <v>405981.46130852797</v>
      </c>
      <c r="F26" s="66">
        <v>423127</v>
      </c>
      <c r="G26" s="109">
        <v>0</v>
      </c>
      <c r="H26" s="20">
        <f>E26-F26+G26</f>
        <v>-17145.538691472029</v>
      </c>
      <c r="I26" s="75">
        <v>2.7000000000000001E-3</v>
      </c>
      <c r="J26" s="23">
        <f t="shared" si="3"/>
        <v>232017.72548093428</v>
      </c>
      <c r="K26" s="23">
        <f t="shared" si="4"/>
        <v>649.59433603200989</v>
      </c>
      <c r="L26" s="23">
        <f t="shared" si="2"/>
        <v>232667.31981696631</v>
      </c>
    </row>
    <row r="27" spans="1:12" ht="13">
      <c r="A27" s="65"/>
      <c r="B27" s="248">
        <f t="shared" si="0"/>
        <v>21</v>
      </c>
      <c r="C27" s="108" t="s">
        <v>95</v>
      </c>
      <c r="D27" s="107">
        <v>2021</v>
      </c>
      <c r="E27" s="66">
        <f>'1-Morongo WOD Cost'!$E$19/12</f>
        <v>405981.46130852797</v>
      </c>
      <c r="F27" s="66">
        <v>423127</v>
      </c>
      <c r="G27" s="109">
        <v>0</v>
      </c>
      <c r="H27" s="20">
        <f t="shared" si="1"/>
        <v>-17145.538691472029</v>
      </c>
      <c r="I27" s="75">
        <v>2.7000000000000001E-3</v>
      </c>
      <c r="J27" s="23">
        <f t="shared" si="3"/>
        <v>215521.78112549428</v>
      </c>
      <c r="K27" s="23">
        <f t="shared" si="4"/>
        <v>605.05528627232184</v>
      </c>
      <c r="L27" s="23">
        <f t="shared" si="2"/>
        <v>216126.83641176659</v>
      </c>
    </row>
    <row r="28" spans="1:12" ht="13">
      <c r="A28" s="65"/>
      <c r="B28" s="248">
        <f t="shared" si="0"/>
        <v>22</v>
      </c>
      <c r="C28" s="51" t="s">
        <v>96</v>
      </c>
      <c r="D28" s="107">
        <v>2021</v>
      </c>
      <c r="E28" s="66">
        <f>'1-Morongo WOD Cost'!$E$19/12</f>
        <v>405981.46130852797</v>
      </c>
      <c r="F28" s="66">
        <v>423127</v>
      </c>
      <c r="G28" s="109">
        <v>0</v>
      </c>
      <c r="H28" s="20">
        <f t="shared" si="1"/>
        <v>-17145.538691472029</v>
      </c>
      <c r="I28" s="75">
        <v>2.7000000000000001E-3</v>
      </c>
      <c r="J28" s="23">
        <f t="shared" si="3"/>
        <v>198981.29772029456</v>
      </c>
      <c r="K28" s="23">
        <f t="shared" si="4"/>
        <v>560.3959810782826</v>
      </c>
      <c r="L28" s="23">
        <f t="shared" si="2"/>
        <v>199541.69370137283</v>
      </c>
    </row>
    <row r="29" spans="1:12" ht="13">
      <c r="A29" s="65"/>
      <c r="B29" s="248">
        <f t="shared" si="0"/>
        <v>23</v>
      </c>
      <c r="C29" s="51" t="s">
        <v>97</v>
      </c>
      <c r="D29" s="107">
        <v>2021</v>
      </c>
      <c r="E29" s="66">
        <f>'1-Morongo WOD Cost'!$E$19/12</f>
        <v>405981.46130852797</v>
      </c>
      <c r="F29" s="66">
        <v>423127</v>
      </c>
      <c r="G29" s="109">
        <v>0</v>
      </c>
      <c r="H29" s="20">
        <f t="shared" si="1"/>
        <v>-17145.538691472029</v>
      </c>
      <c r="I29" s="75">
        <v>2.7000000000000001E-3</v>
      </c>
      <c r="J29" s="23">
        <f t="shared" si="3"/>
        <v>182396.1550099008</v>
      </c>
      <c r="K29" s="23">
        <f t="shared" si="4"/>
        <v>515.61609576021942</v>
      </c>
      <c r="L29" s="23">
        <f t="shared" si="2"/>
        <v>182911.77110566103</v>
      </c>
    </row>
    <row r="30" spans="1:12" ht="14.5">
      <c r="A30" s="65"/>
      <c r="B30" s="248">
        <f t="shared" si="0"/>
        <v>24</v>
      </c>
      <c r="C30" s="108" t="s">
        <v>85</v>
      </c>
      <c r="D30" s="107">
        <v>2021</v>
      </c>
      <c r="E30" s="66">
        <f>'1-Morongo WOD Cost'!$E$19/12</f>
        <v>405981.46130852797</v>
      </c>
      <c r="F30" s="66">
        <v>423127</v>
      </c>
      <c r="G30" s="77">
        <v>0</v>
      </c>
      <c r="H30" s="20">
        <f>E30-F30+G30</f>
        <v>-17145.538691472029</v>
      </c>
      <c r="I30" s="75">
        <v>2.7000000000000001E-3</v>
      </c>
      <c r="J30" s="23">
        <f>L29+H30</f>
        <v>165766.232414189</v>
      </c>
      <c r="K30" s="23">
        <f t="shared" si="4"/>
        <v>470.71530475179753</v>
      </c>
      <c r="L30" s="23">
        <f>J30+K30</f>
        <v>166236.94771894079</v>
      </c>
    </row>
    <row r="31" spans="1:12" s="65" customFormat="1" ht="13">
      <c r="A31" s="248"/>
      <c r="B31" s="18"/>
      <c r="C31" s="108"/>
      <c r="D31" s="25"/>
      <c r="E31" s="25"/>
      <c r="F31" s="25"/>
      <c r="G31" s="25"/>
      <c r="H31" s="25"/>
      <c r="I31" s="22"/>
      <c r="J31" s="23"/>
      <c r="K31" s="23"/>
      <c r="L31" s="23"/>
    </row>
    <row r="32" spans="1:12" ht="13">
      <c r="A32" s="248"/>
      <c r="B32" s="116" t="s">
        <v>98</v>
      </c>
      <c r="C32" s="5"/>
      <c r="D32" s="25"/>
      <c r="E32" s="25"/>
      <c r="F32" s="25"/>
      <c r="G32" s="65"/>
      <c r="H32" s="65"/>
      <c r="I32" s="65"/>
      <c r="J32" s="25"/>
      <c r="K32" s="65"/>
      <c r="L32" s="18"/>
    </row>
    <row r="33" spans="1:12" s="65" customFormat="1" ht="13">
      <c r="A33" s="248"/>
      <c r="C33" s="25"/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50</v>
      </c>
      <c r="J33" s="13" t="s">
        <v>51</v>
      </c>
      <c r="K33" s="13" t="s">
        <v>52</v>
      </c>
      <c r="L33" s="13" t="s">
        <v>53</v>
      </c>
    </row>
    <row r="34" spans="1:12" s="65" customFormat="1" ht="13">
      <c r="A34" s="248"/>
      <c r="C34" s="25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65" customFormat="1" ht="13">
      <c r="A35" s="248"/>
      <c r="I35" s="35" t="s">
        <v>10</v>
      </c>
      <c r="J35" s="25"/>
      <c r="K35" s="25"/>
      <c r="L35" s="18"/>
    </row>
    <row r="36" spans="1:12" s="65" customFormat="1" ht="13">
      <c r="A36" s="248"/>
      <c r="C36" s="26" t="s">
        <v>99</v>
      </c>
      <c r="G36" s="2" t="s">
        <v>13</v>
      </c>
      <c r="I36" s="79" t="s">
        <v>14</v>
      </c>
      <c r="J36" s="25"/>
      <c r="K36" s="25"/>
      <c r="L36" s="18"/>
    </row>
    <row r="37" spans="1:12" s="65" customFormat="1" ht="13">
      <c r="A37" s="248"/>
      <c r="B37" s="248">
        <f>B30+1</f>
        <v>25</v>
      </c>
      <c r="C37" s="92" t="s">
        <v>100</v>
      </c>
      <c r="G37" s="4">
        <f>L30</f>
        <v>166236.94771894079</v>
      </c>
      <c r="H37" s="25"/>
      <c r="I37" s="88" t="str">
        <f>"Line "&amp;B30&amp;", C9"</f>
        <v>Line 24, C9</v>
      </c>
      <c r="J37" s="25"/>
      <c r="K37" s="25"/>
      <c r="L37" s="18"/>
    </row>
    <row r="38" spans="1:12" ht="13">
      <c r="A38" s="248"/>
      <c r="B38" s="248">
        <f t="shared" ref="B38:B39" si="5">B37+1</f>
        <v>26</v>
      </c>
      <c r="C38" s="54" t="s">
        <v>101</v>
      </c>
      <c r="D38" s="25"/>
      <c r="E38" s="25"/>
      <c r="F38" s="25"/>
      <c r="G38" s="212">
        <v>0</v>
      </c>
      <c r="H38" s="25"/>
      <c r="I38" s="174" t="s">
        <v>102</v>
      </c>
      <c r="J38" s="25"/>
      <c r="K38" s="25"/>
      <c r="L38" s="18"/>
    </row>
    <row r="39" spans="1:12" s="65" customFormat="1" ht="13">
      <c r="A39" s="248"/>
      <c r="B39" s="248">
        <f t="shared" si="5"/>
        <v>27</v>
      </c>
      <c r="C39" s="25" t="s">
        <v>103</v>
      </c>
      <c r="D39" s="25"/>
      <c r="E39" s="25"/>
      <c r="F39" s="25"/>
      <c r="G39" s="22">
        <f>G37-G38</f>
        <v>166236.94771894079</v>
      </c>
      <c r="H39" s="25"/>
      <c r="I39" s="175" t="str">
        <f>"Line "&amp;B37&amp;" - Line "&amp;B38&amp;""</f>
        <v>Line 25 - Line 26</v>
      </c>
      <c r="J39" s="25"/>
      <c r="K39" s="25"/>
      <c r="L39" s="18"/>
    </row>
    <row r="40" spans="1:12" ht="13">
      <c r="A40" s="248"/>
      <c r="B40" s="70"/>
      <c r="C40" s="25"/>
      <c r="D40" s="25"/>
      <c r="E40" s="25"/>
      <c r="F40" s="25"/>
      <c r="G40" s="25"/>
      <c r="H40" s="25"/>
      <c r="I40" s="25"/>
      <c r="J40" s="25"/>
      <c r="K40" s="25"/>
      <c r="L40" s="18"/>
    </row>
    <row r="41" spans="1:12" ht="13">
      <c r="A41" s="248"/>
      <c r="B41" s="61" t="s">
        <v>36</v>
      </c>
      <c r="C41" s="25"/>
      <c r="D41" s="25"/>
      <c r="E41" s="25"/>
      <c r="F41" s="25"/>
      <c r="G41" s="25"/>
      <c r="H41" s="25"/>
      <c r="I41" s="25"/>
      <c r="J41" s="25"/>
      <c r="K41" s="25"/>
      <c r="L41" s="18"/>
    </row>
    <row r="42" spans="1:12" ht="13">
      <c r="A42" s="16"/>
      <c r="B42" s="70" t="s">
        <v>104</v>
      </c>
      <c r="C42" s="181"/>
      <c r="D42" s="25"/>
      <c r="E42" s="25"/>
      <c r="F42" s="25"/>
      <c r="G42" s="25"/>
      <c r="H42" s="25"/>
      <c r="I42" s="25"/>
      <c r="J42" s="25"/>
      <c r="K42" s="25"/>
      <c r="L42" s="18"/>
    </row>
    <row r="43" spans="1:12" ht="13">
      <c r="A43" s="16"/>
      <c r="B43" s="180" t="s">
        <v>105</v>
      </c>
      <c r="C43" s="181"/>
      <c r="D43" s="25"/>
      <c r="E43" s="25"/>
      <c r="F43" s="25"/>
      <c r="G43" s="25"/>
      <c r="H43" s="25"/>
      <c r="I43" s="25"/>
      <c r="J43" s="25"/>
      <c r="K43" s="25"/>
      <c r="L43" s="18"/>
    </row>
    <row r="44" spans="1:12" ht="13">
      <c r="A44" s="16"/>
      <c r="B44" s="182" t="s">
        <v>106</v>
      </c>
      <c r="C44" s="181"/>
      <c r="D44" s="25"/>
      <c r="E44" s="25"/>
      <c r="F44" s="25"/>
      <c r="G44" s="25"/>
      <c r="H44" s="25"/>
      <c r="I44" s="25"/>
      <c r="J44" s="25"/>
      <c r="K44" s="25"/>
      <c r="L44" s="18"/>
    </row>
    <row r="45" spans="1:12" ht="13">
      <c r="A45" s="16"/>
      <c r="B45" s="183" t="s">
        <v>107</v>
      </c>
      <c r="C45" s="181"/>
      <c r="D45" s="25"/>
      <c r="E45" s="25"/>
      <c r="F45" s="25"/>
      <c r="G45" s="25"/>
      <c r="H45" s="25"/>
      <c r="I45" s="25"/>
      <c r="J45" s="25"/>
      <c r="K45" s="25"/>
      <c r="L45" s="18"/>
    </row>
    <row r="46" spans="1:12" ht="13">
      <c r="A46" s="16"/>
      <c r="B46" s="183" t="s">
        <v>108</v>
      </c>
      <c r="C46" s="181"/>
      <c r="D46" s="25"/>
      <c r="E46" s="116"/>
      <c r="F46" s="25"/>
      <c r="G46" s="104"/>
      <c r="H46" s="25"/>
      <c r="I46" s="25"/>
      <c r="J46" s="25"/>
      <c r="K46" s="25"/>
      <c r="L46" s="25"/>
    </row>
    <row r="47" spans="1:12" ht="13">
      <c r="A47" s="16"/>
      <c r="B47" s="182" t="s">
        <v>109</v>
      </c>
      <c r="C47" s="181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3">
      <c r="A48" s="16"/>
      <c r="B48" s="182" t="s">
        <v>110</v>
      </c>
      <c r="C48" s="181"/>
      <c r="D48" s="25"/>
      <c r="E48" s="25"/>
      <c r="F48" s="25"/>
      <c r="G48" s="25"/>
      <c r="H48" s="25"/>
      <c r="I48" s="25"/>
      <c r="J48" s="25"/>
      <c r="K48" s="25"/>
      <c r="L48" s="18"/>
    </row>
    <row r="49" spans="1:17" ht="13">
      <c r="A49" s="16"/>
      <c r="B49" s="183" t="str">
        <f>"18 C.F.R. §35.19a on lines "&amp;B18&amp;" to "&amp;B30&amp;", Column 6."</f>
        <v>18 C.F.R. §35.19a on lines 12 to 24, Column 6.</v>
      </c>
      <c r="C49" s="181"/>
      <c r="D49" s="25"/>
      <c r="E49" s="25"/>
      <c r="F49" s="25"/>
      <c r="G49" s="25"/>
      <c r="H49" s="25"/>
      <c r="I49" s="25"/>
      <c r="J49" s="25"/>
      <c r="K49" s="25"/>
      <c r="L49" s="18"/>
      <c r="M49" s="65"/>
      <c r="N49" s="65"/>
      <c r="O49" s="65"/>
      <c r="P49" s="65"/>
      <c r="Q49" s="65"/>
    </row>
    <row r="50" spans="1:17" ht="13">
      <c r="A50" s="16"/>
      <c r="B50" s="182" t="s">
        <v>111</v>
      </c>
      <c r="C50" s="181"/>
      <c r="D50" s="25"/>
      <c r="E50" s="25"/>
      <c r="F50" s="25"/>
      <c r="G50" s="25"/>
      <c r="H50" s="25"/>
      <c r="I50" s="25"/>
      <c r="J50" s="25"/>
      <c r="K50" s="25"/>
      <c r="L50" s="18"/>
      <c r="M50" s="65"/>
      <c r="N50" s="65"/>
      <c r="O50" s="65"/>
      <c r="P50" s="65"/>
      <c r="Q50" s="65"/>
    </row>
    <row r="51" spans="1:17" s="65" customFormat="1" ht="13">
      <c r="A51" s="16"/>
      <c r="B51" s="183" t="s">
        <v>112</v>
      </c>
      <c r="C51" s="181"/>
      <c r="D51" s="25"/>
      <c r="E51" s="25"/>
      <c r="F51" s="25"/>
      <c r="G51" s="25"/>
      <c r="H51" s="25"/>
      <c r="I51" s="25"/>
      <c r="J51" s="25"/>
      <c r="K51" s="25"/>
      <c r="L51" s="18"/>
    </row>
    <row r="52" spans="1:17" ht="13">
      <c r="A52" s="16"/>
      <c r="B52" s="182" t="s">
        <v>113</v>
      </c>
      <c r="C52" s="181"/>
      <c r="D52" s="25"/>
      <c r="E52" s="25"/>
      <c r="F52" s="25"/>
      <c r="G52" s="25"/>
      <c r="H52" s="25"/>
      <c r="I52" s="25"/>
      <c r="J52" s="25"/>
      <c r="K52" s="25"/>
      <c r="L52" s="18"/>
      <c r="M52" s="65"/>
      <c r="N52" s="65"/>
      <c r="O52" s="65"/>
      <c r="P52" s="65"/>
      <c r="Q52" s="65"/>
    </row>
    <row r="53" spans="1:17" ht="13">
      <c r="A53" s="16"/>
      <c r="B53" s="184" t="s">
        <v>114</v>
      </c>
      <c r="C53" s="181"/>
      <c r="D53" s="25"/>
      <c r="E53" s="25"/>
      <c r="F53" s="25"/>
      <c r="G53" s="25"/>
      <c r="H53" s="25"/>
      <c r="I53" s="25"/>
      <c r="J53" s="25"/>
      <c r="K53" s="25"/>
      <c r="L53" s="18"/>
      <c r="M53" s="65"/>
      <c r="N53" s="65"/>
      <c r="O53" s="65"/>
      <c r="P53" s="65"/>
      <c r="Q53" s="65"/>
    </row>
    <row r="54" spans="1:17" ht="13">
      <c r="A54" s="248"/>
      <c r="B54" s="183"/>
      <c r="C54" s="181"/>
      <c r="D54" s="25"/>
      <c r="E54" s="25"/>
      <c r="F54" s="1"/>
      <c r="G54" s="90"/>
      <c r="H54" s="91"/>
      <c r="I54" s="25"/>
      <c r="J54" s="25"/>
      <c r="K54" s="25"/>
      <c r="L54" s="18"/>
      <c r="M54" s="65"/>
      <c r="N54" s="65"/>
      <c r="O54" s="65"/>
      <c r="P54" s="65"/>
      <c r="Q54" s="65"/>
    </row>
    <row r="55" spans="1:17" ht="13">
      <c r="A55" s="176"/>
      <c r="B55" s="197" t="s">
        <v>115</v>
      </c>
      <c r="C55" s="181"/>
      <c r="D55" s="101"/>
      <c r="E55" s="101"/>
      <c r="F55" s="100"/>
      <c r="G55" s="177"/>
      <c r="H55" s="100"/>
      <c r="I55" s="101"/>
      <c r="J55" s="101"/>
      <c r="K55" s="101"/>
      <c r="L55" s="100"/>
      <c r="M55" s="100"/>
      <c r="N55" s="100"/>
      <c r="O55" s="100"/>
      <c r="P55" s="100"/>
      <c r="Q55" s="100"/>
    </row>
    <row r="56" spans="1:17">
      <c r="A56" s="100"/>
      <c r="B56" s="41" t="s">
        <v>116</v>
      </c>
      <c r="C56" s="181"/>
      <c r="D56" s="101"/>
      <c r="E56" s="101"/>
      <c r="F56" s="101"/>
      <c r="G56" s="101"/>
      <c r="H56" s="101"/>
      <c r="I56" s="101"/>
      <c r="J56" s="101"/>
      <c r="K56" s="101"/>
      <c r="L56" s="100"/>
      <c r="M56" s="100"/>
      <c r="N56" s="100"/>
      <c r="O56" s="100"/>
      <c r="P56" s="100"/>
      <c r="Q56" s="100"/>
    </row>
    <row r="57" spans="1:17">
      <c r="A57" s="18"/>
      <c r="B57" s="62" t="s">
        <v>117</v>
      </c>
      <c r="C57" s="25"/>
      <c r="D57" s="25"/>
      <c r="E57" s="25"/>
      <c r="F57" s="25"/>
      <c r="G57" s="25"/>
      <c r="H57" s="25"/>
      <c r="I57" s="25"/>
      <c r="J57" s="25"/>
      <c r="K57" s="25"/>
      <c r="L57" s="18"/>
      <c r="M57" s="65"/>
      <c r="N57" s="65"/>
      <c r="O57" s="65"/>
      <c r="P57" s="65"/>
      <c r="Q57" s="65"/>
    </row>
    <row r="58" spans="1:17">
      <c r="A58" s="18"/>
      <c r="B58" s="41"/>
      <c r="C58" s="25"/>
      <c r="D58" s="25"/>
      <c r="E58" s="25"/>
      <c r="F58" s="25"/>
      <c r="G58" s="25"/>
      <c r="H58" s="25"/>
      <c r="I58" s="25"/>
      <c r="J58" s="25"/>
      <c r="K58" s="25"/>
      <c r="L58" s="18"/>
      <c r="M58" s="65"/>
      <c r="N58" s="65"/>
      <c r="O58" s="65"/>
      <c r="P58" s="65"/>
      <c r="Q58" s="65"/>
    </row>
    <row r="59" spans="1:17">
      <c r="A59" s="18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18"/>
      <c r="M59" s="65"/>
      <c r="N59" s="65"/>
      <c r="O59" s="65"/>
      <c r="P59" s="65"/>
      <c r="Q59" s="65"/>
    </row>
    <row r="60" spans="1:17">
      <c r="A60" s="18"/>
      <c r="B60" s="62"/>
      <c r="C60" s="25"/>
      <c r="D60" s="25"/>
      <c r="E60" s="25"/>
      <c r="F60" s="25"/>
      <c r="G60" s="25"/>
      <c r="H60" s="25"/>
      <c r="I60" s="25"/>
      <c r="J60" s="25"/>
      <c r="K60" s="25"/>
      <c r="L60" s="18"/>
      <c r="M60" s="65"/>
      <c r="N60" s="65"/>
      <c r="O60" s="65"/>
      <c r="P60" s="65"/>
      <c r="Q60" s="65"/>
    </row>
    <row r="61" spans="1:17">
      <c r="A61" s="18"/>
      <c r="B61" s="62"/>
      <c r="C61" s="25"/>
      <c r="D61" s="25"/>
      <c r="E61" s="25"/>
      <c r="F61" s="25"/>
      <c r="G61" s="25"/>
      <c r="H61" s="25"/>
      <c r="I61" s="25"/>
      <c r="J61" s="25"/>
      <c r="K61" s="25"/>
      <c r="L61" s="18"/>
      <c r="M61" s="65"/>
      <c r="N61" s="65"/>
      <c r="O61" s="65"/>
      <c r="P61" s="65"/>
      <c r="Q61" s="65"/>
    </row>
    <row r="62" spans="1:17">
      <c r="A62" s="18"/>
      <c r="B62" s="41"/>
      <c r="C62" s="25"/>
      <c r="D62" s="25"/>
      <c r="E62" s="25"/>
      <c r="F62" s="25"/>
      <c r="G62" s="25"/>
      <c r="H62" s="25"/>
      <c r="I62" s="25"/>
      <c r="J62" s="25"/>
      <c r="K62" s="25"/>
      <c r="L62" s="18"/>
      <c r="M62" s="65"/>
      <c r="N62" s="65"/>
      <c r="O62" s="65"/>
      <c r="P62" s="65"/>
      <c r="Q62" s="65"/>
    </row>
    <row r="63" spans="1:17">
      <c r="A63" s="18"/>
      <c r="B63" s="62"/>
      <c r="C63" s="25"/>
      <c r="D63" s="25"/>
      <c r="E63" s="25"/>
      <c r="F63" s="25"/>
      <c r="G63" s="25"/>
      <c r="H63" s="25"/>
      <c r="I63" s="25"/>
      <c r="J63" s="25"/>
      <c r="K63" s="25"/>
      <c r="L63" s="18"/>
      <c r="M63" s="65"/>
      <c r="N63" s="65"/>
      <c r="O63" s="65"/>
      <c r="P63" s="65"/>
      <c r="Q63" s="65"/>
    </row>
    <row r="64" spans="1:17">
      <c r="A64" s="18"/>
      <c r="B64" s="62"/>
      <c r="C64" s="25"/>
      <c r="D64" s="25"/>
      <c r="E64" s="25"/>
      <c r="F64" s="25"/>
      <c r="G64" s="25"/>
      <c r="H64" s="25"/>
      <c r="I64" s="25"/>
      <c r="J64" s="25"/>
      <c r="K64" s="25"/>
      <c r="L64" s="18"/>
      <c r="M64" s="65"/>
      <c r="N64" s="65"/>
      <c r="O64" s="65"/>
      <c r="P64" s="65"/>
      <c r="Q64" s="65"/>
    </row>
    <row r="65" spans="1:12">
      <c r="A65" s="18"/>
      <c r="B65" s="62"/>
      <c r="C65" s="25"/>
      <c r="D65" s="25"/>
      <c r="E65" s="25"/>
      <c r="F65" s="25"/>
      <c r="G65" s="25"/>
      <c r="H65" s="25"/>
      <c r="I65" s="25"/>
      <c r="J65" s="25"/>
      <c r="K65" s="25"/>
      <c r="L65" s="18"/>
    </row>
    <row r="66" spans="1:12">
      <c r="A66" s="18"/>
      <c r="B66" s="62"/>
      <c r="C66" s="25"/>
      <c r="D66" s="25"/>
      <c r="E66" s="25"/>
      <c r="F66" s="25"/>
      <c r="G66" s="25"/>
      <c r="H66" s="25"/>
      <c r="I66" s="25"/>
      <c r="J66" s="25"/>
      <c r="K66" s="25"/>
      <c r="L66" s="18"/>
    </row>
    <row r="67" spans="1:12">
      <c r="A67" s="18"/>
      <c r="B67" s="65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&amp;R2023 Draft Annual Update
West of Devers Formula Rate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3"/>
  <sheetViews>
    <sheetView view="pageLayout" topLeftCell="B1" zoomScale="90" zoomScaleNormal="100" zoomScaleSheetLayoutView="40" zoomScalePageLayoutView="90" workbookViewId="0">
      <selection activeCell="G31" sqref="G31"/>
    </sheetView>
  </sheetViews>
  <sheetFormatPr defaultColWidth="9.453125" defaultRowHeight="12.5"/>
  <cols>
    <col min="1" max="1" width="3.7265625" style="42" customWidth="1"/>
    <col min="2" max="2" width="5.54296875" style="47" customWidth="1"/>
    <col min="3" max="3" width="50.54296875" style="47" customWidth="1"/>
    <col min="4" max="4" width="6.26953125" style="46" customWidth="1"/>
    <col min="5" max="5" width="16.453125" style="46" customWidth="1"/>
    <col min="6" max="6" width="2.7265625" style="46" customWidth="1"/>
    <col min="7" max="7" width="24.1796875" style="46" customWidth="1"/>
    <col min="8" max="8" width="2.7265625" style="59" customWidth="1"/>
    <col min="9" max="9" width="29.81640625" style="57" customWidth="1"/>
    <col min="10" max="11" width="14.54296875" style="58" customWidth="1"/>
    <col min="12" max="14" width="14.54296875" style="47" customWidth="1"/>
    <col min="15" max="15" width="9.453125" style="42"/>
    <col min="16" max="16" width="10.54296875" style="42" bestFit="1" customWidth="1"/>
    <col min="17" max="18" width="9.453125" style="42"/>
    <col min="19" max="19" width="13.81640625" style="42" bestFit="1" customWidth="1"/>
    <col min="20" max="16384" width="9.453125" style="42"/>
  </cols>
  <sheetData>
    <row r="1" spans="1:19" ht="12.75" customHeight="1">
      <c r="A1" s="27" t="s">
        <v>118</v>
      </c>
      <c r="D1" s="28"/>
      <c r="E1" s="29"/>
      <c r="F1" s="29"/>
      <c r="G1" s="29"/>
      <c r="H1" s="30"/>
      <c r="I1" s="31"/>
      <c r="J1" s="31"/>
      <c r="K1" s="31"/>
      <c r="L1" s="31"/>
      <c r="M1" s="65"/>
      <c r="N1" s="42"/>
    </row>
    <row r="2" spans="1:19" ht="12.75" customHeight="1">
      <c r="B2" s="27"/>
      <c r="D2" s="28"/>
      <c r="E2" s="29"/>
      <c r="F2" s="29"/>
      <c r="G2" s="29"/>
      <c r="H2" s="30"/>
      <c r="I2" s="113"/>
      <c r="J2" s="43"/>
      <c r="K2" s="31"/>
      <c r="L2" s="31"/>
      <c r="M2" s="42"/>
      <c r="N2" s="42"/>
    </row>
    <row r="3" spans="1:19" ht="12.75" customHeight="1">
      <c r="B3" s="27"/>
      <c r="D3" s="28"/>
      <c r="E3" s="29"/>
      <c r="F3" s="29"/>
      <c r="G3" s="29"/>
      <c r="H3" s="29"/>
      <c r="I3" s="29"/>
      <c r="J3" s="29"/>
      <c r="K3" s="31"/>
      <c r="L3" s="31"/>
      <c r="M3" s="42"/>
      <c r="N3" s="42"/>
      <c r="R3" s="100"/>
      <c r="S3" s="100"/>
    </row>
    <row r="4" spans="1:19" ht="12.75" customHeight="1">
      <c r="B4" s="27"/>
      <c r="C4" s="42"/>
      <c r="D4" s="12" t="s">
        <v>119</v>
      </c>
      <c r="E4" s="147">
        <v>2021</v>
      </c>
      <c r="F4" s="29"/>
      <c r="G4" s="29"/>
      <c r="H4" s="73" t="s">
        <v>120</v>
      </c>
      <c r="I4" s="53" t="s">
        <v>121</v>
      </c>
      <c r="J4" s="29"/>
      <c r="K4" s="31"/>
      <c r="L4" s="31"/>
      <c r="M4" s="42"/>
      <c r="N4" s="42"/>
      <c r="R4" s="100"/>
      <c r="S4" s="100"/>
    </row>
    <row r="5" spans="1:19" ht="12.75" customHeight="1">
      <c r="B5" s="27"/>
      <c r="D5" s="28"/>
      <c r="E5" s="29"/>
      <c r="F5" s="29"/>
      <c r="G5" s="29"/>
      <c r="H5" s="30"/>
      <c r="I5" s="31"/>
      <c r="J5" s="31"/>
      <c r="K5" s="31"/>
      <c r="L5" s="31"/>
      <c r="M5" s="42"/>
      <c r="N5" s="42"/>
      <c r="R5" s="100"/>
      <c r="S5" s="100"/>
    </row>
    <row r="6" spans="1:19" ht="12.75" customHeight="1">
      <c r="B6" s="34"/>
      <c r="C6" s="42"/>
      <c r="D6" s="42"/>
      <c r="E6" s="42"/>
      <c r="F6" s="42"/>
      <c r="G6" s="29"/>
      <c r="H6" s="42"/>
      <c r="I6" s="42"/>
      <c r="J6" s="42"/>
      <c r="K6" s="7"/>
      <c r="L6" s="7"/>
      <c r="M6" s="7"/>
      <c r="N6" s="31"/>
      <c r="R6" s="100"/>
      <c r="S6" s="114"/>
    </row>
    <row r="7" spans="1:19" ht="12.75" customHeight="1">
      <c r="B7" s="33"/>
      <c r="C7" s="36" t="s">
        <v>5</v>
      </c>
      <c r="E7" s="36" t="s">
        <v>6</v>
      </c>
      <c r="F7" s="36"/>
      <c r="G7" s="36" t="s">
        <v>7</v>
      </c>
      <c r="H7" s="36"/>
      <c r="I7" s="36" t="s">
        <v>8</v>
      </c>
      <c r="J7" s="36"/>
      <c r="K7" s="36"/>
      <c r="L7" s="36"/>
      <c r="M7" s="36"/>
      <c r="N7" s="36"/>
      <c r="R7" s="100"/>
      <c r="S7" s="114"/>
    </row>
    <row r="8" spans="1:19" ht="12.75" customHeight="1">
      <c r="B8" s="33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  <c r="R8" s="100"/>
      <c r="S8" s="114"/>
    </row>
    <row r="9" spans="1:19" ht="12.75" customHeight="1">
      <c r="A9" s="32" t="s">
        <v>122</v>
      </c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R9" s="100"/>
      <c r="S9" s="114"/>
    </row>
    <row r="10" spans="1:19" ht="13">
      <c r="G10" s="35" t="s">
        <v>10</v>
      </c>
      <c r="J10" s="35"/>
    </row>
    <row r="11" spans="1:19" ht="13">
      <c r="B11" s="10" t="s">
        <v>11</v>
      </c>
      <c r="C11" s="170" t="s">
        <v>123</v>
      </c>
      <c r="E11" s="39" t="s">
        <v>13</v>
      </c>
      <c r="F11" s="39"/>
      <c r="G11" s="79" t="s">
        <v>14</v>
      </c>
      <c r="I11" s="79" t="s">
        <v>124</v>
      </c>
      <c r="J11" s="39"/>
    </row>
    <row r="12" spans="1:19" ht="13">
      <c r="B12" s="248">
        <v>1</v>
      </c>
      <c r="C12" s="171" t="s">
        <v>125</v>
      </c>
      <c r="E12" s="85">
        <f>7000000/3</f>
        <v>2333333.3333333335</v>
      </c>
      <c r="F12" s="39"/>
      <c r="G12" s="81" t="s">
        <v>126</v>
      </c>
      <c r="I12" s="207"/>
      <c r="J12" s="46"/>
    </row>
    <row r="13" spans="1:19" ht="13">
      <c r="B13" s="7">
        <f t="shared" ref="B13:B19" si="0">B12+1</f>
        <v>2</v>
      </c>
    </row>
    <row r="14" spans="1:19" ht="13">
      <c r="B14" s="7">
        <f t="shared" si="0"/>
        <v>3</v>
      </c>
      <c r="C14" s="94" t="s">
        <v>127</v>
      </c>
      <c r="E14" s="235">
        <f>'9-Allocators'!H42</f>
        <v>0.61354328138156622</v>
      </c>
      <c r="G14" s="168" t="str">
        <f>"9-Allocators, Line "&amp;'9-Allocators'!A42&amp;""</f>
        <v>9-Allocators, Line 39</v>
      </c>
      <c r="I14" s="43"/>
    </row>
    <row r="15" spans="1:19" ht="13">
      <c r="B15" s="7">
        <f t="shared" si="0"/>
        <v>4</v>
      </c>
      <c r="C15" s="82"/>
      <c r="D15" s="169" t="s">
        <v>128</v>
      </c>
      <c r="E15" s="255">
        <f>E12*E14</f>
        <v>1431600.9898903212</v>
      </c>
      <c r="G15" s="81" t="str">
        <f>"Line "&amp;B12&amp;" * Line "&amp;B14&amp;""</f>
        <v>Line 1 * Line 3</v>
      </c>
    </row>
    <row r="16" spans="1:19" ht="13">
      <c r="B16" s="7">
        <f t="shared" si="0"/>
        <v>5</v>
      </c>
      <c r="C16" s="82"/>
      <c r="E16" s="98"/>
      <c r="G16" s="81"/>
    </row>
    <row r="17" spans="2:9" ht="13">
      <c r="B17" s="7">
        <f t="shared" si="0"/>
        <v>6</v>
      </c>
      <c r="G17" s="35" t="s">
        <v>10</v>
      </c>
    </row>
    <row r="18" spans="2:9" ht="13">
      <c r="B18" s="7">
        <f t="shared" si="0"/>
        <v>7</v>
      </c>
      <c r="C18" s="170" t="s">
        <v>129</v>
      </c>
      <c r="E18" s="39" t="s">
        <v>13</v>
      </c>
      <c r="F18" s="39"/>
      <c r="G18" s="79" t="s">
        <v>14</v>
      </c>
      <c r="I18" s="79" t="s">
        <v>124</v>
      </c>
    </row>
    <row r="19" spans="2:9" ht="13">
      <c r="B19" s="7">
        <f t="shared" si="0"/>
        <v>8</v>
      </c>
      <c r="C19" s="172"/>
      <c r="E19" s="85"/>
      <c r="F19" s="39"/>
      <c r="G19" s="81" t="s">
        <v>126</v>
      </c>
      <c r="I19" s="207"/>
    </row>
    <row r="20" spans="2:9" ht="13">
      <c r="B20" s="7">
        <f>B19+1</f>
        <v>9</v>
      </c>
      <c r="C20" s="84"/>
      <c r="E20" s="85"/>
      <c r="F20" s="39"/>
      <c r="I20" s="207"/>
    </row>
    <row r="21" spans="2:9" ht="13">
      <c r="B21" s="7">
        <f t="shared" ref="B21:B29" si="1">B20+1</f>
        <v>10</v>
      </c>
      <c r="C21" s="80"/>
      <c r="E21" s="85"/>
      <c r="F21" s="39"/>
      <c r="I21" s="207"/>
    </row>
    <row r="22" spans="2:9" ht="13">
      <c r="B22" s="7">
        <f t="shared" si="1"/>
        <v>11</v>
      </c>
      <c r="C22" s="80"/>
      <c r="E22" s="85"/>
      <c r="F22" s="39"/>
      <c r="I22" s="207"/>
    </row>
    <row r="23" spans="2:9" ht="13">
      <c r="B23" s="7">
        <f t="shared" si="1"/>
        <v>12</v>
      </c>
      <c r="C23" s="80"/>
      <c r="E23" s="85"/>
      <c r="F23" s="39"/>
      <c r="I23" s="207"/>
    </row>
    <row r="24" spans="2:9" ht="13">
      <c r="B24" s="7">
        <f t="shared" si="1"/>
        <v>13</v>
      </c>
      <c r="D24" s="63"/>
      <c r="E24" s="83">
        <f>SUM(E19:E23)</f>
        <v>0</v>
      </c>
      <c r="G24" s="60" t="s">
        <v>130</v>
      </c>
    </row>
    <row r="25" spans="2:9" ht="13">
      <c r="B25" s="7">
        <f t="shared" si="1"/>
        <v>14</v>
      </c>
    </row>
    <row r="26" spans="2:9" ht="13">
      <c r="B26" s="7">
        <f t="shared" si="1"/>
        <v>15</v>
      </c>
      <c r="C26" s="94" t="s">
        <v>127</v>
      </c>
      <c r="E26" s="235">
        <f>'9-Allocators'!H42</f>
        <v>0.61354328138156622</v>
      </c>
      <c r="G26" s="168" t="str">
        <f>"9-Allocators, Line "&amp;'9-Allocators'!A42&amp;""</f>
        <v>9-Allocators, Line 39</v>
      </c>
      <c r="I26" s="43"/>
    </row>
    <row r="27" spans="2:9" ht="13">
      <c r="B27" s="7">
        <f t="shared" si="1"/>
        <v>16</v>
      </c>
      <c r="C27" s="82"/>
      <c r="D27" s="169" t="s">
        <v>131</v>
      </c>
      <c r="E27" s="83">
        <f>E24*E26</f>
        <v>0</v>
      </c>
      <c r="G27" s="81" t="str">
        <f>"Line "&amp;B24&amp;" * Line "&amp;B26&amp;""</f>
        <v>Line 13 * Line 15</v>
      </c>
    </row>
    <row r="28" spans="2:9" ht="13">
      <c r="B28" s="7">
        <f t="shared" si="1"/>
        <v>17</v>
      </c>
    </row>
    <row r="29" spans="2:9" ht="13">
      <c r="B29" s="7">
        <f t="shared" si="1"/>
        <v>18</v>
      </c>
      <c r="D29" s="169" t="s">
        <v>132</v>
      </c>
      <c r="E29" s="83">
        <f>E27+E15</f>
        <v>1431600.9898903212</v>
      </c>
      <c r="G29" s="81" t="str">
        <f>"Line "&amp;B15&amp;" + Line "&amp;B27&amp;""</f>
        <v>Line 4 + Line 16</v>
      </c>
    </row>
    <row r="32" spans="2:9" ht="13">
      <c r="B32" s="78" t="s">
        <v>36</v>
      </c>
    </row>
    <row r="33" spans="2:2">
      <c r="B33" s="81" t="s">
        <v>133</v>
      </c>
    </row>
  </sheetData>
  <pageMargins left="0.7" right="0.7" top="0.75" bottom="0.75" header="0.3" footer="0.3"/>
  <pageSetup scale="60" orientation="landscape" cellComments="asDisplayed" r:id="rId1"/>
  <headerFooter>
    <oddHeader xml:space="preserve">&amp;CSchedule 3
Direct OandM
&amp;R2023 Draft Annual Update
West of Devers Formula Rate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dimension ref="A1:W59"/>
  <sheetViews>
    <sheetView view="pageLayout" topLeftCell="C7" zoomScale="80" zoomScaleNormal="70" zoomScalePageLayoutView="80" workbookViewId="0">
      <selection activeCell="H56" sqref="H56"/>
    </sheetView>
  </sheetViews>
  <sheetFormatPr defaultColWidth="9.1796875" defaultRowHeight="12.5"/>
  <cols>
    <col min="1" max="1" width="3.7265625" style="65" customWidth="1"/>
    <col min="2" max="2" width="4.7265625" style="65" customWidth="1"/>
    <col min="3" max="3" width="50.7265625" style="65" customWidth="1"/>
    <col min="4" max="4" width="2.26953125" style="65" customWidth="1"/>
    <col min="5" max="5" width="13.81640625" style="65" customWidth="1"/>
    <col min="6" max="6" width="13.453125" style="65" customWidth="1"/>
    <col min="7" max="7" width="12.7265625" style="65" customWidth="1"/>
    <col min="8" max="8" width="15.453125" style="65" customWidth="1"/>
    <col min="9" max="9" width="26.453125" style="65" customWidth="1"/>
    <col min="10" max="10" width="14.453125" style="65" customWidth="1"/>
    <col min="11" max="11" width="12.81640625" style="65" bestFit="1" customWidth="1"/>
    <col min="12" max="12" width="13.26953125" style="65" customWidth="1"/>
    <col min="13" max="13" width="11.26953125" style="65" customWidth="1"/>
    <col min="14" max="14" width="11.453125" style="65" customWidth="1"/>
    <col min="15" max="15" width="13.36328125" style="65" customWidth="1"/>
    <col min="16" max="16" width="11.6328125" style="65" customWidth="1"/>
    <col min="17" max="17" width="11.54296875" style="65" customWidth="1"/>
    <col min="18" max="18" width="2.81640625" style="65" customWidth="1"/>
    <col min="19" max="19" width="13.26953125" style="65" bestFit="1" customWidth="1"/>
    <col min="20" max="20" width="14.1796875" style="65" customWidth="1"/>
    <col min="21" max="21" width="9.1796875" style="65"/>
    <col min="22" max="22" width="13.81640625" style="65" bestFit="1" customWidth="1"/>
    <col min="23" max="16384" width="9.1796875" style="65"/>
  </cols>
  <sheetData>
    <row r="1" spans="1:20" ht="13">
      <c r="A1" s="1" t="s">
        <v>134</v>
      </c>
    </row>
    <row r="2" spans="1:20" ht="13">
      <c r="A2" s="1"/>
    </row>
    <row r="3" spans="1:20" ht="13">
      <c r="A3" s="1"/>
      <c r="C3" s="12" t="s">
        <v>119</v>
      </c>
      <c r="E3" s="132">
        <v>2021</v>
      </c>
    </row>
    <row r="4" spans="1:20" ht="13">
      <c r="A4" s="1"/>
    </row>
    <row r="5" spans="1:20" ht="13"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/>
      <c r="S5" s="248" t="s">
        <v>148</v>
      </c>
      <c r="T5" s="248" t="s">
        <v>149</v>
      </c>
    </row>
    <row r="6" spans="1:20" ht="13">
      <c r="E6" s="248" t="s">
        <v>150</v>
      </c>
      <c r="F6" s="248" t="s">
        <v>150</v>
      </c>
      <c r="G6" s="248" t="s">
        <v>150</v>
      </c>
      <c r="M6" s="248" t="s">
        <v>151</v>
      </c>
      <c r="N6" s="248" t="s">
        <v>151</v>
      </c>
      <c r="O6" s="248"/>
      <c r="P6" s="248"/>
    </row>
    <row r="7" spans="1:20" ht="13">
      <c r="E7" s="248"/>
      <c r="J7" s="86" t="s">
        <v>152</v>
      </c>
      <c r="K7" s="86" t="s">
        <v>153</v>
      </c>
      <c r="L7" s="86" t="s">
        <v>154</v>
      </c>
      <c r="M7" s="248"/>
      <c r="O7" s="86" t="s">
        <v>155</v>
      </c>
      <c r="P7" s="86" t="s">
        <v>156</v>
      </c>
      <c r="Q7" s="86" t="s">
        <v>157</v>
      </c>
      <c r="R7" s="86"/>
      <c r="S7" s="86" t="s">
        <v>158</v>
      </c>
      <c r="T7" s="86" t="s">
        <v>159</v>
      </c>
    </row>
    <row r="8" spans="1:20" ht="13">
      <c r="E8" s="248"/>
      <c r="M8" s="16" t="s">
        <v>160</v>
      </c>
      <c r="N8" s="16" t="s">
        <v>160</v>
      </c>
      <c r="S8" s="245" t="s">
        <v>161</v>
      </c>
    </row>
    <row r="9" spans="1:20" ht="13">
      <c r="H9" s="248" t="s">
        <v>162</v>
      </c>
      <c r="I9" s="248"/>
      <c r="J9" s="248"/>
      <c r="K9" s="248"/>
      <c r="L9" s="248"/>
      <c r="M9" s="16" t="s">
        <v>73</v>
      </c>
      <c r="N9" s="16" t="s">
        <v>73</v>
      </c>
      <c r="O9" s="248" t="s">
        <v>163</v>
      </c>
      <c r="P9" s="248" t="s">
        <v>163</v>
      </c>
      <c r="Q9" s="248" t="s">
        <v>163</v>
      </c>
      <c r="R9" s="248"/>
      <c r="S9" s="248"/>
    </row>
    <row r="10" spans="1:20" ht="13">
      <c r="E10" s="264" t="s">
        <v>164</v>
      </c>
      <c r="F10" s="264"/>
      <c r="G10" s="264"/>
      <c r="H10" s="248" t="s">
        <v>165</v>
      </c>
      <c r="I10" s="248" t="s">
        <v>166</v>
      </c>
      <c r="J10" s="264" t="s">
        <v>167</v>
      </c>
      <c r="K10" s="264"/>
      <c r="L10" s="264"/>
      <c r="M10" s="16" t="s">
        <v>168</v>
      </c>
      <c r="N10" s="16" t="s">
        <v>168</v>
      </c>
      <c r="O10" s="248" t="s">
        <v>169</v>
      </c>
      <c r="P10" s="248" t="s">
        <v>169</v>
      </c>
      <c r="Q10" s="248" t="s">
        <v>169</v>
      </c>
      <c r="R10" s="248"/>
      <c r="S10" s="248"/>
      <c r="T10" s="190" t="s">
        <v>73</v>
      </c>
    </row>
    <row r="11" spans="1:20" ht="13">
      <c r="B11" s="10" t="s">
        <v>11</v>
      </c>
      <c r="C11" s="38" t="s">
        <v>170</v>
      </c>
      <c r="E11" s="17" t="s">
        <v>171</v>
      </c>
      <c r="F11" s="17" t="s">
        <v>172</v>
      </c>
      <c r="G11" s="17" t="s">
        <v>173</v>
      </c>
      <c r="H11" s="17" t="s">
        <v>166</v>
      </c>
      <c r="I11" s="17" t="s">
        <v>174</v>
      </c>
      <c r="J11" s="17" t="s">
        <v>171</v>
      </c>
      <c r="K11" s="17" t="s">
        <v>175</v>
      </c>
      <c r="L11" s="17" t="s">
        <v>173</v>
      </c>
      <c r="M11" s="17" t="s">
        <v>175</v>
      </c>
      <c r="N11" s="17" t="s">
        <v>173</v>
      </c>
      <c r="O11" s="17" t="s">
        <v>171</v>
      </c>
      <c r="P11" s="17" t="s">
        <v>175</v>
      </c>
      <c r="Q11" s="17" t="s">
        <v>173</v>
      </c>
      <c r="R11" s="17"/>
      <c r="S11" s="192" t="s">
        <v>176</v>
      </c>
      <c r="T11" s="192" t="s">
        <v>177</v>
      </c>
    </row>
    <row r="12" spans="1:20" ht="13">
      <c r="A12" s="42"/>
      <c r="B12" s="248">
        <v>1</v>
      </c>
      <c r="C12" s="48" t="s">
        <v>178</v>
      </c>
      <c r="E12" s="110">
        <v>2189287.3497558758</v>
      </c>
      <c r="F12" s="110">
        <v>667233.52283001808</v>
      </c>
      <c r="G12" s="110">
        <v>1522053.8269258579</v>
      </c>
      <c r="H12" s="236">
        <f>'9-Allocators'!H24</f>
        <v>0.46715921003825411</v>
      </c>
      <c r="I12" s="131" t="str">
        <f>"9-Allocators, Line "&amp;'9-Allocators'!A24&amp;""</f>
        <v>9-Allocators, Line 21</v>
      </c>
      <c r="J12" s="4">
        <f>E12*H12</f>
        <v>1022745.7488586978</v>
      </c>
      <c r="K12" s="4">
        <f>H12*F12</f>
        <v>311704.28543631261</v>
      </c>
      <c r="L12" s="4">
        <f>H12*G12</f>
        <v>711041.46342238539</v>
      </c>
      <c r="M12" s="127"/>
      <c r="N12" s="127"/>
      <c r="O12" s="126">
        <f>J12+M12+N12</f>
        <v>1022745.7488586978</v>
      </c>
      <c r="P12" s="126">
        <f>K12+M12</f>
        <v>311704.28543631261</v>
      </c>
      <c r="Q12" s="126">
        <f>L12+N12</f>
        <v>711041.46342238539</v>
      </c>
      <c r="R12" s="126"/>
      <c r="S12" s="240">
        <f>'9-Allocators'!$H$72</f>
        <v>1.991783226380479E-2</v>
      </c>
      <c r="T12" s="191">
        <f>O12*S12</f>
        <v>20370.878274286963</v>
      </c>
    </row>
    <row r="13" spans="1:20" ht="13">
      <c r="B13" s="248">
        <f>B12+1</f>
        <v>2</v>
      </c>
      <c r="C13" s="48" t="s">
        <v>179</v>
      </c>
      <c r="E13" s="110">
        <v>327014.34999999998</v>
      </c>
      <c r="F13" s="110">
        <v>0</v>
      </c>
      <c r="G13" s="110">
        <v>327014.34999999998</v>
      </c>
      <c r="H13" s="237">
        <v>0</v>
      </c>
      <c r="I13" s="128" t="s">
        <v>180</v>
      </c>
      <c r="J13" s="4">
        <f>E13*H13</f>
        <v>0</v>
      </c>
      <c r="K13" s="4">
        <f>H13*F13</f>
        <v>0</v>
      </c>
      <c r="L13" s="4">
        <f t="shared" ref="L13:L41" si="0">H13*G13</f>
        <v>0</v>
      </c>
      <c r="M13" s="127"/>
      <c r="N13" s="127"/>
      <c r="O13" s="126">
        <f t="shared" ref="O13:O42" si="1">J13+M13+N13</f>
        <v>0</v>
      </c>
      <c r="P13" s="126">
        <f t="shared" ref="P13:P42" si="2">K13+M13</f>
        <v>0</v>
      </c>
      <c r="Q13" s="126">
        <f t="shared" ref="Q13:Q42" si="3">L13+N13</f>
        <v>0</v>
      </c>
      <c r="R13" s="126"/>
      <c r="S13" s="240">
        <f>'9-Allocators'!$H$72</f>
        <v>1.991783226380479E-2</v>
      </c>
      <c r="T13" s="191">
        <f t="shared" ref="T13:T42" si="4">O13*S13</f>
        <v>0</v>
      </c>
    </row>
    <row r="14" spans="1:20" ht="13">
      <c r="A14" s="42"/>
      <c r="B14" s="248">
        <f t="shared" ref="B14:B43" si="5">B13+1</f>
        <v>3</v>
      </c>
      <c r="C14" s="55" t="s">
        <v>181</v>
      </c>
      <c r="E14" s="110">
        <v>4386635.0884719715</v>
      </c>
      <c r="F14" s="110">
        <v>3438602.2753797467</v>
      </c>
      <c r="G14" s="110">
        <v>948032.8130922243</v>
      </c>
      <c r="H14" s="236">
        <f>'9-Allocators'!H24</f>
        <v>0.46715921003825411</v>
      </c>
      <c r="I14" s="130" t="str">
        <f>"9-Allocators, Line "&amp;'9-Allocators'!A24&amp;""</f>
        <v>9-Allocators, Line 21</v>
      </c>
      <c r="J14" s="4">
        <f t="shared" ref="J14:J40" si="6">E14*H14</f>
        <v>2049256.982656653</v>
      </c>
      <c r="K14" s="4">
        <f t="shared" ref="K14:K41" si="7">H14*F14</f>
        <v>1606374.7226021455</v>
      </c>
      <c r="L14" s="4">
        <f t="shared" si="0"/>
        <v>442882.26005450729</v>
      </c>
      <c r="M14" s="127"/>
      <c r="N14" s="127"/>
      <c r="O14" s="126">
        <f t="shared" si="1"/>
        <v>2049256.982656653</v>
      </c>
      <c r="P14" s="126">
        <f t="shared" si="2"/>
        <v>1606374.7226021455</v>
      </c>
      <c r="Q14" s="126">
        <f t="shared" si="3"/>
        <v>442882.26005450729</v>
      </c>
      <c r="R14" s="126"/>
      <c r="S14" s="240">
        <f>'9-Allocators'!$H$72</f>
        <v>1.991783226380479E-2</v>
      </c>
      <c r="T14" s="191">
        <f t="shared" si="4"/>
        <v>40816.756845985939</v>
      </c>
    </row>
    <row r="15" spans="1:20" ht="13">
      <c r="A15" s="42"/>
      <c r="B15" s="248">
        <f t="shared" si="5"/>
        <v>4</v>
      </c>
      <c r="C15" s="55" t="s">
        <v>182</v>
      </c>
      <c r="E15" s="110">
        <v>0</v>
      </c>
      <c r="F15" s="110">
        <v>0</v>
      </c>
      <c r="G15" s="110">
        <v>0</v>
      </c>
      <c r="H15" s="236">
        <f>'9-Allocators'!H24</f>
        <v>0.46715921003825411</v>
      </c>
      <c r="I15" s="130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127"/>
      <c r="N15" s="127"/>
      <c r="O15" s="126">
        <f t="shared" si="1"/>
        <v>0</v>
      </c>
      <c r="P15" s="126">
        <f t="shared" si="2"/>
        <v>0</v>
      </c>
      <c r="Q15" s="126">
        <f t="shared" si="3"/>
        <v>0</v>
      </c>
      <c r="R15" s="126"/>
      <c r="S15" s="240">
        <f>'9-Allocators'!$H$72</f>
        <v>1.991783226380479E-2</v>
      </c>
      <c r="T15" s="191">
        <f t="shared" si="4"/>
        <v>0</v>
      </c>
    </row>
    <row r="16" spans="1:20" ht="13">
      <c r="A16" s="42"/>
      <c r="B16" s="248">
        <f t="shared" si="5"/>
        <v>5</v>
      </c>
      <c r="C16" s="55" t="s">
        <v>183</v>
      </c>
      <c r="E16" s="110">
        <v>4387896.2600000007</v>
      </c>
      <c r="F16" s="110">
        <v>3850591.4300000011</v>
      </c>
      <c r="G16" s="110">
        <v>537304.82999999973</v>
      </c>
      <c r="H16" s="236">
        <f>'9-Allocators'!H24</f>
        <v>0.46715921003825411</v>
      </c>
      <c r="I16" s="130" t="str">
        <f>"9-Allocators, Line "&amp;'9-Allocators'!A24&amp;""</f>
        <v>9-Allocators, Line 21</v>
      </c>
      <c r="J16" s="4">
        <f t="shared" si="6"/>
        <v>2049846.1505514099</v>
      </c>
      <c r="K16" s="4">
        <f t="shared" si="7"/>
        <v>1798839.2506188718</v>
      </c>
      <c r="L16" s="4">
        <f t="shared" si="0"/>
        <v>251006.8999325383</v>
      </c>
      <c r="M16" s="127"/>
      <c r="N16" s="127"/>
      <c r="O16" s="126">
        <f t="shared" si="1"/>
        <v>2049846.1505514099</v>
      </c>
      <c r="P16" s="126">
        <f t="shared" si="2"/>
        <v>1798839.2506188718</v>
      </c>
      <c r="Q16" s="126">
        <f t="shared" si="3"/>
        <v>251006.8999325383</v>
      </c>
      <c r="R16" s="126"/>
      <c r="S16" s="240">
        <f>'9-Allocators'!$H$72</f>
        <v>1.991783226380479E-2</v>
      </c>
      <c r="T16" s="191">
        <f t="shared" si="4"/>
        <v>40828.491793288922</v>
      </c>
    </row>
    <row r="17" spans="1:20" ht="13">
      <c r="B17" s="248">
        <f t="shared" si="5"/>
        <v>6</v>
      </c>
      <c r="C17" s="55" t="s">
        <v>184</v>
      </c>
      <c r="E17" s="110">
        <v>8579180.4638697989</v>
      </c>
      <c r="F17" s="110">
        <v>6933296.7840777561</v>
      </c>
      <c r="G17" s="110">
        <v>1645883.6797920428</v>
      </c>
      <c r="H17" s="237">
        <v>0</v>
      </c>
      <c r="I17" s="128" t="s">
        <v>185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127"/>
      <c r="N17" s="127"/>
      <c r="O17" s="126">
        <f t="shared" si="1"/>
        <v>0</v>
      </c>
      <c r="P17" s="126">
        <f t="shared" si="2"/>
        <v>0</v>
      </c>
      <c r="Q17" s="126">
        <f t="shared" si="3"/>
        <v>0</v>
      </c>
      <c r="R17" s="126"/>
      <c r="S17" s="240">
        <f>'9-Allocators'!$H$72</f>
        <v>1.991783226380479E-2</v>
      </c>
      <c r="T17" s="191">
        <f t="shared" si="4"/>
        <v>0</v>
      </c>
    </row>
    <row r="18" spans="1:20" ht="13">
      <c r="B18" s="248">
        <f t="shared" si="5"/>
        <v>7</v>
      </c>
      <c r="C18" s="55" t="s">
        <v>186</v>
      </c>
      <c r="E18" s="110">
        <v>0</v>
      </c>
      <c r="F18" s="110">
        <v>0</v>
      </c>
      <c r="G18" s="110">
        <v>0</v>
      </c>
      <c r="H18" s="237">
        <v>0</v>
      </c>
      <c r="I18" s="128" t="s">
        <v>180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127"/>
      <c r="N18" s="127"/>
      <c r="O18" s="126">
        <f t="shared" si="1"/>
        <v>0</v>
      </c>
      <c r="P18" s="126">
        <f t="shared" si="2"/>
        <v>0</v>
      </c>
      <c r="Q18" s="126">
        <f t="shared" si="3"/>
        <v>0</v>
      </c>
      <c r="R18" s="126"/>
      <c r="S18" s="240">
        <f>'9-Allocators'!$H$72</f>
        <v>1.991783226380479E-2</v>
      </c>
      <c r="T18" s="191">
        <f t="shared" si="4"/>
        <v>0</v>
      </c>
    </row>
    <row r="19" spans="1:20" ht="13">
      <c r="B19" s="248">
        <f t="shared" si="5"/>
        <v>8</v>
      </c>
      <c r="C19" s="55" t="s">
        <v>187</v>
      </c>
      <c r="E19" s="110">
        <v>897733.07000000007</v>
      </c>
      <c r="F19" s="110">
        <v>0</v>
      </c>
      <c r="G19" s="110">
        <v>897733.07000000007</v>
      </c>
      <c r="H19" s="237">
        <v>0</v>
      </c>
      <c r="I19" s="128" t="s">
        <v>180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127"/>
      <c r="N19" s="127"/>
      <c r="O19" s="126">
        <f t="shared" si="1"/>
        <v>0</v>
      </c>
      <c r="P19" s="126">
        <f t="shared" si="2"/>
        <v>0</v>
      </c>
      <c r="Q19" s="126">
        <f t="shared" si="3"/>
        <v>0</v>
      </c>
      <c r="R19" s="126"/>
      <c r="S19" s="240">
        <f>'9-Allocators'!$H$72</f>
        <v>1.991783226380479E-2</v>
      </c>
      <c r="T19" s="191">
        <f t="shared" si="4"/>
        <v>0</v>
      </c>
    </row>
    <row r="20" spans="1:20" ht="13">
      <c r="B20" s="248">
        <f t="shared" si="5"/>
        <v>9</v>
      </c>
      <c r="C20" s="55" t="s">
        <v>188</v>
      </c>
      <c r="E20" s="110">
        <v>13596413.979537373</v>
      </c>
      <c r="F20" s="110">
        <v>4505204.2916225474</v>
      </c>
      <c r="G20" s="110">
        <v>9091209.687914826</v>
      </c>
      <c r="H20" s="237">
        <v>1</v>
      </c>
      <c r="I20" s="128" t="s">
        <v>189</v>
      </c>
      <c r="J20" s="4">
        <f t="shared" si="6"/>
        <v>13596413.979537373</v>
      </c>
      <c r="K20" s="4">
        <f t="shared" si="7"/>
        <v>4505204.2916225474</v>
      </c>
      <c r="L20" s="4">
        <f t="shared" si="0"/>
        <v>9091209.687914826</v>
      </c>
      <c r="M20" s="127"/>
      <c r="N20" s="127"/>
      <c r="O20" s="126">
        <f t="shared" si="1"/>
        <v>13596413.979537373</v>
      </c>
      <c r="P20" s="126">
        <f t="shared" si="2"/>
        <v>4505204.2916225474</v>
      </c>
      <c r="Q20" s="126">
        <f t="shared" si="3"/>
        <v>9091209.687914826</v>
      </c>
      <c r="R20" s="126"/>
      <c r="S20" s="240">
        <f>'9-Allocators'!$H$72</f>
        <v>1.991783226380479E-2</v>
      </c>
      <c r="T20" s="191">
        <f t="shared" si="4"/>
        <v>270811.09303367598</v>
      </c>
    </row>
    <row r="21" spans="1:20" ht="13">
      <c r="B21" s="248">
        <f t="shared" si="5"/>
        <v>10</v>
      </c>
      <c r="C21" s="55" t="s">
        <v>190</v>
      </c>
      <c r="E21" s="110">
        <v>49907.689833166245</v>
      </c>
      <c r="F21" s="110">
        <v>41196.270446835661</v>
      </c>
      <c r="G21" s="110">
        <v>8711.4193863305863</v>
      </c>
      <c r="H21" s="237">
        <v>0</v>
      </c>
      <c r="I21" s="133" t="s">
        <v>191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127"/>
      <c r="N21" s="127"/>
      <c r="O21" s="126">
        <f t="shared" si="1"/>
        <v>0</v>
      </c>
      <c r="P21" s="126">
        <f t="shared" si="2"/>
        <v>0</v>
      </c>
      <c r="Q21" s="126">
        <f t="shared" si="3"/>
        <v>0</v>
      </c>
      <c r="R21" s="126"/>
      <c r="S21" s="240">
        <f>'9-Allocators'!$H$72</f>
        <v>1.991783226380479E-2</v>
      </c>
      <c r="T21" s="191">
        <f t="shared" si="4"/>
        <v>0</v>
      </c>
    </row>
    <row r="22" spans="1:20" ht="13">
      <c r="B22" s="248">
        <f t="shared" si="5"/>
        <v>11</v>
      </c>
      <c r="C22" s="55" t="s">
        <v>192</v>
      </c>
      <c r="E22" s="110">
        <v>0</v>
      </c>
      <c r="F22" s="110">
        <v>0</v>
      </c>
      <c r="G22" s="110">
        <v>0</v>
      </c>
      <c r="H22" s="237">
        <v>0</v>
      </c>
      <c r="I22" s="133" t="s">
        <v>193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127"/>
      <c r="N22" s="127"/>
      <c r="O22" s="126">
        <f t="shared" si="1"/>
        <v>0</v>
      </c>
      <c r="P22" s="126">
        <f t="shared" si="2"/>
        <v>0</v>
      </c>
      <c r="Q22" s="126">
        <f t="shared" si="3"/>
        <v>0</v>
      </c>
      <c r="R22" s="126"/>
      <c r="S22" s="240">
        <f>'9-Allocators'!$H$72</f>
        <v>1.991783226380479E-2</v>
      </c>
      <c r="T22" s="191">
        <f t="shared" si="4"/>
        <v>0</v>
      </c>
    </row>
    <row r="23" spans="1:20" ht="13">
      <c r="B23" s="248">
        <f t="shared" si="5"/>
        <v>12</v>
      </c>
      <c r="C23" s="55" t="s">
        <v>194</v>
      </c>
      <c r="E23" s="110">
        <v>0</v>
      </c>
      <c r="F23" s="110">
        <v>0</v>
      </c>
      <c r="G23" s="110">
        <v>0</v>
      </c>
      <c r="H23" s="237">
        <v>0</v>
      </c>
      <c r="I23" s="133" t="s">
        <v>193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127"/>
      <c r="N23" s="127"/>
      <c r="O23" s="126">
        <f t="shared" si="1"/>
        <v>0</v>
      </c>
      <c r="P23" s="126">
        <f t="shared" si="2"/>
        <v>0</v>
      </c>
      <c r="Q23" s="126">
        <f t="shared" si="3"/>
        <v>0</v>
      </c>
      <c r="R23" s="126"/>
      <c r="S23" s="240">
        <f>'9-Allocators'!$H$72</f>
        <v>1.991783226380479E-2</v>
      </c>
      <c r="T23" s="191">
        <f t="shared" si="4"/>
        <v>0</v>
      </c>
    </row>
    <row r="24" spans="1:20" ht="13">
      <c r="B24" s="248">
        <f t="shared" si="5"/>
        <v>13</v>
      </c>
      <c r="C24" s="55" t="s">
        <v>195</v>
      </c>
      <c r="E24" s="110">
        <v>0</v>
      </c>
      <c r="F24" s="110">
        <v>0</v>
      </c>
      <c r="G24" s="110">
        <v>0</v>
      </c>
      <c r="H24" s="237">
        <v>0</v>
      </c>
      <c r="I24" s="133" t="s">
        <v>193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127"/>
      <c r="N24" s="127"/>
      <c r="O24" s="126">
        <f t="shared" si="1"/>
        <v>0</v>
      </c>
      <c r="P24" s="126">
        <f t="shared" si="2"/>
        <v>0</v>
      </c>
      <c r="Q24" s="126">
        <f t="shared" si="3"/>
        <v>0</v>
      </c>
      <c r="R24" s="126"/>
      <c r="S24" s="240">
        <f>'9-Allocators'!$H$72</f>
        <v>1.991783226380479E-2</v>
      </c>
      <c r="T24" s="191">
        <f t="shared" si="4"/>
        <v>0</v>
      </c>
    </row>
    <row r="25" spans="1:20" ht="13">
      <c r="A25" s="42"/>
      <c r="B25" s="248">
        <f t="shared" si="5"/>
        <v>14</v>
      </c>
      <c r="C25" s="55" t="s">
        <v>196</v>
      </c>
      <c r="E25" s="110">
        <v>15470055.830786604</v>
      </c>
      <c r="F25" s="110">
        <v>9880626.8042495437</v>
      </c>
      <c r="G25" s="110">
        <v>5589429.0265370598</v>
      </c>
      <c r="H25" s="236">
        <f>'9-Allocators'!H24</f>
        <v>0.46715921003825411</v>
      </c>
      <c r="I25" s="134" t="str">
        <f>"9-Allocators, Line "&amp;'9-Allocators'!A24&amp;""</f>
        <v>9-Allocators, Line 21</v>
      </c>
      <c r="J25" s="4">
        <f t="shared" si="6"/>
        <v>7226979.0611579567</v>
      </c>
      <c r="K25" s="4">
        <f t="shared" si="7"/>
        <v>4615825.8125560163</v>
      </c>
      <c r="L25" s="4">
        <f t="shared" si="0"/>
        <v>2611153.2486019405</v>
      </c>
      <c r="M25" s="127"/>
      <c r="N25" s="127"/>
      <c r="O25" s="126">
        <f t="shared" si="1"/>
        <v>7226979.0611579567</v>
      </c>
      <c r="P25" s="126">
        <f t="shared" si="2"/>
        <v>4615825.8125560163</v>
      </c>
      <c r="Q25" s="126">
        <f t="shared" si="3"/>
        <v>2611153.2486019405</v>
      </c>
      <c r="R25" s="126"/>
      <c r="S25" s="240">
        <f>'9-Allocators'!$H$72</f>
        <v>1.991783226380479E-2</v>
      </c>
      <c r="T25" s="191">
        <f t="shared" si="4"/>
        <v>143945.75671417359</v>
      </c>
    </row>
    <row r="26" spans="1:20" ht="13">
      <c r="B26" s="248">
        <f t="shared" si="5"/>
        <v>15</v>
      </c>
      <c r="C26" s="55" t="s">
        <v>197</v>
      </c>
      <c r="E26" s="110">
        <v>0</v>
      </c>
      <c r="F26" s="110">
        <v>0</v>
      </c>
      <c r="G26" s="110">
        <v>0</v>
      </c>
      <c r="H26" s="237">
        <v>0</v>
      </c>
      <c r="I26" s="133" t="s">
        <v>193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127"/>
      <c r="N26" s="127"/>
      <c r="O26" s="126">
        <f t="shared" si="1"/>
        <v>0</v>
      </c>
      <c r="P26" s="126">
        <f t="shared" si="2"/>
        <v>0</v>
      </c>
      <c r="Q26" s="126">
        <f t="shared" si="3"/>
        <v>0</v>
      </c>
      <c r="R26" s="126"/>
      <c r="S26" s="240">
        <f>'9-Allocators'!$H$72</f>
        <v>1.991783226380479E-2</v>
      </c>
      <c r="T26" s="191">
        <f t="shared" si="4"/>
        <v>0</v>
      </c>
    </row>
    <row r="27" spans="1:20" ht="13">
      <c r="B27" s="248">
        <f t="shared" si="5"/>
        <v>16</v>
      </c>
      <c r="C27" s="55" t="s">
        <v>198</v>
      </c>
      <c r="E27" s="110">
        <v>-277792.21999999986</v>
      </c>
      <c r="F27" s="110">
        <v>1357.1</v>
      </c>
      <c r="G27" s="110">
        <v>-279149.31999999983</v>
      </c>
      <c r="H27" s="237">
        <v>0</v>
      </c>
      <c r="I27" s="133" t="s">
        <v>180</v>
      </c>
      <c r="J27" s="4">
        <f t="shared" si="6"/>
        <v>0</v>
      </c>
      <c r="K27" s="4">
        <f t="shared" si="7"/>
        <v>0</v>
      </c>
      <c r="L27" s="4">
        <f t="shared" si="0"/>
        <v>0</v>
      </c>
      <c r="M27" s="127"/>
      <c r="N27" s="127"/>
      <c r="O27" s="126">
        <f>J27+M27+N27</f>
        <v>0</v>
      </c>
      <c r="P27" s="126">
        <f t="shared" si="2"/>
        <v>0</v>
      </c>
      <c r="Q27" s="126">
        <f t="shared" si="3"/>
        <v>0</v>
      </c>
      <c r="R27" s="126"/>
      <c r="S27" s="240">
        <f>'9-Allocators'!$H$72</f>
        <v>1.991783226380479E-2</v>
      </c>
      <c r="T27" s="191">
        <f t="shared" si="4"/>
        <v>0</v>
      </c>
    </row>
    <row r="28" spans="1:20" ht="13">
      <c r="B28" s="248">
        <f t="shared" si="5"/>
        <v>17</v>
      </c>
      <c r="C28" s="55" t="s">
        <v>199</v>
      </c>
      <c r="E28" s="110">
        <v>8772850.7385348398</v>
      </c>
      <c r="F28" s="110">
        <v>27639.22546942523</v>
      </c>
      <c r="G28" s="110">
        <v>8745211.5130654145</v>
      </c>
      <c r="H28" s="238">
        <f>'9-Allocators'!H33</f>
        <v>0.94636712378546817</v>
      </c>
      <c r="I28" s="133" t="str">
        <f>"9-Allocators, Line "&amp;'9-Allocators'!A33&amp;""</f>
        <v>9-Allocators, Line 30</v>
      </c>
      <c r="J28" s="45">
        <f t="shared" si="6"/>
        <v>8302337.5208264366</v>
      </c>
      <c r="K28" s="45">
        <f t="shared" si="7"/>
        <v>26156.854311158011</v>
      </c>
      <c r="L28" s="45">
        <f t="shared" si="0"/>
        <v>8276180.6665152786</v>
      </c>
      <c r="M28" s="127">
        <f>-K28</f>
        <v>-26156.854311158011</v>
      </c>
      <c r="N28" s="127">
        <f>-L28</f>
        <v>-8276180.6665152786</v>
      </c>
      <c r="O28" s="126">
        <f t="shared" si="1"/>
        <v>0</v>
      </c>
      <c r="P28" s="126">
        <f t="shared" si="2"/>
        <v>0</v>
      </c>
      <c r="Q28" s="126">
        <f t="shared" si="3"/>
        <v>0</v>
      </c>
      <c r="R28" s="126"/>
      <c r="S28" s="240">
        <f>'9-Allocators'!$H$72</f>
        <v>1.991783226380479E-2</v>
      </c>
      <c r="T28" s="191">
        <f t="shared" si="4"/>
        <v>0</v>
      </c>
    </row>
    <row r="29" spans="1:20" ht="13">
      <c r="B29" s="248">
        <f t="shared" si="5"/>
        <v>18</v>
      </c>
      <c r="C29" s="55" t="s">
        <v>200</v>
      </c>
      <c r="E29" s="225">
        <v>90937.450000000012</v>
      </c>
      <c r="F29" s="110">
        <v>0</v>
      </c>
      <c r="G29" s="225">
        <v>90937.450000000012</v>
      </c>
      <c r="H29" s="237">
        <v>0</v>
      </c>
      <c r="I29" s="128" t="s">
        <v>180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127"/>
      <c r="N29" s="127"/>
      <c r="O29" s="126">
        <f t="shared" si="1"/>
        <v>0</v>
      </c>
      <c r="P29" s="126">
        <f t="shared" si="2"/>
        <v>0</v>
      </c>
      <c r="Q29" s="126">
        <f t="shared" si="3"/>
        <v>0</v>
      </c>
      <c r="R29" s="126"/>
      <c r="S29" s="240">
        <f>'9-Allocators'!$H$72</f>
        <v>1.991783226380479E-2</v>
      </c>
      <c r="T29" s="191">
        <f t="shared" si="4"/>
        <v>0</v>
      </c>
    </row>
    <row r="30" spans="1:20" ht="13">
      <c r="B30" s="16">
        <f t="shared" si="5"/>
        <v>19</v>
      </c>
      <c r="C30" s="55" t="s">
        <v>201</v>
      </c>
      <c r="E30" s="110">
        <v>272401.53000000003</v>
      </c>
      <c r="F30" s="110">
        <v>0</v>
      </c>
      <c r="G30" s="110">
        <v>272401.53000000003</v>
      </c>
      <c r="H30" s="237">
        <v>0</v>
      </c>
      <c r="I30" s="128" t="s">
        <v>180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127"/>
      <c r="N30" s="127"/>
      <c r="O30" s="126">
        <f t="shared" si="1"/>
        <v>0</v>
      </c>
      <c r="P30" s="126">
        <f t="shared" si="2"/>
        <v>0</v>
      </c>
      <c r="Q30" s="126">
        <f t="shared" si="3"/>
        <v>0</v>
      </c>
      <c r="R30" s="126"/>
      <c r="S30" s="240">
        <f>'9-Allocators'!$H$72</f>
        <v>1.991783226380479E-2</v>
      </c>
      <c r="T30" s="191">
        <f t="shared" si="4"/>
        <v>0</v>
      </c>
    </row>
    <row r="31" spans="1:20" ht="13">
      <c r="A31" s="42"/>
      <c r="B31" s="16">
        <f t="shared" si="5"/>
        <v>20</v>
      </c>
      <c r="C31" s="55" t="s">
        <v>202</v>
      </c>
      <c r="E31" s="110">
        <v>570872.19163652789</v>
      </c>
      <c r="F31" s="110">
        <v>491045.59967450256</v>
      </c>
      <c r="G31" s="110">
        <v>79826.591962025355</v>
      </c>
      <c r="H31" s="236">
        <f>'9-Allocators'!H24</f>
        <v>0.46715921003825411</v>
      </c>
      <c r="I31" s="128" t="str">
        <f>"9-Allocators, Line "&amp;'9-Allocators'!A24&amp;""</f>
        <v>9-Allocators, Line 21</v>
      </c>
      <c r="J31" s="4">
        <f t="shared" si="6"/>
        <v>266688.20207772718</v>
      </c>
      <c r="K31" s="4">
        <f t="shared" si="7"/>
        <v>229396.47443670139</v>
      </c>
      <c r="L31" s="4">
        <f t="shared" si="0"/>
        <v>37291.727641025813</v>
      </c>
      <c r="M31" s="127"/>
      <c r="N31" s="127"/>
      <c r="O31" s="126">
        <f t="shared" si="1"/>
        <v>266688.20207772718</v>
      </c>
      <c r="P31" s="126">
        <f t="shared" si="2"/>
        <v>229396.47443670139</v>
      </c>
      <c r="Q31" s="126">
        <f t="shared" si="3"/>
        <v>37291.727641025813</v>
      </c>
      <c r="R31" s="126"/>
      <c r="S31" s="240">
        <f>'9-Allocators'!$H$72</f>
        <v>1.991783226380479E-2</v>
      </c>
      <c r="T31" s="191">
        <f t="shared" si="4"/>
        <v>5311.850875719846</v>
      </c>
    </row>
    <row r="32" spans="1:20" ht="13">
      <c r="B32" s="16">
        <f t="shared" si="5"/>
        <v>21</v>
      </c>
      <c r="C32" s="55" t="s">
        <v>203</v>
      </c>
      <c r="E32" s="110">
        <v>385256.73</v>
      </c>
      <c r="F32" s="110">
        <v>0</v>
      </c>
      <c r="G32" s="110">
        <v>385256.73</v>
      </c>
      <c r="H32" s="237">
        <v>0</v>
      </c>
      <c r="I32" s="128" t="s">
        <v>180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127"/>
      <c r="N32" s="127"/>
      <c r="O32" s="126">
        <f t="shared" si="1"/>
        <v>0</v>
      </c>
      <c r="P32" s="126">
        <f t="shared" si="2"/>
        <v>0</v>
      </c>
      <c r="Q32" s="126">
        <f t="shared" si="3"/>
        <v>0</v>
      </c>
      <c r="R32" s="126"/>
      <c r="S32" s="240">
        <f>'9-Allocators'!$H$72</f>
        <v>1.991783226380479E-2</v>
      </c>
      <c r="T32" s="191">
        <f t="shared" si="4"/>
        <v>0</v>
      </c>
    </row>
    <row r="33" spans="1:22" ht="13">
      <c r="B33" s="16">
        <f t="shared" si="5"/>
        <v>22</v>
      </c>
      <c r="C33" s="55" t="s">
        <v>204</v>
      </c>
      <c r="E33" s="110">
        <v>885178.51743218862</v>
      </c>
      <c r="F33" s="110">
        <v>2006.786654611212</v>
      </c>
      <c r="G33" s="110">
        <v>883171.73077757738</v>
      </c>
      <c r="H33" s="237">
        <v>0</v>
      </c>
      <c r="I33" s="128" t="s">
        <v>185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127"/>
      <c r="N33" s="127"/>
      <c r="O33" s="126">
        <f t="shared" si="1"/>
        <v>0</v>
      </c>
      <c r="P33" s="126">
        <f t="shared" si="2"/>
        <v>0</v>
      </c>
      <c r="Q33" s="126">
        <f t="shared" si="3"/>
        <v>0</v>
      </c>
      <c r="R33" s="126"/>
      <c r="S33" s="240">
        <f>'9-Allocators'!$H$72</f>
        <v>1.991783226380479E-2</v>
      </c>
      <c r="T33" s="191">
        <f t="shared" si="4"/>
        <v>0</v>
      </c>
    </row>
    <row r="34" spans="1:22" ht="13">
      <c r="B34" s="16">
        <f t="shared" si="5"/>
        <v>23</v>
      </c>
      <c r="C34" s="55" t="s">
        <v>205</v>
      </c>
      <c r="E34" s="110">
        <v>381983.22</v>
      </c>
      <c r="F34" s="110">
        <v>0</v>
      </c>
      <c r="G34" s="110">
        <v>381983.22</v>
      </c>
      <c r="H34" s="237">
        <v>0</v>
      </c>
      <c r="I34" s="128" t="s">
        <v>180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127"/>
      <c r="N34" s="127"/>
      <c r="O34" s="126">
        <f t="shared" si="1"/>
        <v>0</v>
      </c>
      <c r="P34" s="126">
        <f t="shared" si="2"/>
        <v>0</v>
      </c>
      <c r="Q34" s="126">
        <f t="shared" si="3"/>
        <v>0</v>
      </c>
      <c r="R34" s="126"/>
      <c r="S34" s="240">
        <f>'9-Allocators'!$H$72</f>
        <v>1.991783226380479E-2</v>
      </c>
      <c r="T34" s="191">
        <f t="shared" si="4"/>
        <v>0</v>
      </c>
    </row>
    <row r="35" spans="1:22" ht="13">
      <c r="B35" s="16">
        <f t="shared" si="5"/>
        <v>24</v>
      </c>
      <c r="C35" s="55" t="s">
        <v>206</v>
      </c>
      <c r="E35" s="110">
        <v>3027532.2689963831</v>
      </c>
      <c r="F35" s="110">
        <v>1465507.9575949369</v>
      </c>
      <c r="G35" s="110">
        <v>1562024.3114014461</v>
      </c>
      <c r="H35" s="237">
        <v>0</v>
      </c>
      <c r="I35" s="128" t="s">
        <v>185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127"/>
      <c r="N35" s="127"/>
      <c r="O35" s="126">
        <f t="shared" si="1"/>
        <v>0</v>
      </c>
      <c r="P35" s="126">
        <f t="shared" si="2"/>
        <v>0</v>
      </c>
      <c r="Q35" s="126">
        <f t="shared" si="3"/>
        <v>0</v>
      </c>
      <c r="R35" s="126"/>
      <c r="S35" s="240">
        <f>'9-Allocators'!$H$72</f>
        <v>1.991783226380479E-2</v>
      </c>
      <c r="T35" s="191">
        <f t="shared" si="4"/>
        <v>0</v>
      </c>
    </row>
    <row r="36" spans="1:22" ht="13">
      <c r="B36" s="16">
        <f t="shared" si="5"/>
        <v>25</v>
      </c>
      <c r="C36" s="55" t="s">
        <v>207</v>
      </c>
      <c r="E36" s="110">
        <v>1857443.9600000002</v>
      </c>
      <c r="F36" s="110">
        <v>0</v>
      </c>
      <c r="G36" s="110">
        <v>1857443.9600000002</v>
      </c>
      <c r="H36" s="237">
        <v>0</v>
      </c>
      <c r="I36" s="128" t="s">
        <v>180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127"/>
      <c r="N36" s="127"/>
      <c r="O36" s="126">
        <f t="shared" si="1"/>
        <v>0</v>
      </c>
      <c r="P36" s="126">
        <f t="shared" si="2"/>
        <v>0</v>
      </c>
      <c r="Q36" s="126">
        <f t="shared" si="3"/>
        <v>0</v>
      </c>
      <c r="R36" s="126"/>
      <c r="S36" s="240">
        <f>'9-Allocators'!$H$72</f>
        <v>1.991783226380479E-2</v>
      </c>
      <c r="T36" s="191">
        <f t="shared" si="4"/>
        <v>0</v>
      </c>
    </row>
    <row r="37" spans="1:22" ht="13">
      <c r="B37" s="16">
        <f t="shared" si="5"/>
        <v>26</v>
      </c>
      <c r="C37" s="55" t="s">
        <v>208</v>
      </c>
      <c r="E37" s="110">
        <v>33557249.888784193</v>
      </c>
      <c r="F37" s="110">
        <v>5917175.9456596719</v>
      </c>
      <c r="G37" s="110">
        <v>27640073.943124522</v>
      </c>
      <c r="H37" s="237">
        <v>1</v>
      </c>
      <c r="I37" s="128" t="s">
        <v>189</v>
      </c>
      <c r="J37" s="4">
        <f t="shared" si="6"/>
        <v>33557249.888784193</v>
      </c>
      <c r="K37" s="4">
        <f t="shared" si="7"/>
        <v>5917175.9456596719</v>
      </c>
      <c r="L37" s="4">
        <f t="shared" si="0"/>
        <v>27640073.943124522</v>
      </c>
      <c r="M37" s="127"/>
      <c r="N37" s="127"/>
      <c r="O37" s="126">
        <f t="shared" si="1"/>
        <v>33557249.888784193</v>
      </c>
      <c r="P37" s="126">
        <f t="shared" si="2"/>
        <v>5917175.9456596719</v>
      </c>
      <c r="Q37" s="126">
        <f t="shared" si="3"/>
        <v>27640073.943124522</v>
      </c>
      <c r="R37" s="126"/>
      <c r="S37" s="240">
        <f>'9-Allocators'!$H$72</f>
        <v>1.991783226380479E-2</v>
      </c>
      <c r="T37" s="191">
        <f t="shared" si="4"/>
        <v>668387.67451938556</v>
      </c>
    </row>
    <row r="38" spans="1:22" ht="13">
      <c r="B38" s="16">
        <f t="shared" si="5"/>
        <v>27</v>
      </c>
      <c r="C38" s="55" t="s">
        <v>209</v>
      </c>
      <c r="E38" s="110">
        <v>555768.00999999989</v>
      </c>
      <c r="F38" s="110">
        <v>0</v>
      </c>
      <c r="G38" s="110">
        <v>555768.00999999989</v>
      </c>
      <c r="H38" s="237">
        <v>0</v>
      </c>
      <c r="I38" s="128" t="s">
        <v>180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127"/>
      <c r="N38" s="127"/>
      <c r="O38" s="126">
        <f t="shared" si="1"/>
        <v>0</v>
      </c>
      <c r="P38" s="126">
        <f t="shared" si="2"/>
        <v>0</v>
      </c>
      <c r="Q38" s="126">
        <f t="shared" si="3"/>
        <v>0</v>
      </c>
      <c r="R38" s="126"/>
      <c r="S38" s="240">
        <f>'9-Allocators'!$H$72</f>
        <v>1.991783226380479E-2</v>
      </c>
      <c r="T38" s="191">
        <f t="shared" si="4"/>
        <v>0</v>
      </c>
      <c r="U38" s="42"/>
    </row>
    <row r="39" spans="1:22" ht="13">
      <c r="B39" s="16">
        <f t="shared" si="5"/>
        <v>28</v>
      </c>
      <c r="C39" s="55" t="s">
        <v>210</v>
      </c>
      <c r="E39" s="110">
        <v>7591.2055022714003</v>
      </c>
      <c r="F39" s="110">
        <v>3355.017438465743</v>
      </c>
      <c r="G39" s="110">
        <v>4236.1880638056573</v>
      </c>
      <c r="H39" s="237">
        <v>0</v>
      </c>
      <c r="I39" s="128" t="s">
        <v>191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127"/>
      <c r="N39" s="127"/>
      <c r="O39" s="126">
        <f t="shared" si="1"/>
        <v>0</v>
      </c>
      <c r="P39" s="126">
        <f t="shared" si="2"/>
        <v>0</v>
      </c>
      <c r="Q39" s="126">
        <f t="shared" si="3"/>
        <v>0</v>
      </c>
      <c r="R39" s="126"/>
      <c r="S39" s="240">
        <f>'9-Allocators'!$H$72</f>
        <v>1.991783226380479E-2</v>
      </c>
      <c r="T39" s="191">
        <f t="shared" si="4"/>
        <v>0</v>
      </c>
    </row>
    <row r="40" spans="1:22" ht="13">
      <c r="B40" s="16">
        <f t="shared" si="5"/>
        <v>29</v>
      </c>
      <c r="C40" s="55" t="s">
        <v>211</v>
      </c>
      <c r="E40" s="110">
        <v>5003.33</v>
      </c>
      <c r="F40" s="110">
        <v>0</v>
      </c>
      <c r="G40" s="110">
        <v>5003.33</v>
      </c>
      <c r="H40" s="237">
        <v>0</v>
      </c>
      <c r="I40" s="128" t="s">
        <v>180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127"/>
      <c r="N40" s="127"/>
      <c r="O40" s="126">
        <f t="shared" si="1"/>
        <v>0</v>
      </c>
      <c r="P40" s="126">
        <f t="shared" si="2"/>
        <v>0</v>
      </c>
      <c r="Q40" s="126">
        <f t="shared" si="3"/>
        <v>0</v>
      </c>
      <c r="R40" s="126"/>
      <c r="S40" s="240">
        <f>'9-Allocators'!$H$72</f>
        <v>1.991783226380479E-2</v>
      </c>
      <c r="T40" s="191">
        <f t="shared" si="4"/>
        <v>0</v>
      </c>
    </row>
    <row r="41" spans="1:22" ht="13">
      <c r="A41" s="42"/>
      <c r="B41" s="16">
        <f t="shared" si="5"/>
        <v>30</v>
      </c>
      <c r="C41" s="55" t="s">
        <v>212</v>
      </c>
      <c r="E41" s="110">
        <v>492967.52067811944</v>
      </c>
      <c r="F41" s="110">
        <v>365371.54264918633</v>
      </c>
      <c r="G41" s="110">
        <v>127595.97802893311</v>
      </c>
      <c r="H41" s="236">
        <f>'9-Allocators'!H24</f>
        <v>0.46715921003825411</v>
      </c>
      <c r="I41" s="128" t="str">
        <f>"9-Allocators, Line "&amp;'9-Allocators'!A24&amp;""</f>
        <v>9-Allocators, Line 21</v>
      </c>
      <c r="J41" s="4">
        <f>E41*H41</f>
        <v>230294.31753450699</v>
      </c>
      <c r="K41" s="4">
        <f t="shared" si="7"/>
        <v>170686.68123445215</v>
      </c>
      <c r="L41" s="4">
        <f t="shared" si="0"/>
        <v>59607.636300054823</v>
      </c>
      <c r="M41" s="127"/>
      <c r="N41" s="127"/>
      <c r="O41" s="126">
        <f t="shared" si="1"/>
        <v>230294.31753450699</v>
      </c>
      <c r="P41" s="126">
        <f t="shared" si="2"/>
        <v>170686.68123445215</v>
      </c>
      <c r="Q41" s="126">
        <f t="shared" si="3"/>
        <v>59607.636300054823</v>
      </c>
      <c r="R41" s="126"/>
      <c r="S41" s="240">
        <f>'9-Allocators'!$H$72</f>
        <v>1.991783226380479E-2</v>
      </c>
      <c r="T41" s="191">
        <f t="shared" si="4"/>
        <v>4586.963587959709</v>
      </c>
    </row>
    <row r="42" spans="1:22" ht="13">
      <c r="A42" s="42"/>
      <c r="B42" s="16">
        <f t="shared" si="5"/>
        <v>31</v>
      </c>
      <c r="C42" s="43" t="s">
        <v>213</v>
      </c>
      <c r="E42" s="213">
        <v>-961516.33216903231</v>
      </c>
      <c r="F42" s="213">
        <v>-961516.33216903231</v>
      </c>
      <c r="G42" s="213">
        <v>0</v>
      </c>
      <c r="H42" s="239">
        <f>'9-Allocators'!H24</f>
        <v>0.46715921003825411</v>
      </c>
      <c r="I42" s="214" t="str">
        <f>"9-Allocators, Line "&amp;'9-Allocators'!A24&amp;""</f>
        <v>9-Allocators, Line 21</v>
      </c>
      <c r="J42" s="215">
        <f>E42*H42</f>
        <v>-449181.21017496468</v>
      </c>
      <c r="K42" s="215">
        <f t="shared" ref="K42" si="8">H42*F42</f>
        <v>-449181.21017496468</v>
      </c>
      <c r="L42" s="215">
        <f t="shared" ref="L42" si="9">H42*G42</f>
        <v>0</v>
      </c>
      <c r="M42" s="216"/>
      <c r="N42" s="216"/>
      <c r="O42" s="217">
        <f t="shared" si="1"/>
        <v>-449181.21017496468</v>
      </c>
      <c r="P42" s="217">
        <f t="shared" si="2"/>
        <v>-449181.21017496468</v>
      </c>
      <c r="Q42" s="217">
        <f t="shared" si="3"/>
        <v>0</v>
      </c>
      <c r="R42" s="217"/>
      <c r="S42" s="241">
        <f>'9-Allocators'!$H$72</f>
        <v>1.991783226380479E-2</v>
      </c>
      <c r="T42" s="218">
        <f t="shared" si="4"/>
        <v>-8946.7160003177923</v>
      </c>
      <c r="V42" s="4"/>
    </row>
    <row r="43" spans="1:22" ht="13">
      <c r="B43" s="16">
        <f t="shared" si="5"/>
        <v>32</v>
      </c>
      <c r="C43" s="74" t="s">
        <v>214</v>
      </c>
      <c r="E43" s="4">
        <f>SUM(E12:E42)</f>
        <v>99507852.091650277</v>
      </c>
      <c r="F43" s="4">
        <f t="shared" ref="F43:G43" si="10">SUM(F12:F42)</f>
        <v>36628694.221578218</v>
      </c>
      <c r="G43" s="4">
        <f t="shared" si="10"/>
        <v>62879157.870072059</v>
      </c>
      <c r="J43" s="4">
        <f t="shared" ref="J43:O43" si="11">SUM(J12:J42)</f>
        <v>67852630.641809985</v>
      </c>
      <c r="K43" s="4">
        <f t="shared" si="11"/>
        <v>18732183.108302917</v>
      </c>
      <c r="L43" s="4">
        <f t="shared" si="11"/>
        <v>49120447.533507079</v>
      </c>
      <c r="M43" s="4">
        <f t="shared" si="11"/>
        <v>-26156.854311158011</v>
      </c>
      <c r="N43" s="4">
        <f t="shared" si="11"/>
        <v>-8276180.6665152786</v>
      </c>
      <c r="O43" s="4">
        <f t="shared" si="11"/>
        <v>59550293.120983556</v>
      </c>
      <c r="P43" s="4">
        <f>SUM(P12:P42)</f>
        <v>18706026.253991757</v>
      </c>
      <c r="Q43" s="4">
        <f>SUM(Q12:Q42)</f>
        <v>40844266.866991803</v>
      </c>
      <c r="R43" s="126"/>
      <c r="S43" s="126"/>
      <c r="T43" s="4">
        <f>SUM(T12:T42)</f>
        <v>1186112.7496441586</v>
      </c>
      <c r="V43" s="208"/>
    </row>
    <row r="44" spans="1:22" ht="13">
      <c r="B44" s="16"/>
      <c r="C44" s="43"/>
      <c r="V44" s="209"/>
    </row>
    <row r="45" spans="1:22" ht="13">
      <c r="B45" s="16"/>
      <c r="T45" s="42"/>
      <c r="V45" s="209"/>
    </row>
    <row r="47" spans="1:22" ht="13">
      <c r="B47" s="1" t="s">
        <v>36</v>
      </c>
    </row>
    <row r="48" spans="1:22">
      <c r="B48" s="44" t="s">
        <v>215</v>
      </c>
    </row>
    <row r="49" spans="2:23">
      <c r="B49" s="44"/>
      <c r="C49" s="42" t="s">
        <v>216</v>
      </c>
    </row>
    <row r="50" spans="2:23">
      <c r="B50" s="44"/>
      <c r="C50" s="40" t="s">
        <v>217</v>
      </c>
      <c r="E50" s="14" t="s">
        <v>218</v>
      </c>
      <c r="F50" s="14"/>
      <c r="V50" s="122"/>
      <c r="W50" s="123"/>
    </row>
    <row r="51" spans="2:23">
      <c r="B51" s="44"/>
      <c r="C51" s="40" t="s">
        <v>219</v>
      </c>
      <c r="E51" s="219"/>
      <c r="F51" s="14"/>
    </row>
    <row r="52" spans="2:23">
      <c r="B52" s="44" t="s">
        <v>220</v>
      </c>
    </row>
    <row r="53" spans="2:23">
      <c r="B53" s="50" t="s">
        <v>221</v>
      </c>
      <c r="F53" s="5"/>
    </row>
    <row r="54" spans="2:23">
      <c r="B54" s="185"/>
    </row>
    <row r="55" spans="2:23">
      <c r="B55" s="185"/>
    </row>
    <row r="56" spans="2:23">
      <c r="B56" s="44"/>
    </row>
    <row r="57" spans="2:23" ht="13">
      <c r="B57" s="10"/>
    </row>
    <row r="58" spans="2:23">
      <c r="B58" s="6"/>
    </row>
    <row r="59" spans="2:23">
      <c r="B59" s="87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4" orientation="landscape" r:id="rId1"/>
  <headerFooter>
    <oddHeader xml:space="preserve">&amp;CSchedule 4
Allocated OandM&amp;R2023 Draft Annual Update
West of Devers Formula Rate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view="pageLayout" topLeftCell="E1" zoomScaleNormal="100" workbookViewId="0">
      <selection activeCell="K36" sqref="K36"/>
    </sheetView>
  </sheetViews>
  <sheetFormatPr defaultRowHeight="12.5"/>
  <cols>
    <col min="1" max="1" width="3.7265625" style="65" customWidth="1"/>
    <col min="2" max="2" width="4.54296875" customWidth="1"/>
    <col min="3" max="3" width="2.54296875" customWidth="1"/>
    <col min="4" max="4" width="8.54296875" customWidth="1"/>
    <col min="5" max="5" width="32.54296875" customWidth="1"/>
    <col min="6" max="6" width="14.7265625" customWidth="1"/>
    <col min="7" max="7" width="19.1796875" bestFit="1" customWidth="1"/>
    <col min="8" max="8" width="14.7265625" customWidth="1"/>
    <col min="9" max="9" width="3.7265625" style="65" customWidth="1"/>
    <col min="10" max="10" width="13.26953125" style="65" bestFit="1" customWidth="1"/>
    <col min="11" max="11" width="14.7265625" customWidth="1"/>
    <col min="12" max="12" width="12.7265625" customWidth="1"/>
    <col min="13" max="13" width="21.81640625" customWidth="1"/>
    <col min="14" max="15" width="12.7265625" customWidth="1"/>
  </cols>
  <sheetData>
    <row r="1" spans="1:16" ht="13">
      <c r="A1" s="1" t="s">
        <v>222</v>
      </c>
      <c r="B1" s="65"/>
      <c r="C1" s="65"/>
      <c r="D1" s="65"/>
      <c r="E1" s="65"/>
      <c r="F1" s="65"/>
      <c r="G1" s="5"/>
      <c r="H1" s="5"/>
      <c r="I1" s="5"/>
      <c r="J1" s="5"/>
      <c r="K1" s="245"/>
      <c r="L1" s="245"/>
      <c r="M1" s="65"/>
      <c r="N1" s="65"/>
      <c r="O1" s="65"/>
      <c r="P1" s="65"/>
    </row>
    <row r="2" spans="1:16" s="65" customFormat="1" ht="13">
      <c r="A2" s="1"/>
      <c r="G2" s="12" t="s">
        <v>119</v>
      </c>
      <c r="H2" s="132">
        <v>2021</v>
      </c>
      <c r="I2" s="5"/>
      <c r="J2" s="5"/>
      <c r="K2" s="245"/>
      <c r="L2" s="245"/>
    </row>
    <row r="3" spans="1:16" s="65" customFormat="1" ht="13">
      <c r="A3" s="1"/>
      <c r="B3" s="1" t="s">
        <v>223</v>
      </c>
      <c r="K3" s="245"/>
      <c r="L3" s="245"/>
    </row>
    <row r="4" spans="1:16" s="65" customFormat="1" ht="13">
      <c r="B4" s="1"/>
      <c r="K4" s="245"/>
      <c r="L4" s="245"/>
    </row>
    <row r="5" spans="1:16" s="65" customFormat="1" ht="13">
      <c r="B5" s="1"/>
      <c r="F5" s="3" t="s">
        <v>135</v>
      </c>
      <c r="G5" s="3" t="s">
        <v>138</v>
      </c>
      <c r="H5" s="3" t="s">
        <v>140</v>
      </c>
      <c r="I5" s="3"/>
      <c r="J5" s="3" t="s">
        <v>143</v>
      </c>
      <c r="K5" s="3" t="s">
        <v>145</v>
      </c>
      <c r="L5" s="3"/>
    </row>
    <row r="6" spans="1:16" s="65" customFormat="1" ht="13">
      <c r="B6" s="1"/>
      <c r="F6" s="248" t="s">
        <v>150</v>
      </c>
      <c r="G6" s="248" t="s">
        <v>224</v>
      </c>
      <c r="H6" s="248"/>
      <c r="I6" s="248"/>
      <c r="J6" s="248"/>
      <c r="K6" s="248"/>
      <c r="L6" s="248"/>
    </row>
    <row r="7" spans="1:16" s="65" customFormat="1" ht="13">
      <c r="B7" s="1"/>
      <c r="F7" s="248"/>
      <c r="G7" s="248"/>
      <c r="H7" s="86" t="s">
        <v>225</v>
      </c>
      <c r="I7" s="86"/>
      <c r="J7" s="86" t="s">
        <v>158</v>
      </c>
      <c r="K7" s="86" t="s">
        <v>226</v>
      </c>
      <c r="L7" s="86"/>
    </row>
    <row r="8" spans="1:16" s="65" customFormat="1" ht="13">
      <c r="B8" s="1"/>
      <c r="J8" s="202" t="s">
        <v>227</v>
      </c>
      <c r="K8" s="202" t="s">
        <v>29</v>
      </c>
      <c r="L8" s="245"/>
    </row>
    <row r="9" spans="1:16" s="65" customFormat="1" ht="13">
      <c r="B9" s="1"/>
      <c r="G9" s="16"/>
      <c r="J9" s="202" t="s">
        <v>29</v>
      </c>
      <c r="K9" s="245"/>
      <c r="L9" s="245"/>
    </row>
    <row r="10" spans="1:16" s="65" customFormat="1" ht="13">
      <c r="B10" s="1"/>
      <c r="D10" s="248" t="s">
        <v>228</v>
      </c>
      <c r="F10" s="248" t="s">
        <v>171</v>
      </c>
      <c r="G10" s="16" t="s">
        <v>73</v>
      </c>
      <c r="H10" s="248" t="s">
        <v>229</v>
      </c>
      <c r="I10" s="248"/>
      <c r="J10" s="248"/>
      <c r="K10" s="248" t="s">
        <v>73</v>
      </c>
      <c r="L10" s="245"/>
    </row>
    <row r="11" spans="1:16" s="65" customFormat="1" ht="13">
      <c r="B11" s="11" t="s">
        <v>11</v>
      </c>
      <c r="D11" s="2" t="s">
        <v>230</v>
      </c>
      <c r="E11" s="2" t="s">
        <v>99</v>
      </c>
      <c r="F11" s="2" t="s">
        <v>231</v>
      </c>
      <c r="G11" s="17" t="s">
        <v>168</v>
      </c>
      <c r="H11" s="2" t="s">
        <v>169</v>
      </c>
      <c r="I11" s="2"/>
      <c r="J11" s="2" t="s">
        <v>176</v>
      </c>
      <c r="K11" s="2" t="s">
        <v>228</v>
      </c>
      <c r="L11" s="2" t="s">
        <v>15</v>
      </c>
      <c r="M11" s="2" t="s">
        <v>16</v>
      </c>
    </row>
    <row r="12" spans="1:16" s="65" customFormat="1" ht="13">
      <c r="B12" s="248">
        <v>1</v>
      </c>
      <c r="D12" s="245">
        <v>920</v>
      </c>
      <c r="E12" s="65" t="s">
        <v>232</v>
      </c>
      <c r="F12" s="110">
        <v>272810161.75191253</v>
      </c>
      <c r="G12" s="67"/>
      <c r="H12" s="4">
        <f>F12+G12</f>
        <v>272810161.75191253</v>
      </c>
      <c r="I12" s="4"/>
      <c r="J12" s="231">
        <f>'9-Allocators'!$H$52</f>
        <v>6.3243617010128321E-4</v>
      </c>
      <c r="K12" s="203">
        <f>H12*J12</f>
        <v>172535.01386309115</v>
      </c>
      <c r="L12" s="245"/>
      <c r="M12" s="14"/>
    </row>
    <row r="13" spans="1:16" s="65" customFormat="1" ht="13">
      <c r="B13" s="248">
        <f>B12+1</f>
        <v>2</v>
      </c>
      <c r="D13" s="245">
        <v>921</v>
      </c>
      <c r="E13" s="65" t="s">
        <v>233</v>
      </c>
      <c r="F13" s="110">
        <v>276701431.16000003</v>
      </c>
      <c r="G13" s="67"/>
      <c r="H13" s="4">
        <f t="shared" ref="H13:H25" si="0">F13+G13</f>
        <v>276701431.16000003</v>
      </c>
      <c r="I13" s="4"/>
      <c r="J13" s="231">
        <f>'9-Allocators'!$H$52</f>
        <v>6.3243617010128321E-4</v>
      </c>
      <c r="K13" s="203">
        <f t="shared" ref="K13:K25" si="1">H13*J13</f>
        <v>174995.99338437428</v>
      </c>
      <c r="L13" s="245"/>
      <c r="M13" s="14"/>
    </row>
    <row r="14" spans="1:16" s="65" customFormat="1" ht="13">
      <c r="B14" s="248">
        <f>B13+1</f>
        <v>3</v>
      </c>
      <c r="D14" s="245">
        <v>922</v>
      </c>
      <c r="E14" s="65" t="s">
        <v>234</v>
      </c>
      <c r="F14" s="225">
        <v>-146676578.13999999</v>
      </c>
      <c r="G14" s="67"/>
      <c r="H14" s="226">
        <f t="shared" si="0"/>
        <v>-146676578.13999999</v>
      </c>
      <c r="I14" s="4"/>
      <c r="J14" s="231">
        <f>'9-Allocators'!$H$52</f>
        <v>6.3243617010128321E-4</v>
      </c>
      <c r="K14" s="203">
        <f t="shared" si="1"/>
        <v>-92763.573322423195</v>
      </c>
      <c r="L14" s="245"/>
      <c r="M14" s="14"/>
    </row>
    <row r="15" spans="1:16" s="65" customFormat="1" ht="13">
      <c r="B15" s="248">
        <f t="shared" ref="B15:B26" si="2">B14+1</f>
        <v>4</v>
      </c>
      <c r="C15" s="248"/>
      <c r="D15" s="245">
        <v>923</v>
      </c>
      <c r="E15" s="65" t="s">
        <v>235</v>
      </c>
      <c r="F15" s="110">
        <v>40213532.229999997</v>
      </c>
      <c r="G15" s="67"/>
      <c r="H15" s="4">
        <f t="shared" si="0"/>
        <v>40213532.229999997</v>
      </c>
      <c r="I15" s="4"/>
      <c r="J15" s="231">
        <f>'9-Allocators'!$H$52</f>
        <v>6.3243617010128321E-4</v>
      </c>
      <c r="K15" s="203">
        <f t="shared" si="1"/>
        <v>25432.492309785714</v>
      </c>
      <c r="L15" s="245"/>
      <c r="M15" s="14"/>
    </row>
    <row r="16" spans="1:16" s="65" customFormat="1" ht="13">
      <c r="B16" s="248">
        <f t="shared" si="2"/>
        <v>5</v>
      </c>
      <c r="C16" s="248"/>
      <c r="D16" s="245">
        <v>924</v>
      </c>
      <c r="E16" s="65" t="s">
        <v>236</v>
      </c>
      <c r="F16" s="110">
        <v>20044138</v>
      </c>
      <c r="G16" s="225">
        <f>-F16</f>
        <v>-20044138</v>
      </c>
      <c r="H16" s="4">
        <f t="shared" si="0"/>
        <v>0</v>
      </c>
      <c r="I16" s="4"/>
      <c r="J16" s="231">
        <f>'9-Allocators'!H12</f>
        <v>6.7646199535045899E-3</v>
      </c>
      <c r="K16" s="203">
        <f>H16*J16</f>
        <v>0</v>
      </c>
      <c r="L16" s="202" t="s">
        <v>29</v>
      </c>
      <c r="M16" s="14"/>
      <c r="O16" s="100"/>
    </row>
    <row r="17" spans="2:16" s="65" customFormat="1" ht="13">
      <c r="B17" s="248">
        <f t="shared" si="2"/>
        <v>6</v>
      </c>
      <c r="C17" s="248"/>
      <c r="D17" s="245">
        <v>925</v>
      </c>
      <c r="E17" s="65" t="s">
        <v>237</v>
      </c>
      <c r="F17" s="110">
        <v>1660038066.1800001</v>
      </c>
      <c r="G17" s="67"/>
      <c r="H17" s="4">
        <f t="shared" si="0"/>
        <v>1660038066.1800001</v>
      </c>
      <c r="I17" s="4"/>
      <c r="J17" s="231">
        <f>'9-Allocators'!$H$52</f>
        <v>6.3243617010128321E-4</v>
      </c>
      <c r="K17" s="203">
        <f t="shared" si="1"/>
        <v>1049868.1167972197</v>
      </c>
      <c r="L17" s="245"/>
      <c r="M17" s="14"/>
    </row>
    <row r="18" spans="2:16" s="65" customFormat="1" ht="13">
      <c r="B18" s="248">
        <f t="shared" si="2"/>
        <v>7</v>
      </c>
      <c r="C18" s="248"/>
      <c r="D18" s="245">
        <v>926</v>
      </c>
      <c r="E18" s="65" t="s">
        <v>238</v>
      </c>
      <c r="F18" s="110">
        <v>47333404.524999999</v>
      </c>
      <c r="G18" s="67"/>
      <c r="H18" s="4">
        <f t="shared" si="0"/>
        <v>47333404.524999999</v>
      </c>
      <c r="I18" s="4"/>
      <c r="J18" s="231">
        <f>'9-Allocators'!$H$52</f>
        <v>6.3243617010128321E-4</v>
      </c>
      <c r="K18" s="203">
        <f t="shared" si="1"/>
        <v>29935.357075645748</v>
      </c>
      <c r="L18" s="245"/>
      <c r="M18" s="14"/>
    </row>
    <row r="19" spans="2:16" s="65" customFormat="1" ht="13">
      <c r="B19" s="248">
        <f t="shared" si="2"/>
        <v>8</v>
      </c>
      <c r="C19" s="248"/>
      <c r="D19" s="245">
        <v>927</v>
      </c>
      <c r="E19" s="65" t="s">
        <v>239</v>
      </c>
      <c r="F19" s="110">
        <v>0</v>
      </c>
      <c r="G19" s="67"/>
      <c r="H19" s="4">
        <f t="shared" si="0"/>
        <v>0</v>
      </c>
      <c r="I19" s="4"/>
      <c r="J19" s="231">
        <f>'9-Allocators'!$H$52</f>
        <v>6.3243617010128321E-4</v>
      </c>
      <c r="K19" s="203">
        <f t="shared" si="1"/>
        <v>0</v>
      </c>
      <c r="L19" s="245"/>
      <c r="M19" s="14"/>
    </row>
    <row r="20" spans="2:16" s="65" customFormat="1" ht="13">
      <c r="B20" s="248">
        <f t="shared" si="2"/>
        <v>9</v>
      </c>
      <c r="C20" s="248"/>
      <c r="D20" s="245">
        <v>928</v>
      </c>
      <c r="E20" s="42" t="s">
        <v>240</v>
      </c>
      <c r="F20" s="110">
        <v>710555.27000000048</v>
      </c>
      <c r="G20" s="67"/>
      <c r="H20" s="4">
        <f t="shared" si="0"/>
        <v>710555.27000000048</v>
      </c>
      <c r="I20" s="4"/>
      <c r="J20" s="231">
        <f>'9-Allocators'!$H$52</f>
        <v>6.3243617010128321E-4</v>
      </c>
      <c r="K20" s="203">
        <f t="shared" si="1"/>
        <v>449.38085360408354</v>
      </c>
      <c r="L20" s="245"/>
      <c r="M20" s="14"/>
    </row>
    <row r="21" spans="2:16" s="65" customFormat="1" ht="13">
      <c r="B21" s="248">
        <f t="shared" si="2"/>
        <v>10</v>
      </c>
      <c r="C21" s="248"/>
      <c r="D21" s="245">
        <v>929</v>
      </c>
      <c r="E21" s="65" t="s">
        <v>241</v>
      </c>
      <c r="F21" s="110">
        <v>0</v>
      </c>
      <c r="G21" s="67"/>
      <c r="H21" s="4">
        <f t="shared" si="0"/>
        <v>0</v>
      </c>
      <c r="I21" s="4"/>
      <c r="J21" s="231">
        <f>'9-Allocators'!$H$52</f>
        <v>6.3243617010128321E-4</v>
      </c>
      <c r="K21" s="203">
        <f t="shared" si="1"/>
        <v>0</v>
      </c>
      <c r="L21" s="245"/>
      <c r="M21" s="14"/>
    </row>
    <row r="22" spans="2:16" s="65" customFormat="1" ht="13">
      <c r="B22" s="248">
        <f t="shared" si="2"/>
        <v>11</v>
      </c>
      <c r="C22" s="248"/>
      <c r="D22" s="245">
        <v>930.1</v>
      </c>
      <c r="E22" s="65" t="s">
        <v>242</v>
      </c>
      <c r="F22" s="225">
        <v>13641394</v>
      </c>
      <c r="G22" s="67"/>
      <c r="H22" s="226">
        <f t="shared" si="0"/>
        <v>13641394</v>
      </c>
      <c r="I22" s="4"/>
      <c r="J22" s="231">
        <f>'9-Allocators'!$H$52</f>
        <v>6.3243617010128321E-4</v>
      </c>
      <c r="K22" s="203">
        <f t="shared" si="1"/>
        <v>8627.3109762026234</v>
      </c>
      <c r="L22" s="245"/>
      <c r="M22" s="14"/>
    </row>
    <row r="23" spans="2:16" s="65" customFormat="1" ht="13">
      <c r="B23" s="248">
        <f t="shared" si="2"/>
        <v>12</v>
      </c>
      <c r="C23" s="248"/>
      <c r="D23" s="245">
        <v>930.2</v>
      </c>
      <c r="E23" s="65" t="s">
        <v>243</v>
      </c>
      <c r="F23" s="110">
        <v>15387775.23000006</v>
      </c>
      <c r="G23" s="67"/>
      <c r="H23" s="4">
        <f t="shared" si="0"/>
        <v>15387775.23000006</v>
      </c>
      <c r="I23" s="4"/>
      <c r="J23" s="231">
        <f>'9-Allocators'!$H$52</f>
        <v>6.3243617010128321E-4</v>
      </c>
      <c r="K23" s="203">
        <f t="shared" si="1"/>
        <v>9731.7856328406306</v>
      </c>
      <c r="L23" s="245"/>
      <c r="M23" s="14"/>
    </row>
    <row r="24" spans="2:16" s="65" customFormat="1" ht="13">
      <c r="B24" s="248">
        <f t="shared" si="2"/>
        <v>13</v>
      </c>
      <c r="C24" s="248"/>
      <c r="D24" s="245">
        <v>931</v>
      </c>
      <c r="E24" s="65" t="s">
        <v>244</v>
      </c>
      <c r="F24" s="110">
        <v>9108333</v>
      </c>
      <c r="G24" s="67"/>
      <c r="H24" s="4">
        <f t="shared" si="0"/>
        <v>9108333</v>
      </c>
      <c r="I24" s="4"/>
      <c r="J24" s="231">
        <f>'9-Allocators'!$H$52</f>
        <v>6.3243617010128321E-4</v>
      </c>
      <c r="K24" s="203">
        <f t="shared" si="1"/>
        <v>5760.4392385271312</v>
      </c>
      <c r="L24" s="245"/>
      <c r="M24" s="14"/>
    </row>
    <row r="25" spans="2:16" s="65" customFormat="1" ht="13">
      <c r="B25" s="248">
        <f t="shared" si="2"/>
        <v>14</v>
      </c>
      <c r="C25" s="248"/>
      <c r="D25" s="245">
        <v>935</v>
      </c>
      <c r="E25" s="65" t="s">
        <v>245</v>
      </c>
      <c r="F25" s="224">
        <v>22229364.170000002</v>
      </c>
      <c r="G25" s="213"/>
      <c r="H25" s="215">
        <f t="shared" si="0"/>
        <v>22229364.170000002</v>
      </c>
      <c r="I25" s="215"/>
      <c r="J25" s="232">
        <f>'9-Allocators'!$H$52</f>
        <v>6.3243617010128321E-4</v>
      </c>
      <c r="K25" s="220">
        <f t="shared" si="1"/>
        <v>14058.653939461492</v>
      </c>
      <c r="L25" s="245"/>
      <c r="M25" s="14"/>
    </row>
    <row r="26" spans="2:16" s="65" customFormat="1" ht="13">
      <c r="B26" s="248">
        <f t="shared" si="2"/>
        <v>15</v>
      </c>
      <c r="E26" s="74" t="s">
        <v>214</v>
      </c>
      <c r="F26" s="4">
        <f>SUM(F12:F25)</f>
        <v>2231541577.3769126</v>
      </c>
      <c r="G26" s="226">
        <f>SUM(G12:G25)</f>
        <v>-20044138</v>
      </c>
      <c r="H26" s="4">
        <f>SUM(H12:H25)</f>
        <v>2211497439.3769126</v>
      </c>
      <c r="I26" s="4"/>
      <c r="J26" s="4"/>
      <c r="K26" s="221">
        <f>SUM(K12:K25)</f>
        <v>1398630.9707483295</v>
      </c>
      <c r="L26" s="245"/>
    </row>
    <row r="27" spans="2:16" s="65" customFormat="1" ht="13">
      <c r="B27" s="248"/>
      <c r="K27" s="245"/>
      <c r="L27" s="245"/>
    </row>
    <row r="28" spans="2:16" s="65" customFormat="1" ht="13">
      <c r="B28" s="16"/>
      <c r="F28" s="4"/>
      <c r="K28" s="245"/>
      <c r="L28" s="245"/>
      <c r="M28" s="245"/>
      <c r="N28" s="245"/>
      <c r="O28" s="245"/>
      <c r="P28" s="245"/>
    </row>
    <row r="29" spans="2:16" s="65" customFormat="1" ht="13">
      <c r="B29" s="10" t="s">
        <v>36</v>
      </c>
      <c r="D29" s="42"/>
      <c r="F29" s="4"/>
      <c r="H29" s="88"/>
      <c r="I29" s="88"/>
      <c r="J29" s="88"/>
      <c r="K29" s="245"/>
      <c r="L29" s="245"/>
    </row>
    <row r="30" spans="2:16">
      <c r="B30" s="44" t="s">
        <v>246</v>
      </c>
      <c r="C30" s="65"/>
      <c r="D30" s="43"/>
      <c r="E30" s="5"/>
      <c r="F30" s="5"/>
      <c r="G30" s="5"/>
      <c r="H30" s="5"/>
      <c r="I30" s="5"/>
      <c r="J30" s="5"/>
      <c r="K30" s="5"/>
      <c r="L30" s="5"/>
      <c r="M30" s="5"/>
      <c r="N30" s="65"/>
      <c r="O30" s="65"/>
      <c r="P30" s="65"/>
    </row>
    <row r="31" spans="2:16">
      <c r="B31" s="50" t="s">
        <v>247</v>
      </c>
      <c r="C31" s="65"/>
      <c r="D31" s="64"/>
      <c r="E31" s="56"/>
      <c r="F31" s="56"/>
      <c r="G31" s="56"/>
      <c r="H31" s="56"/>
      <c r="I31" s="56"/>
      <c r="J31" s="56"/>
      <c r="K31" s="56"/>
      <c r="L31" s="56"/>
      <c r="M31" s="5"/>
      <c r="N31" s="65"/>
      <c r="O31" s="65"/>
      <c r="P31" s="65"/>
    </row>
    <row r="32" spans="2:16" s="65" customFormat="1">
      <c r="B32" s="44" t="s">
        <v>248</v>
      </c>
      <c r="D32" s="64"/>
      <c r="E32" s="56"/>
      <c r="F32" s="56"/>
      <c r="G32" s="56"/>
      <c r="H32" s="56"/>
      <c r="I32" s="56"/>
      <c r="J32" s="56"/>
      <c r="K32" s="56"/>
      <c r="L32" s="56"/>
      <c r="M32" s="5"/>
    </row>
    <row r="33" spans="2:16" s="65" customFormat="1">
      <c r="B33" s="44"/>
      <c r="D33" s="64"/>
      <c r="E33" s="56"/>
      <c r="F33" s="56"/>
      <c r="G33" s="56"/>
      <c r="H33" s="56"/>
      <c r="I33" s="56"/>
      <c r="J33" s="56"/>
      <c r="K33" s="56"/>
      <c r="L33" s="56"/>
      <c r="M33" s="5"/>
    </row>
    <row r="34" spans="2:16" s="65" customFormat="1" ht="13">
      <c r="B34" s="10" t="s">
        <v>115</v>
      </c>
      <c r="D34" s="64"/>
      <c r="E34" s="56"/>
      <c r="F34" s="56"/>
      <c r="G34" s="56"/>
      <c r="H34" s="56"/>
      <c r="I34" s="56"/>
      <c r="J34" s="56"/>
      <c r="K34" s="56"/>
      <c r="L34" s="56"/>
      <c r="M34" s="5"/>
    </row>
    <row r="35" spans="2:16">
      <c r="B35" s="44" t="s">
        <v>249</v>
      </c>
      <c r="C35" s="65"/>
      <c r="D35" s="5"/>
      <c r="E35" s="5"/>
      <c r="F35" s="5"/>
      <c r="G35" s="5"/>
      <c r="H35" s="5"/>
      <c r="I35" s="5"/>
      <c r="J35" s="5"/>
      <c r="K35" s="5"/>
      <c r="L35" s="5"/>
      <c r="M35" s="5"/>
      <c r="N35" s="65"/>
      <c r="O35" s="65"/>
      <c r="P35" s="65"/>
    </row>
    <row r="36" spans="2:16" s="65" customFormat="1">
      <c r="B36" s="50" t="s">
        <v>250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6">
      <c r="B37" s="50" t="s">
        <v>251</v>
      </c>
      <c r="C37" s="65"/>
      <c r="D37" s="5"/>
      <c r="E37" s="5"/>
      <c r="F37" s="5"/>
      <c r="G37" s="5"/>
      <c r="H37" s="5"/>
      <c r="I37" s="5"/>
      <c r="J37" s="5"/>
      <c r="K37" s="5"/>
      <c r="L37" s="5"/>
      <c r="M37" s="5"/>
      <c r="N37" s="65"/>
      <c r="O37" s="65"/>
      <c r="P37" s="65"/>
    </row>
    <row r="38" spans="2:16">
      <c r="B38" s="65"/>
      <c r="C38" s="65"/>
      <c r="D38" s="72"/>
      <c r="E38" s="65"/>
      <c r="F38" s="65"/>
      <c r="G38" s="65"/>
      <c r="H38" s="65"/>
      <c r="K38" s="65"/>
      <c r="L38" s="65"/>
      <c r="M38" s="65"/>
      <c r="N38" s="65"/>
      <c r="O38" s="65"/>
      <c r="P38" s="65"/>
    </row>
    <row r="39" spans="2:16">
      <c r="B39" s="44"/>
      <c r="C39" s="65"/>
      <c r="D39" s="65"/>
      <c r="E39" s="65"/>
      <c r="F39" s="65"/>
      <c r="G39" s="65"/>
      <c r="H39" s="65"/>
      <c r="K39" s="65"/>
      <c r="L39" s="65"/>
      <c r="M39" s="65"/>
      <c r="N39" s="65"/>
      <c r="O39" s="65"/>
      <c r="P39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&amp;R2023 Draft Annual Update
West of Devers Formula Rate
Page &amp;P of &amp;N
</oddHeader>
    <oddFooter>&amp;R&amp;A</oddFooter>
  </headerFooter>
  <ignoredErrors>
    <ignoredError sqref="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view="pageLayout" topLeftCell="B1" zoomScaleNormal="100" workbookViewId="0">
      <selection activeCell="E28" sqref="E28"/>
    </sheetView>
  </sheetViews>
  <sheetFormatPr defaultRowHeight="12.5"/>
  <cols>
    <col min="1" max="1" width="2.7265625" customWidth="1"/>
    <col min="2" max="2" width="4.7265625" customWidth="1"/>
    <col min="3" max="3" width="2.7265625" customWidth="1"/>
    <col min="4" max="4" width="47.26953125" customWidth="1"/>
    <col min="5" max="5" width="14.7265625" customWidth="1"/>
    <col min="6" max="6" width="1.7265625" customWidth="1"/>
    <col min="7" max="7" width="20.7265625" customWidth="1"/>
    <col min="8" max="8" width="30.7265625" customWidth="1"/>
  </cols>
  <sheetData>
    <row r="1" spans="1:8" ht="13">
      <c r="A1" s="1" t="s">
        <v>252</v>
      </c>
      <c r="B1" s="65"/>
      <c r="C1" s="65"/>
      <c r="D1" s="65"/>
      <c r="E1" s="65"/>
      <c r="F1" s="65"/>
      <c r="G1" s="65"/>
      <c r="H1" s="65"/>
    </row>
    <row r="2" spans="1:8" ht="13">
      <c r="A2" s="65"/>
      <c r="B2" s="65"/>
      <c r="C2" s="65"/>
      <c r="D2" s="12" t="s">
        <v>119</v>
      </c>
      <c r="E2" s="132">
        <v>2021</v>
      </c>
      <c r="F2" s="65"/>
      <c r="G2" s="65"/>
      <c r="H2" s="65"/>
    </row>
    <row r="4" spans="1:8" ht="13">
      <c r="A4" s="65"/>
      <c r="B4" s="65"/>
      <c r="C4" s="65"/>
      <c r="D4" s="65"/>
      <c r="E4" s="65"/>
      <c r="F4" s="65"/>
      <c r="G4" s="35" t="s">
        <v>10</v>
      </c>
      <c r="H4" s="65"/>
    </row>
    <row r="5" spans="1:8" ht="13">
      <c r="A5" s="65"/>
      <c r="B5" s="11" t="s">
        <v>11</v>
      </c>
      <c r="C5" s="65"/>
      <c r="D5" s="2" t="s">
        <v>253</v>
      </c>
      <c r="E5" s="2" t="s">
        <v>13</v>
      </c>
      <c r="F5" s="65"/>
      <c r="G5" s="79" t="s">
        <v>14</v>
      </c>
      <c r="H5" s="39" t="s">
        <v>16</v>
      </c>
    </row>
    <row r="6" spans="1:8" ht="13">
      <c r="A6" s="65"/>
      <c r="B6" s="248">
        <v>1</v>
      </c>
      <c r="C6" s="65"/>
      <c r="D6" s="42" t="s">
        <v>254</v>
      </c>
      <c r="E6" s="110">
        <v>3679239676</v>
      </c>
      <c r="F6" s="65"/>
      <c r="G6" s="202" t="s">
        <v>255</v>
      </c>
      <c r="H6" s="14"/>
    </row>
    <row r="7" spans="1:8" ht="13">
      <c r="A7" s="65"/>
      <c r="B7" s="248">
        <f>B6+1</f>
        <v>2</v>
      </c>
      <c r="C7" s="65"/>
      <c r="D7" s="42" t="s">
        <v>256</v>
      </c>
      <c r="E7" s="229">
        <v>2361375916</v>
      </c>
      <c r="F7" s="65"/>
      <c r="G7" s="202" t="s">
        <v>257</v>
      </c>
      <c r="H7" s="14"/>
    </row>
    <row r="8" spans="1:8" ht="13">
      <c r="A8" s="65"/>
      <c r="B8" s="248">
        <f>B7+1</f>
        <v>3</v>
      </c>
      <c r="C8" s="65"/>
      <c r="D8" s="42" t="s">
        <v>258</v>
      </c>
      <c r="E8" s="4">
        <f>SUM(E6:E7)</f>
        <v>6040615592</v>
      </c>
      <c r="F8" s="65"/>
      <c r="G8" s="245" t="str">
        <f>"Line "&amp;B6&amp;" + Line "&amp;B7&amp;""</f>
        <v>Line 1 + Line 2</v>
      </c>
      <c r="H8" s="14"/>
    </row>
    <row r="9" spans="1:8" s="65" customFormat="1" ht="13">
      <c r="B9" s="248">
        <f t="shared" ref="B9:B15" si="0">B8+1</f>
        <v>4</v>
      </c>
      <c r="D9" s="42"/>
      <c r="E9" s="4"/>
      <c r="G9" s="245"/>
      <c r="H9" s="5"/>
    </row>
    <row r="10" spans="1:8" s="65" customFormat="1" ht="13">
      <c r="B10" s="248">
        <f t="shared" si="0"/>
        <v>5</v>
      </c>
      <c r="D10" s="42" t="s">
        <v>259</v>
      </c>
      <c r="E10" s="110">
        <v>1325390156</v>
      </c>
      <c r="G10" s="202" t="s">
        <v>260</v>
      </c>
      <c r="H10" s="14"/>
    </row>
    <row r="11" spans="1:8" s="65" customFormat="1" ht="13">
      <c r="B11" s="248">
        <f t="shared" si="0"/>
        <v>6</v>
      </c>
      <c r="D11" s="42" t="s">
        <v>261</v>
      </c>
      <c r="E11" s="109">
        <v>662106762</v>
      </c>
      <c r="G11" s="202" t="s">
        <v>262</v>
      </c>
      <c r="H11" s="14"/>
    </row>
    <row r="12" spans="1:8" s="65" customFormat="1" ht="13">
      <c r="B12" s="248">
        <f t="shared" si="0"/>
        <v>7</v>
      </c>
      <c r="D12" s="42" t="s">
        <v>263</v>
      </c>
      <c r="E12" s="4">
        <f>SUM(E10:E11)</f>
        <v>1987496918</v>
      </c>
      <c r="G12" s="245" t="str">
        <f>"Line "&amp;B10&amp;" + Line "&amp;B11&amp;""</f>
        <v>Line 5 + Line 6</v>
      </c>
      <c r="H12" s="14"/>
    </row>
    <row r="13" spans="1:8" s="65" customFormat="1" ht="13">
      <c r="B13" s="248">
        <f t="shared" si="0"/>
        <v>8</v>
      </c>
      <c r="D13" s="42"/>
      <c r="E13" s="4"/>
      <c r="G13" s="245"/>
      <c r="H13" s="5"/>
    </row>
    <row r="14" spans="1:8" s="65" customFormat="1" ht="13">
      <c r="B14" s="248">
        <f t="shared" si="0"/>
        <v>9</v>
      </c>
      <c r="D14" s="42" t="s">
        <v>264</v>
      </c>
      <c r="E14" s="45">
        <f>E8-E12</f>
        <v>4053118674</v>
      </c>
      <c r="G14" s="245" t="str">
        <f>"Line "&amp;B8&amp;" - Line "&amp;B12&amp;""</f>
        <v>Line 3 - Line 7</v>
      </c>
      <c r="H14" s="14"/>
    </row>
    <row r="15" spans="1:8" ht="13">
      <c r="A15" s="65"/>
      <c r="B15" s="248">
        <f t="shared" si="0"/>
        <v>10</v>
      </c>
      <c r="C15" s="65"/>
      <c r="D15" s="42" t="s">
        <v>265</v>
      </c>
      <c r="E15" s="233">
        <f>'9-Allocators'!H52</f>
        <v>6.3243617010128321E-4</v>
      </c>
      <c r="F15" s="65"/>
      <c r="G15" s="245" t="str">
        <f>"9-Allocators, Line "&amp;'9-Allocators'!A52&amp;""</f>
        <v>9-Allocators, Line 49</v>
      </c>
      <c r="H15" s="14"/>
    </row>
    <row r="16" spans="1:8" ht="13">
      <c r="A16" s="65"/>
      <c r="B16" s="248">
        <f t="shared" ref="B16:B27" si="1">B15+1</f>
        <v>11</v>
      </c>
      <c r="C16" s="65"/>
      <c r="D16" s="42" t="s">
        <v>266</v>
      </c>
      <c r="E16" s="45">
        <f>E8*E15</f>
        <v>3820303.7900585756</v>
      </c>
      <c r="F16" s="65"/>
      <c r="G16" s="245" t="str">
        <f>"Line "&amp;B8&amp;" * Line "&amp;B15&amp;""</f>
        <v>Line 3 * Line 10</v>
      </c>
      <c r="H16" s="14"/>
    </row>
    <row r="17" spans="1:8" ht="13">
      <c r="A17" s="65"/>
      <c r="B17" s="248">
        <f t="shared" si="1"/>
        <v>12</v>
      </c>
      <c r="C17" s="65"/>
      <c r="D17" s="42" t="s">
        <v>267</v>
      </c>
      <c r="E17" s="95">
        <f>'9-Allocators'!H62</f>
        <v>9.095767265694614E-2</v>
      </c>
      <c r="F17" s="65"/>
      <c r="G17" s="245" t="str">
        <f>"9-Allocators, Line "&amp;'9-Allocators'!A62&amp;""</f>
        <v>9-Allocators, Line 59</v>
      </c>
      <c r="H17" s="52"/>
    </row>
    <row r="18" spans="1:8" ht="13">
      <c r="A18" s="65"/>
      <c r="B18" s="248">
        <f t="shared" si="1"/>
        <v>13</v>
      </c>
      <c r="C18" s="65"/>
      <c r="D18" s="42" t="s">
        <v>268</v>
      </c>
      <c r="E18" s="4">
        <f>E16*E17</f>
        <v>347485.94158623862</v>
      </c>
      <c r="F18" s="65"/>
      <c r="G18" s="245" t="str">
        <f>"Line "&amp;B16&amp;" * Line "&amp;B17&amp;""</f>
        <v>Line 11 * Line 12</v>
      </c>
      <c r="H18" s="14"/>
    </row>
    <row r="19" spans="1:8" ht="13">
      <c r="A19" s="65"/>
      <c r="B19" s="248">
        <f t="shared" si="1"/>
        <v>14</v>
      </c>
      <c r="C19" s="65"/>
      <c r="D19" s="65"/>
      <c r="E19" s="65"/>
      <c r="F19" s="65"/>
      <c r="G19" s="245"/>
      <c r="H19" s="5"/>
    </row>
    <row r="20" spans="1:8" ht="13">
      <c r="A20" s="65"/>
      <c r="B20" s="248">
        <f t="shared" si="1"/>
        <v>15</v>
      </c>
      <c r="C20" s="65"/>
      <c r="D20" s="65"/>
      <c r="E20" s="65"/>
      <c r="F20" s="65"/>
      <c r="G20" s="245"/>
      <c r="H20" s="5"/>
    </row>
    <row r="21" spans="1:8" ht="13">
      <c r="A21" s="65"/>
      <c r="B21" s="248">
        <f t="shared" si="1"/>
        <v>16</v>
      </c>
      <c r="C21" s="65"/>
      <c r="D21" s="54" t="s">
        <v>269</v>
      </c>
      <c r="E21" s="227">
        <v>290417195</v>
      </c>
      <c r="F21" s="65"/>
      <c r="G21" s="202" t="s">
        <v>270</v>
      </c>
      <c r="H21" s="14"/>
    </row>
    <row r="22" spans="1:8" ht="13">
      <c r="A22" s="65"/>
      <c r="B22" s="248">
        <f t="shared" si="1"/>
        <v>17</v>
      </c>
      <c r="C22" s="65"/>
      <c r="D22" s="42" t="s">
        <v>271</v>
      </c>
      <c r="E22" s="228">
        <v>321783944</v>
      </c>
      <c r="F22" s="65"/>
      <c r="G22" s="202" t="s">
        <v>272</v>
      </c>
      <c r="H22" s="14"/>
    </row>
    <row r="23" spans="1:8" ht="13">
      <c r="A23" s="65"/>
      <c r="B23" s="248">
        <f t="shared" si="1"/>
        <v>18</v>
      </c>
      <c r="C23" s="65"/>
      <c r="D23" s="42" t="s">
        <v>273</v>
      </c>
      <c r="E23" s="15">
        <f>E21+E22</f>
        <v>612201139</v>
      </c>
      <c r="F23" s="65"/>
      <c r="G23" s="245" t="str">
        <f>"Line "&amp;B21&amp;" + Line "&amp;B22&amp;""</f>
        <v>Line 16 + Line 17</v>
      </c>
      <c r="H23" s="14"/>
    </row>
    <row r="24" spans="1:8" ht="13">
      <c r="A24" s="65"/>
      <c r="B24" s="248">
        <f t="shared" si="1"/>
        <v>19</v>
      </c>
      <c r="C24" s="65"/>
      <c r="D24" s="42" t="s">
        <v>265</v>
      </c>
      <c r="E24" s="233">
        <f>'9-Allocators'!H52</f>
        <v>6.3243617010128321E-4</v>
      </c>
      <c r="F24" s="65"/>
      <c r="G24" s="245" t="str">
        <f>"9-Allocators, Line "&amp;'9-Allocators'!A52&amp;""</f>
        <v>9-Allocators, Line 49</v>
      </c>
      <c r="H24" s="14"/>
    </row>
    <row r="25" spans="1:8" ht="13">
      <c r="A25" s="65"/>
      <c r="B25" s="248">
        <f t="shared" si="1"/>
        <v>20</v>
      </c>
      <c r="C25" s="65"/>
      <c r="D25" s="42" t="s">
        <v>274</v>
      </c>
      <c r="E25" s="4">
        <f>E23*E24</f>
        <v>387178.1436808033</v>
      </c>
      <c r="F25" s="65"/>
      <c r="G25" s="245" t="str">
        <f>"Line "&amp;B23&amp;" * Line "&amp;B24&amp;""</f>
        <v>Line 18 * Line 19</v>
      </c>
      <c r="H25" s="14"/>
    </row>
    <row r="26" spans="1:8" ht="13">
      <c r="A26" s="65"/>
      <c r="B26" s="248">
        <f t="shared" si="1"/>
        <v>21</v>
      </c>
      <c r="C26" s="65"/>
      <c r="D26" s="65"/>
      <c r="E26" s="65"/>
      <c r="F26" s="65"/>
      <c r="G26" s="245"/>
      <c r="H26" s="65"/>
    </row>
    <row r="27" spans="1:8" ht="13">
      <c r="A27" s="65"/>
      <c r="B27" s="248">
        <f t="shared" si="1"/>
        <v>22</v>
      </c>
      <c r="C27" s="65"/>
      <c r="D27" s="65" t="s">
        <v>275</v>
      </c>
      <c r="E27" s="45">
        <f>E25+E18</f>
        <v>734664.08526704193</v>
      </c>
      <c r="F27" s="65"/>
      <c r="G27" s="245" t="str">
        <f>"Line "&amp;B18&amp;" + Line "&amp;B25&amp;""</f>
        <v>Line 13 + Line 20</v>
      </c>
      <c r="H27" s="65"/>
    </row>
  </sheetData>
  <pageMargins left="0.7" right="0.7" top="0.90749999999999997" bottom="0.75" header="0.3" footer="0.3"/>
  <pageSetup scale="72" orientation="portrait" r:id="rId1"/>
  <headerFooter>
    <oddHeader xml:space="preserve">&amp;CSchedule 6
General and Intangible&amp;R2023 Draft Annual Update
West of Devers Formula Rate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dimension ref="A1:H20"/>
  <sheetViews>
    <sheetView view="pageLayout" zoomScaleNormal="100" workbookViewId="0">
      <selection activeCell="H17" sqref="H17"/>
    </sheetView>
  </sheetViews>
  <sheetFormatPr defaultColWidth="9.1796875" defaultRowHeight="12.5"/>
  <cols>
    <col min="1" max="1" width="2.7265625" style="65" customWidth="1"/>
    <col min="2" max="2" width="4.7265625" style="65" customWidth="1"/>
    <col min="3" max="3" width="2.7265625" style="65" customWidth="1"/>
    <col min="4" max="4" width="27.81640625" style="65" customWidth="1"/>
    <col min="5" max="5" width="14.7265625" style="65" customWidth="1"/>
    <col min="6" max="6" width="1.7265625" style="65" customWidth="1"/>
    <col min="7" max="7" width="20.7265625" style="65" customWidth="1"/>
    <col min="8" max="8" width="33.453125" style="65" customWidth="1"/>
    <col min="9" max="16384" width="9.1796875" style="65"/>
  </cols>
  <sheetData>
    <row r="1" spans="1:8" ht="13">
      <c r="A1" s="1" t="s">
        <v>276</v>
      </c>
    </row>
    <row r="2" spans="1:8" ht="13">
      <c r="G2" s="12" t="s">
        <v>119</v>
      </c>
      <c r="H2" s="132">
        <v>2020</v>
      </c>
    </row>
    <row r="3" spans="1:8" ht="13">
      <c r="G3" s="12"/>
      <c r="H3" s="247"/>
    </row>
    <row r="4" spans="1:8" ht="13">
      <c r="G4" s="35" t="s">
        <v>10</v>
      </c>
    </row>
    <row r="5" spans="1:8" ht="13">
      <c r="B5" s="11" t="s">
        <v>11</v>
      </c>
      <c r="D5" s="2" t="s">
        <v>253</v>
      </c>
      <c r="E5" s="2" t="s">
        <v>13</v>
      </c>
      <c r="G5" s="79" t="s">
        <v>14</v>
      </c>
      <c r="H5" s="39" t="s">
        <v>16</v>
      </c>
    </row>
    <row r="6" spans="1:8" ht="25.5">
      <c r="B6" s="248">
        <v>1</v>
      </c>
      <c r="D6" s="42" t="s">
        <v>277</v>
      </c>
      <c r="E6" s="110">
        <v>68286960.5</v>
      </c>
      <c r="F6" s="42"/>
      <c r="G6" s="223" t="s">
        <v>278</v>
      </c>
      <c r="H6" s="222" t="s">
        <v>279</v>
      </c>
    </row>
    <row r="7" spans="1:8" ht="13">
      <c r="B7" s="248">
        <f>B6+1</f>
        <v>2</v>
      </c>
      <c r="D7" s="94" t="s">
        <v>265</v>
      </c>
      <c r="E7" s="111">
        <f>'9-Allocators'!H52</f>
        <v>6.3243617010128321E-4</v>
      </c>
      <c r="F7" s="42"/>
      <c r="G7" s="44" t="str">
        <f>"9-Allocators, Line "&amp;'9-Allocators'!A52&amp;""</f>
        <v>9-Allocators, Line 49</v>
      </c>
      <c r="H7" s="52"/>
    </row>
    <row r="8" spans="1:8" ht="13">
      <c r="B8" s="248">
        <f>B7+1</f>
        <v>3</v>
      </c>
      <c r="D8" s="42" t="s">
        <v>280</v>
      </c>
      <c r="E8" s="4">
        <f>E6*E7</f>
        <v>43187.143766477609</v>
      </c>
      <c r="G8" s="6" t="str">
        <f>"Line "&amp;B6&amp;" * Line "&amp;B7&amp;""</f>
        <v>Line 1 * Line 2</v>
      </c>
      <c r="H8" s="14"/>
    </row>
    <row r="9" spans="1:8" ht="13">
      <c r="B9" s="248"/>
      <c r="E9" s="95"/>
      <c r="G9" s="6"/>
    </row>
    <row r="10" spans="1:8" ht="13">
      <c r="B10" s="248"/>
      <c r="E10" s="103"/>
      <c r="G10" s="6"/>
    </row>
    <row r="11" spans="1:8" ht="13">
      <c r="B11" s="248"/>
      <c r="G11" s="6"/>
    </row>
    <row r="12" spans="1:8" ht="13">
      <c r="B12" s="248"/>
      <c r="G12" s="6"/>
    </row>
    <row r="13" spans="1:8" ht="13">
      <c r="B13" s="248"/>
      <c r="G13" s="6"/>
    </row>
    <row r="14" spans="1:8" ht="13">
      <c r="B14" s="248"/>
      <c r="G14" s="6"/>
    </row>
    <row r="15" spans="1:8" ht="13">
      <c r="B15" s="248"/>
      <c r="G15" s="6"/>
    </row>
    <row r="16" spans="1:8" ht="13">
      <c r="B16" s="248"/>
      <c r="G16" s="6"/>
    </row>
    <row r="17" spans="2:7" ht="13">
      <c r="B17" s="248"/>
      <c r="G17" s="6"/>
    </row>
    <row r="18" spans="2:7" ht="13">
      <c r="B18" s="248"/>
      <c r="G18" s="6"/>
    </row>
    <row r="19" spans="2:7" ht="13">
      <c r="B19" s="248"/>
      <c r="G19" s="6"/>
    </row>
    <row r="20" spans="2:7" ht="13">
      <c r="B20" s="248"/>
      <c r="G20" s="6"/>
    </row>
  </sheetData>
  <pageMargins left="0.7" right="0.7" top="0.95791666666666664" bottom="0.75" header="0.3" footer="0.3"/>
  <pageSetup scale="75" orientation="portrait" horizontalDpi="360" verticalDpi="360" r:id="rId1"/>
  <headerFooter>
    <oddHeader xml:space="preserve">&amp;CSchedule 7
Payroll Taxes&amp;R2023 Draft Annual Update
West of Devers Formula Rate
Page &amp;P of 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dimension ref="A1:O35"/>
  <sheetViews>
    <sheetView view="pageLayout" topLeftCell="B1" zoomScaleNormal="100" workbookViewId="0">
      <selection activeCell="E25" sqref="E25"/>
    </sheetView>
  </sheetViews>
  <sheetFormatPr defaultRowHeight="12.5"/>
  <cols>
    <col min="1" max="1" width="2.54296875" customWidth="1"/>
    <col min="2" max="2" width="6.7265625" customWidth="1"/>
    <col min="3" max="3" width="35" customWidth="1"/>
    <col min="4" max="4" width="10.81640625" customWidth="1"/>
    <col min="5" max="5" width="13.1796875" customWidth="1"/>
    <col min="6" max="6" width="2.54296875" customWidth="1"/>
    <col min="7" max="7" width="25.26953125" customWidth="1"/>
    <col min="8" max="8" width="16" customWidth="1"/>
    <col min="9" max="9" width="10.81640625" customWidth="1"/>
  </cols>
  <sheetData>
    <row r="1" spans="1:15" s="65" customFormat="1" ht="13">
      <c r="A1" s="1" t="s">
        <v>281</v>
      </c>
    </row>
    <row r="2" spans="1:15" s="65" customFormat="1" ht="13">
      <c r="D2" s="12" t="s">
        <v>119</v>
      </c>
      <c r="E2" s="132">
        <v>2021</v>
      </c>
    </row>
    <row r="3" spans="1:15" ht="13">
      <c r="A3" s="65"/>
      <c r="B3" s="136"/>
      <c r="C3" s="136"/>
      <c r="D3" s="136"/>
      <c r="E3" s="136"/>
      <c r="F3" s="136"/>
      <c r="G3" s="7" t="s">
        <v>10</v>
      </c>
      <c r="H3" s="136"/>
      <c r="I3" s="137"/>
      <c r="J3" s="65"/>
      <c r="K3" s="65"/>
      <c r="L3" s="65"/>
      <c r="M3" s="65"/>
      <c r="N3" s="65"/>
      <c r="O3" s="65"/>
    </row>
    <row r="4" spans="1:15" ht="13">
      <c r="A4" s="65"/>
      <c r="B4" s="2" t="s">
        <v>11</v>
      </c>
      <c r="C4" s="170" t="s">
        <v>282</v>
      </c>
      <c r="D4" s="136"/>
      <c r="E4" s="79" t="s">
        <v>13</v>
      </c>
      <c r="F4" s="79"/>
      <c r="G4" s="79" t="s">
        <v>14</v>
      </c>
      <c r="H4" s="79" t="s">
        <v>124</v>
      </c>
      <c r="I4" s="65"/>
      <c r="J4" s="65"/>
      <c r="K4" s="65"/>
      <c r="L4" s="65"/>
      <c r="M4" s="65"/>
      <c r="N4" s="65"/>
      <c r="O4" s="65"/>
    </row>
    <row r="5" spans="1:15" ht="13">
      <c r="A5" s="65"/>
      <c r="B5" s="7">
        <v>1</v>
      </c>
      <c r="C5" s="143"/>
      <c r="D5" s="136"/>
      <c r="E5" s="249"/>
      <c r="F5" s="79"/>
      <c r="G5" s="81" t="s">
        <v>283</v>
      </c>
      <c r="H5" s="210"/>
      <c r="I5" s="137"/>
      <c r="J5" s="65"/>
      <c r="K5" s="65"/>
      <c r="L5" s="65"/>
      <c r="M5" s="65"/>
      <c r="N5" s="65"/>
      <c r="O5" s="65"/>
    </row>
    <row r="6" spans="1:15" ht="13">
      <c r="A6" s="65"/>
      <c r="B6" s="7">
        <f>B5+1</f>
        <v>2</v>
      </c>
      <c r="C6" s="143"/>
      <c r="D6" s="136"/>
      <c r="E6" s="249"/>
      <c r="F6" s="79"/>
      <c r="G6" s="136"/>
      <c r="H6" s="210"/>
      <c r="I6" s="137"/>
      <c r="J6" s="65"/>
      <c r="K6" s="65"/>
      <c r="L6" s="65"/>
      <c r="M6" s="65"/>
      <c r="N6" s="65"/>
      <c r="O6" s="65"/>
    </row>
    <row r="7" spans="1:15" ht="13">
      <c r="A7" s="65"/>
      <c r="B7" s="7">
        <f>B6+1</f>
        <v>3</v>
      </c>
      <c r="C7" s="138"/>
      <c r="D7" s="136"/>
      <c r="E7" s="139"/>
      <c r="F7" s="79"/>
      <c r="G7" s="136"/>
      <c r="H7" s="210"/>
      <c r="I7" s="137"/>
      <c r="J7" s="65"/>
      <c r="K7" s="65"/>
      <c r="L7" s="65"/>
      <c r="M7" s="65"/>
      <c r="N7" s="65"/>
      <c r="O7" s="65"/>
    </row>
    <row r="8" spans="1:15" ht="13">
      <c r="A8" s="65"/>
      <c r="B8" s="7">
        <f>B7+1</f>
        <v>4</v>
      </c>
      <c r="C8" s="138"/>
      <c r="D8" s="136"/>
      <c r="E8" s="139"/>
      <c r="F8" s="79"/>
      <c r="G8" s="136"/>
      <c r="H8" s="210"/>
      <c r="I8" s="137"/>
      <c r="J8" s="65"/>
      <c r="K8" s="65"/>
      <c r="L8" s="65"/>
      <c r="M8" s="65"/>
      <c r="N8" s="65"/>
      <c r="O8" s="65"/>
    </row>
    <row r="9" spans="1:15" ht="13">
      <c r="A9" s="65"/>
      <c r="B9" s="7">
        <f>B8+1</f>
        <v>5</v>
      </c>
      <c r="C9" s="138"/>
      <c r="D9" s="136"/>
      <c r="E9" s="139"/>
      <c r="F9" s="79"/>
      <c r="G9" s="136"/>
      <c r="H9" s="210"/>
      <c r="I9" s="137"/>
      <c r="J9" s="65"/>
      <c r="K9" s="65"/>
      <c r="L9" s="65"/>
      <c r="M9" s="65"/>
      <c r="N9" s="65"/>
      <c r="O9" s="65"/>
    </row>
    <row r="10" spans="1:15" ht="13">
      <c r="A10" s="65"/>
      <c r="B10" s="7">
        <f>B9+1</f>
        <v>6</v>
      </c>
      <c r="C10" s="136"/>
      <c r="D10" s="141" t="s">
        <v>284</v>
      </c>
      <c r="E10" s="250">
        <f>SUM(E5:E9)</f>
        <v>0</v>
      </c>
      <c r="F10" s="136"/>
      <c r="G10" s="140" t="s">
        <v>130</v>
      </c>
      <c r="H10" s="136"/>
      <c r="I10" s="137"/>
      <c r="J10" s="65"/>
      <c r="K10" s="65"/>
      <c r="L10" s="65"/>
      <c r="M10" s="65"/>
      <c r="N10" s="65"/>
      <c r="O10" s="65"/>
    </row>
    <row r="11" spans="1:15" ht="13">
      <c r="A11" s="65"/>
      <c r="B11" s="7"/>
      <c r="C11" s="136"/>
      <c r="D11" s="141"/>
      <c r="E11" s="142"/>
      <c r="F11" s="136"/>
      <c r="G11" s="140"/>
      <c r="H11" s="136"/>
      <c r="I11" s="137"/>
      <c r="J11" s="65"/>
      <c r="K11" s="65"/>
      <c r="L11" s="65"/>
      <c r="M11" s="65"/>
      <c r="N11" s="65"/>
      <c r="O11" s="65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9">
      <c r="B33" s="65"/>
      <c r="C33" s="65"/>
      <c r="D33" s="65"/>
      <c r="E33" s="65"/>
      <c r="F33" s="65"/>
      <c r="G33" s="65"/>
      <c r="H33" s="65"/>
      <c r="I33" s="65"/>
    </row>
    <row r="34" spans="2:9">
      <c r="B34" s="65"/>
      <c r="C34" s="65"/>
      <c r="D34" s="65"/>
      <c r="E34" s="65"/>
      <c r="F34" s="65"/>
      <c r="G34" s="65"/>
      <c r="H34" s="65"/>
      <c r="I34" s="65"/>
    </row>
    <row r="35" spans="2:9">
      <c r="B35" s="65"/>
      <c r="C35" s="65"/>
      <c r="D35" s="65"/>
      <c r="E35" s="65"/>
      <c r="F35" s="65"/>
      <c r="G35" s="65"/>
      <c r="H35" s="65"/>
      <c r="I35" s="65"/>
    </row>
  </sheetData>
  <pageMargins left="0.7" right="0.7" top="0.95052083333333337" bottom="0.75" header="0.3" footer="0.3"/>
  <pageSetup scale="73" orientation="portrait" horizontalDpi="360" verticalDpi="360" r:id="rId1"/>
  <headerFooter>
    <oddHeader xml:space="preserve">&amp;CSchedule 8
Property Tax&amp;R2023 Draft Annual Update
West of Devers Formula Rate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Robert G Mindess</cp:lastModifiedBy>
  <cp:revision/>
  <dcterms:created xsi:type="dcterms:W3CDTF">2009-02-27T16:01:11Z</dcterms:created>
  <dcterms:modified xsi:type="dcterms:W3CDTF">2022-06-10T23:11:01Z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</Properties>
</file>