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Program Costs &amp; Impacts" sheetId="1" r:id="rId1"/>
    <sheet name="Portfolio Costs &amp; Impacts" sheetId="2" r:id="rId2"/>
  </sheets>
  <definedNames/>
  <calcPr fullCalcOnLoad="1"/>
</workbook>
</file>

<file path=xl/sharedStrings.xml><?xml version="1.0" encoding="utf-8"?>
<sst xmlns="http://schemas.openxmlformats.org/spreadsheetml/2006/main" count="222" uniqueCount="191">
  <si>
    <r>
      <t>1</t>
    </r>
    <r>
      <rPr>
        <sz val="10"/>
        <rFont val="Arial"/>
        <family val="0"/>
      </rPr>
      <t xml:space="preserve"> Total Commitments (Inception-to-Date) are incentives to participants only.</t>
    </r>
  </si>
  <si>
    <t>Local Government Energy Action Resources</t>
  </si>
  <si>
    <t>Appliances</t>
  </si>
  <si>
    <t>Consumer Electronics</t>
  </si>
  <si>
    <t>Cooking Appliances</t>
  </si>
  <si>
    <t>Pool Pump</t>
  </si>
  <si>
    <t>Water Heating</t>
  </si>
  <si>
    <t>Office</t>
  </si>
  <si>
    <t>Single Family</t>
  </si>
  <si>
    <t>Commercial</t>
  </si>
  <si>
    <t>Santa Ana Partnership</t>
  </si>
  <si>
    <t>Business Incentives &amp; Services</t>
  </si>
  <si>
    <t>Comprehensive HVAC Program</t>
  </si>
  <si>
    <t>Industrial</t>
  </si>
  <si>
    <t>Residential</t>
  </si>
  <si>
    <t>Nonresidential</t>
  </si>
  <si>
    <t>Subtotal</t>
  </si>
  <si>
    <t>Retro-Commissioning (RCx)</t>
  </si>
  <si>
    <t>Healthcare Energy Efficiency Program</t>
  </si>
  <si>
    <t>CA Preschool Energy Efficiency Program</t>
  </si>
  <si>
    <t>Southern California Home Performance Program</t>
  </si>
  <si>
    <t>California Community Colleges</t>
  </si>
  <si>
    <t>SCE-SCG County of Los Angeles Partnership</t>
  </si>
  <si>
    <t>County of Riverside Partnership</t>
  </si>
  <si>
    <t>Home Energy Efficiency Survey</t>
  </si>
  <si>
    <t>Net Summer Peak kW</t>
  </si>
  <si>
    <t>Net Annual kWh</t>
  </si>
  <si>
    <t xml:space="preserve">Net Annual Therms </t>
  </si>
  <si>
    <t>South Bay Partnership</t>
  </si>
  <si>
    <t>Bakersfield and Kern County Partnership</t>
  </si>
  <si>
    <t>Sustainable Communities</t>
  </si>
  <si>
    <t>Partnership Programs</t>
  </si>
  <si>
    <t>Santa Barbara Partnership</t>
  </si>
  <si>
    <t>Community Energy Partnership (Non-Resource)</t>
  </si>
  <si>
    <t>Community Energy Partnership (Resource)</t>
  </si>
  <si>
    <t>Annual Program Administrators Projections
(Compliance Filing or as Revised)</t>
  </si>
  <si>
    <t>Installed Savings
(Annual, Year-to-Date)</t>
  </si>
  <si>
    <t>Installed Savings
(% of Annual Goals)</t>
  </si>
  <si>
    <t>San Gabriel Valley EE Partnership Program</t>
  </si>
  <si>
    <t>California Department of Corrections and Rehabilitation</t>
  </si>
  <si>
    <t>IDEEA / InDEE</t>
  </si>
  <si>
    <t>Future IDEEA Solicitations</t>
  </si>
  <si>
    <t>Education, Training, and Outreach</t>
  </si>
  <si>
    <t>Statewide Emerging Technologies</t>
  </si>
  <si>
    <t>Statewide Codes &amp; Standards Program</t>
  </si>
  <si>
    <t>Total Portfolio</t>
  </si>
  <si>
    <t>Total Portfolio kW Commitments (Inception-To-Date)</t>
  </si>
  <si>
    <t>Total Portfolio KWh Commitments (Inception-To-Date)</t>
  </si>
  <si>
    <t>Multifamily Energy Efficiency Program</t>
  </si>
  <si>
    <t>Agricultural Energy Efficiency Program</t>
  </si>
  <si>
    <t>Savings By Design</t>
  </si>
  <si>
    <t>Lighting</t>
  </si>
  <si>
    <t>Other</t>
  </si>
  <si>
    <t>HVAC</t>
  </si>
  <si>
    <t>Agricultural</t>
  </si>
  <si>
    <t>Portfolio Installed kW (Report Month)</t>
  </si>
  <si>
    <t>Portfolio Installed KWh (Report Month)</t>
  </si>
  <si>
    <t>Portfolio Installed Therms (Report Month)</t>
  </si>
  <si>
    <t>Net
Annual
kWh</t>
  </si>
  <si>
    <t>Net
Smr Peak
kW</t>
  </si>
  <si>
    <t>Net
Annual
Therms</t>
  </si>
  <si>
    <t>Nonresidential Direct Installation</t>
  </si>
  <si>
    <t>UC-CSU-PG&amp;E-SCE-SCG-SDG&amp;E Partnership</t>
  </si>
  <si>
    <t>Refrigeration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</si>
  <si>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</si>
  <si>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</si>
  <si>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</si>
  <si>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</si>
  <si>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Residential Energy Efficiency Incentive Program</t>
  </si>
  <si>
    <t>Process</t>
  </si>
  <si>
    <t>Table 1.1 - Monthly Summary Table</t>
  </si>
  <si>
    <t>Program ID</t>
  </si>
  <si>
    <t>Program Name</t>
  </si>
  <si>
    <t>Program Expenditures 
(Report Month)</t>
  </si>
  <si>
    <t>MAP Energy Efficiency Program</t>
  </si>
  <si>
    <t>Mammoth Lakes Partnership</t>
  </si>
  <si>
    <t>Program impacts from Table 1.6 &amp; 1.7 reflect inception-to-date activity.</t>
  </si>
  <si>
    <t>Federal Direct Install Initiative</t>
  </si>
  <si>
    <t>Codes &amp; Standards Energy Savings</t>
  </si>
  <si>
    <t>CA New Homes Program</t>
  </si>
  <si>
    <t>Industrial Energy Efficiency Program</t>
  </si>
  <si>
    <t>Table 1.2:  Portfolio Costs</t>
  </si>
  <si>
    <t>Adopted Portfolio Budget (3-Yr. Cumulative)</t>
  </si>
  <si>
    <t>Portfolio Expenditures (Inception-To-Date)</t>
  </si>
  <si>
    <t>Portfolio Expenditures (Report Month)</t>
  </si>
  <si>
    <t>Portfolio Commitments (Inception-To-Date)</t>
  </si>
  <si>
    <t>Table 1.3:  Portfolio Impacts - Monthly</t>
  </si>
  <si>
    <t>Statewide Marketing &amp; Outreach - Flex Your Power Rural Program</t>
  </si>
  <si>
    <t xml:space="preserve"> Total Energy Efficiency Portfolio</t>
  </si>
  <si>
    <t>Installed Savings 
(Report Month)</t>
  </si>
  <si>
    <t>Appliance Recycling Program</t>
  </si>
  <si>
    <t>Integrated School-Based Program</t>
  </si>
  <si>
    <t>Designed for Comfort - Efficient Affordable Housing</t>
  </si>
  <si>
    <t>Low Income Energy Efficiency</t>
  </si>
  <si>
    <t>Ventura County Partnership</t>
  </si>
  <si>
    <t>Multi Family</t>
  </si>
  <si>
    <t>Mobile Homes</t>
  </si>
  <si>
    <t>Southern California Edison</t>
  </si>
  <si>
    <t>Statewide Marketing &amp; Outreach</t>
  </si>
  <si>
    <t>Statewide Marketing &amp; Outreach - Flex Your Power</t>
  </si>
  <si>
    <t>Statewide Marketing &amp; Outreach - UTEEM</t>
  </si>
  <si>
    <t>Ridgecrest Partnership</t>
  </si>
  <si>
    <t>State of California/IOU Partnership</t>
  </si>
  <si>
    <t>Modernization and New Construction Efficiency Enhancement Program for Schools</t>
  </si>
  <si>
    <t>Energy Efficiency Program for Entertainment Centers</t>
  </si>
  <si>
    <t>San Bernardino County Partnership</t>
  </si>
  <si>
    <t>Table 1.7:  Portfolio Impacts - Market Sector</t>
  </si>
  <si>
    <t>Table 1.6:  Portfolio Impacts - Aggregated End Use</t>
  </si>
  <si>
    <t>Palm Desert Partnership</t>
  </si>
  <si>
    <t>Total Portfolio Therms Commitments (Inception-To-Date)</t>
  </si>
  <si>
    <t>Table 1.4:  Portfolio Impacts - Annual</t>
  </si>
  <si>
    <t>Annual Goals
(D.04-09-060)</t>
  </si>
  <si>
    <t>SCE2500a</t>
  </si>
  <si>
    <t>SCE2501a</t>
  </si>
  <si>
    <t>SCE2502a</t>
  </si>
  <si>
    <t>SCE2503a</t>
  </si>
  <si>
    <t>SCE2504a</t>
  </si>
  <si>
    <t>SCE2505a</t>
  </si>
  <si>
    <t>SCE2507a</t>
  </si>
  <si>
    <t>SCE2508a</t>
  </si>
  <si>
    <t>SCE2509a</t>
  </si>
  <si>
    <t>SCE2510a</t>
  </si>
  <si>
    <t>SCE2511a</t>
  </si>
  <si>
    <t>SCE2512a</t>
  </si>
  <si>
    <t>SCE2513a</t>
  </si>
  <si>
    <t>SCE2514a</t>
  </si>
  <si>
    <t>SCE2515a</t>
  </si>
  <si>
    <t>SCE2516a</t>
  </si>
  <si>
    <t>SCE2517a</t>
  </si>
  <si>
    <t>SCE2518a</t>
  </si>
  <si>
    <t>SCE2519a</t>
  </si>
  <si>
    <t>SCE2520a</t>
  </si>
  <si>
    <t>SCE2521a</t>
  </si>
  <si>
    <t>SCE2522a</t>
  </si>
  <si>
    <t>SCE2523a</t>
  </si>
  <si>
    <t>SCE2524a</t>
  </si>
  <si>
    <t>SCE2525a</t>
  </si>
  <si>
    <t>SCE2526a</t>
  </si>
  <si>
    <t>SCE2527a</t>
  </si>
  <si>
    <t>SCE2528a</t>
  </si>
  <si>
    <t>SCE2529a</t>
  </si>
  <si>
    <t>SCE2530a</t>
  </si>
  <si>
    <t>SCE2566a</t>
  </si>
  <si>
    <t>SCE2569a</t>
  </si>
  <si>
    <t>SCE2570a</t>
  </si>
  <si>
    <t>SCE2571a</t>
  </si>
  <si>
    <t>SCE2573a</t>
  </si>
  <si>
    <t>SCE2531a</t>
  </si>
  <si>
    <t>SCE2537a</t>
  </si>
  <si>
    <t>SCE2543a</t>
  </si>
  <si>
    <t>SCE2544a</t>
  </si>
  <si>
    <t>SCE2548a</t>
  </si>
  <si>
    <t>SCE2558a</t>
  </si>
  <si>
    <t>SCE2560a</t>
  </si>
  <si>
    <t>SCE2561a</t>
  </si>
  <si>
    <t>SCE2554a</t>
  </si>
  <si>
    <t>SCE2555a</t>
  </si>
  <si>
    <t>SCE2556a</t>
  </si>
  <si>
    <t>Adopted Bridge Funding Budget 
(Assumes 2009)</t>
  </si>
  <si>
    <t>Bridge Funding Program Operating Budget 
(Assumes 2009)</t>
  </si>
  <si>
    <t>Demand Reduction (Gross Summer Peak kW)</t>
  </si>
  <si>
    <t>Energy Savings (Gross Annual kWh)</t>
  </si>
  <si>
    <t>Gas Savings (Gross Annual Therms)</t>
  </si>
  <si>
    <t>Total Commitments 
( Since Inception of 2009 Bridge Funding)</t>
  </si>
  <si>
    <t>Installed Savings
(Since Inception of 2009 Bridge Funding)</t>
  </si>
  <si>
    <t>Bridge Funding Program Projected</t>
  </si>
  <si>
    <t>Total Commitments 
(Since Inception of 2009 Bridge Funding)</t>
  </si>
  <si>
    <t>Program Expenditures 
(Since Inception of 2009 Bridge Funding)</t>
  </si>
  <si>
    <t>SCE2567a</t>
  </si>
  <si>
    <t>SCE2568a</t>
  </si>
  <si>
    <t>Table 1.5:  Portfolio Impacts - Cumulative 2009-2011 Savings</t>
  </si>
  <si>
    <t>Table 1.5a:  Portfolio Impacts - Cumulative  2004 - 2011  Savings</t>
  </si>
  <si>
    <r>
      <t xml:space="preserve">Budget &amp; Expenditures ($) </t>
    </r>
    <r>
      <rPr>
        <b/>
        <vertAlign val="superscript"/>
        <sz val="12"/>
        <rFont val="Arial"/>
        <family val="2"/>
      </rPr>
      <t>1</t>
    </r>
  </si>
  <si>
    <t xml:space="preserve">Long Beach Partnership </t>
  </si>
  <si>
    <t xml:space="preserve">South Gate Partnership </t>
  </si>
  <si>
    <t xml:space="preserve">Orange County Partnership </t>
  </si>
  <si>
    <t xml:space="preserve">Desert Cities Partnership  </t>
  </si>
  <si>
    <t>SCE2575a</t>
  </si>
  <si>
    <t>SCE2576a</t>
  </si>
  <si>
    <t>SCE2577a</t>
  </si>
  <si>
    <t>SCE2578a</t>
  </si>
  <si>
    <t>SCE2579a</t>
  </si>
  <si>
    <t>SCE2580a</t>
  </si>
  <si>
    <t>SCE2581a</t>
  </si>
  <si>
    <t>SCE2582a</t>
  </si>
  <si>
    <t>Beaumont Partnership</t>
  </si>
  <si>
    <t xml:space="preserve">View Partnership </t>
  </si>
  <si>
    <t xml:space="preserve">Simi Valley Partnership </t>
  </si>
  <si>
    <t xml:space="preserve">Redlands Partnership </t>
  </si>
  <si>
    <t>Report Month: July 2009</t>
  </si>
  <si>
    <t>2009 Bridge Funding Monthly Energy Efficiency Program Data Report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</si>
</sst>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mmdd"/>
    <numFmt numFmtId="165" formatCode="#,##0.00&quot; $&quot;;\-#,##0.00&quot; $&quot;"/>
    <numFmt numFmtId="166" formatCode=";;;"/>
    <numFmt numFmtId="167" formatCode="dd/mm/yy"/>
    <numFmt numFmtId="168" formatCode="0.000"/>
    <numFmt numFmtId="169" formatCode="_(&quot;$&quot;* #,##0_);_(&quot;$&quot;* \(#,##0\);_(&quot;$&quot;* &quot;-&quot;??_);_(@_)"/>
    <numFmt numFmtId="170" formatCode="_(* #,##0_);_(* \(#,##0\);_(* &quot;-&quot;??_);_(@_)"/>
    <numFmt numFmtId="171" formatCode="#,##0.000_);\(#,##0.000\)"/>
    <numFmt numFmtId="172" formatCode="[$-409]mmmm\-yy;@"/>
    <numFmt numFmtId="173" formatCode="_(* #,##0.0000000_);_(* \(#,##0.0000000\);_(* &quot;-&quot;??_);_(@_)"/>
    <numFmt numFmtId="174" formatCode="_(* #,##0.000_);_(* \(#,##0.000\);_(* &quot;-&quot;??_);_(@_)"/>
    <numFmt numFmtId="175" formatCode="_(* #,##0.0_);_(* \(#,##0.0\);_(* &quot;-&quot;??_);_(@_)"/>
    <numFmt numFmtId="176" formatCode="_(&quot;$&quot;* #,##0.0_);_(&quot;$&quot;* \(#,##0.0\);_(&quot;$&quot;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14"/>
      <name val="MS Sans Serif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1"/>
      <color indexed="62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MS Sans Serif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0"/>
    </font>
    <font>
      <sz val="12"/>
      <name val="Arial"/>
      <family val="0"/>
    </font>
    <font>
      <b/>
      <sz val="11"/>
      <color indexed="63"/>
      <name val="Calibri"/>
      <family val="2"/>
    </font>
    <font>
      <b/>
      <sz val="14"/>
      <name val="Arial"/>
      <family val="2"/>
    </font>
    <font>
      <i/>
      <sz val="12"/>
      <name val="Arial"/>
      <family val="2"/>
    </font>
    <font>
      <i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Tahoma"/>
      <family val="0"/>
    </font>
    <font>
      <sz val="8"/>
      <color indexed="12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0"/>
    </font>
    <font>
      <sz val="16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>
      <alignment/>
      <protection/>
    </xf>
    <xf numFmtId="37" fontId="26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7" fillId="0" borderId="1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0" fillId="0" borderId="2" applyFill="0" applyBorder="0" applyProtection="0">
      <alignment horizontal="right" vertical="center"/>
    </xf>
    <xf numFmtId="0" fontId="0" fillId="0" borderId="0" applyNumberFormat="0" applyFill="0" applyBorder="0" applyAlignment="0" applyProtection="0"/>
    <xf numFmtId="37" fontId="28" fillId="0" borderId="1" applyFill="0" applyBorder="0" applyProtection="0">
      <alignment horizontal="righ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3" fillId="27" borderId="0" applyNumberFormat="0" applyBorder="0" applyAlignment="0" applyProtection="0"/>
    <xf numFmtId="164" fontId="5" fillId="6" borderId="3">
      <alignment horizontal="center" vertical="center"/>
      <protection/>
    </xf>
    <xf numFmtId="0" fontId="6" fillId="18" borderId="0" applyNumberFormat="0" applyBorder="0" applyAlignment="0" applyProtection="0"/>
    <xf numFmtId="0" fontId="7" fillId="28" borderId="4" applyNumberFormat="0" applyAlignment="0" applyProtection="0"/>
    <xf numFmtId="0" fontId="8" fillId="1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1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2" borderId="0" applyNumberFormat="0" applyBorder="0" applyAlignment="0" applyProtection="0"/>
    <xf numFmtId="38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Alignment="0" applyProtection="0"/>
    <xf numFmtId="0" fontId="15" fillId="0" borderId="7">
      <alignment horizontal="left" vertical="center"/>
      <protection/>
    </xf>
    <xf numFmtId="0" fontId="16" fillId="0" borderId="0" applyNumberFormat="0" applyFont="0" applyFill="0" applyBorder="0" applyProtection="0">
      <alignment/>
    </xf>
    <xf numFmtId="0" fontId="15" fillId="0" borderId="0" applyNumberFormat="0" applyFont="0" applyFill="0" applyBorder="0" applyProtection="0">
      <alignment/>
    </xf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165" fontId="0" fillId="0" borderId="0">
      <alignment/>
      <protection locked="0"/>
    </xf>
    <xf numFmtId="165" fontId="0" fillId="0" borderId="0">
      <alignment/>
      <protection locked="0"/>
    </xf>
    <xf numFmtId="166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27" borderId="4" applyNumberFormat="0" applyAlignment="0" applyProtection="0"/>
    <xf numFmtId="10" fontId="13" fillId="4" borderId="10" applyNumberFormat="0" applyBorder="0" applyAlignment="0" applyProtection="0"/>
    <xf numFmtId="0" fontId="21" fillId="0" borderId="11" applyNumberFormat="0" applyFill="0" applyAlignment="0" applyProtection="0"/>
    <xf numFmtId="0" fontId="22" fillId="27" borderId="0" applyNumberFormat="0" applyBorder="0" applyAlignment="0" applyProtection="0"/>
    <xf numFmtId="37" fontId="23" fillId="0" borderId="0">
      <alignment/>
      <protection/>
    </xf>
    <xf numFmtId="167" fontId="2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26" borderId="12" applyNumberFormat="0" applyFont="0" applyAlignment="0" applyProtection="0"/>
    <xf numFmtId="0" fontId="25" fillId="28" borderId="13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29" fillId="33" borderId="14" applyNumberFormat="0" applyProtection="0">
      <alignment vertical="center"/>
    </xf>
    <xf numFmtId="4" fontId="30" fillId="33" borderId="14" applyNumberFormat="0" applyProtection="0">
      <alignment vertical="center"/>
    </xf>
    <xf numFmtId="4" fontId="29" fillId="33" borderId="14" applyNumberFormat="0" applyProtection="0">
      <alignment horizontal="left" vertical="center" indent="1"/>
    </xf>
    <xf numFmtId="0" fontId="29" fillId="33" borderId="14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" fillId="7" borderId="14" applyNumberFormat="0" applyProtection="0">
      <alignment horizontal="right" vertical="center"/>
    </xf>
    <xf numFmtId="4" fontId="1" fillId="3" borderId="14" applyNumberFormat="0" applyProtection="0">
      <alignment horizontal="right" vertical="center"/>
    </xf>
    <xf numFmtId="4" fontId="1" fillId="34" borderId="14" applyNumberFormat="0" applyProtection="0">
      <alignment horizontal="right" vertical="center"/>
    </xf>
    <xf numFmtId="4" fontId="1" fillId="35" borderId="14" applyNumberFormat="0" applyProtection="0">
      <alignment horizontal="right" vertical="center"/>
    </xf>
    <xf numFmtId="4" fontId="1" fillId="36" borderId="14" applyNumberFormat="0" applyProtection="0">
      <alignment horizontal="right" vertical="center"/>
    </xf>
    <xf numFmtId="4" fontId="1" fillId="37" borderId="14" applyNumberFormat="0" applyProtection="0">
      <alignment horizontal="right" vertical="center"/>
    </xf>
    <xf numFmtId="4" fontId="1" fillId="9" borderId="14" applyNumberFormat="0" applyProtection="0">
      <alignment horizontal="right" vertical="center"/>
    </xf>
    <xf numFmtId="4" fontId="1" fillId="38" borderId="14" applyNumberFormat="0" applyProtection="0">
      <alignment horizontal="right" vertical="center"/>
    </xf>
    <xf numFmtId="4" fontId="1" fillId="39" borderId="14" applyNumberFormat="0" applyProtection="0">
      <alignment horizontal="right" vertical="center"/>
    </xf>
    <xf numFmtId="4" fontId="29" fillId="40" borderId="15" applyNumberFormat="0" applyProtection="0">
      <alignment horizontal="left" vertical="center" indent="1"/>
    </xf>
    <xf numFmtId="4" fontId="1" fillId="41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" fillId="2" borderId="14" applyNumberFormat="0" applyProtection="0">
      <alignment horizontal="right" vertical="center"/>
    </xf>
    <xf numFmtId="4" fontId="1" fillId="41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0" fillId="8" borderId="14" applyNumberFormat="0" applyProtection="0">
      <alignment horizontal="left" vertical="center" indent="1"/>
    </xf>
    <xf numFmtId="0" fontId="0" fillId="8" borderId="14" applyNumberFormat="0" applyProtection="0">
      <alignment horizontal="left" vertical="top" indent="1"/>
    </xf>
    <xf numFmtId="0" fontId="0" fillId="2" borderId="14" applyNumberFormat="0" applyProtection="0">
      <alignment horizontal="left" vertical="center" indent="1"/>
    </xf>
    <xf numFmtId="0" fontId="0" fillId="2" borderId="14" applyNumberFormat="0" applyProtection="0">
      <alignment horizontal="left" vertical="top" indent="1"/>
    </xf>
    <xf numFmtId="0" fontId="0" fillId="6" borderId="14" applyNumberFormat="0" applyProtection="0">
      <alignment horizontal="left" vertical="center" indent="1"/>
    </xf>
    <xf numFmtId="0" fontId="0" fillId="6" borderId="14" applyNumberFormat="0" applyProtection="0">
      <alignment horizontal="left" vertical="top" indent="1"/>
    </xf>
    <xf numFmtId="0" fontId="0" fillId="41" borderId="14" applyNumberFormat="0" applyProtection="0">
      <alignment horizontal="left" vertical="center" indent="1"/>
    </xf>
    <xf numFmtId="0" fontId="0" fillId="41" borderId="14" applyNumberFormat="0" applyProtection="0">
      <alignment horizontal="left" vertical="top" indent="1"/>
    </xf>
    <xf numFmtId="0" fontId="0" fillId="5" borderId="10" applyNumberFormat="0">
      <alignment/>
      <protection locked="0"/>
    </xf>
    <xf numFmtId="4" fontId="1" fillId="4" borderId="14" applyNumberFormat="0" applyProtection="0">
      <alignment vertical="center"/>
    </xf>
    <xf numFmtId="4" fontId="32" fillId="4" borderId="14" applyNumberFormat="0" applyProtection="0">
      <alignment vertical="center"/>
    </xf>
    <xf numFmtId="4" fontId="1" fillId="4" borderId="14" applyNumberFormat="0" applyProtection="0">
      <alignment horizontal="left" vertical="center" indent="1"/>
    </xf>
    <xf numFmtId="0" fontId="1" fillId="4" borderId="14" applyNumberFormat="0" applyProtection="0">
      <alignment horizontal="left" vertical="top" indent="1"/>
    </xf>
    <xf numFmtId="4" fontId="1" fillId="41" borderId="14" applyNumberFormat="0" applyProtection="0">
      <alignment horizontal="right" vertical="center"/>
    </xf>
    <xf numFmtId="4" fontId="32" fillId="41" borderId="14" applyNumberFormat="0" applyProtection="0">
      <alignment horizontal="right" vertical="center"/>
    </xf>
    <xf numFmtId="4" fontId="1" fillId="2" borderId="14" applyNumberFormat="0" applyProtection="0">
      <alignment horizontal="left" vertical="center" indent="1"/>
    </xf>
    <xf numFmtId="0" fontId="1" fillId="2" borderId="14" applyNumberFormat="0" applyProtection="0">
      <alignment horizontal="left" vertical="top" indent="1"/>
    </xf>
    <xf numFmtId="4" fontId="33" fillId="42" borderId="0" applyNumberFormat="0" applyProtection="0">
      <alignment horizontal="left" vertical="center" indent="1"/>
    </xf>
    <xf numFmtId="4" fontId="34" fillId="41" borderId="14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16" applyNumberFormat="0" applyFill="0" applyBorder="0" applyAlignment="0" applyProtection="0"/>
    <xf numFmtId="37" fontId="13" fillId="33" borderId="0" applyNumberFormat="0" applyBorder="0" applyAlignment="0" applyProtection="0"/>
    <xf numFmtId="37" fontId="13" fillId="0" borderId="0">
      <alignment/>
      <protection/>
    </xf>
    <xf numFmtId="3" fontId="37" fillId="0" borderId="9" applyProtection="0">
      <alignment/>
    </xf>
    <xf numFmtId="0" fontId="3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168" fontId="13" fillId="0" borderId="0" xfId="64" applyNumberFormat="1" applyFont="1" applyFill="1" applyBorder="1" applyAlignment="1">
      <alignment/>
    </xf>
    <xf numFmtId="168" fontId="13" fillId="0" borderId="0" xfId="61" applyNumberFormat="1" applyFont="1" applyFill="1" applyBorder="1" applyAlignment="1">
      <alignment/>
    </xf>
    <xf numFmtId="0" fontId="41" fillId="10" borderId="17" xfId="0" applyFont="1" applyFill="1" applyBorder="1" applyAlignment="1">
      <alignment horizontal="left" wrapText="1"/>
    </xf>
    <xf numFmtId="0" fontId="15" fillId="10" borderId="18" xfId="0" applyFont="1" applyFill="1" applyBorder="1" applyAlignment="1">
      <alignment horizontal="center" wrapText="1"/>
    </xf>
    <xf numFmtId="0" fontId="41" fillId="10" borderId="18" xfId="0" applyFont="1" applyFill="1" applyBorder="1" applyAlignment="1">
      <alignment horizontal="left" textRotation="90"/>
    </xf>
    <xf numFmtId="0" fontId="41" fillId="43" borderId="19" xfId="0" applyFont="1" applyFill="1" applyBorder="1" applyAlignment="1">
      <alignment horizontal="center" textRotation="90" wrapText="1"/>
    </xf>
    <xf numFmtId="0" fontId="41" fillId="43" borderId="20" xfId="0" applyFont="1" applyFill="1" applyBorder="1" applyAlignment="1">
      <alignment horizontal="center" textRotation="90" wrapText="1"/>
    </xf>
    <xf numFmtId="0" fontId="41" fillId="43" borderId="21" xfId="0" applyFont="1" applyFill="1" applyBorder="1" applyAlignment="1">
      <alignment horizontal="center" textRotation="90" wrapText="1"/>
    </xf>
    <xf numFmtId="0" fontId="43" fillId="10" borderId="18" xfId="0" applyFont="1" applyFill="1" applyBorder="1" applyAlignment="1">
      <alignment textRotation="90"/>
    </xf>
    <xf numFmtId="0" fontId="41" fillId="43" borderId="22" xfId="0" applyFont="1" applyFill="1" applyBorder="1" applyAlignment="1">
      <alignment horizontal="center" textRotation="90" wrapText="1"/>
    </xf>
    <xf numFmtId="0" fontId="41" fillId="10" borderId="18" xfId="0" applyFont="1" applyFill="1" applyBorder="1" applyAlignment="1">
      <alignment horizontal="center" textRotation="90"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10" borderId="25" xfId="0" applyFill="1" applyBorder="1" applyAlignment="1">
      <alignment horizontal="left"/>
    </xf>
    <xf numFmtId="169" fontId="0" fillId="0" borderId="26" xfId="64" applyNumberFormat="1" applyFont="1" applyFill="1" applyBorder="1" applyAlignment="1">
      <alignment/>
    </xf>
    <xf numFmtId="169" fontId="0" fillId="0" borderId="10" xfId="64" applyNumberFormat="1" applyFill="1" applyBorder="1" applyAlignment="1">
      <alignment/>
    </xf>
    <xf numFmtId="169" fontId="0" fillId="0" borderId="24" xfId="64" applyNumberFormat="1" applyBorder="1" applyAlignment="1">
      <alignment/>
    </xf>
    <xf numFmtId="169" fontId="0" fillId="10" borderId="25" xfId="0" applyNumberFormat="1" applyFill="1" applyBorder="1" applyAlignment="1">
      <alignment/>
    </xf>
    <xf numFmtId="170" fontId="0" fillId="0" borderId="26" xfId="61" applyNumberFormat="1" applyBorder="1" applyAlignment="1">
      <alignment/>
    </xf>
    <xf numFmtId="170" fontId="0" fillId="0" borderId="27" xfId="61" applyNumberFormat="1" applyFill="1" applyBorder="1" applyAlignment="1">
      <alignment/>
    </xf>
    <xf numFmtId="170" fontId="0" fillId="0" borderId="24" xfId="61" applyNumberFormat="1" applyFill="1" applyBorder="1" applyAlignment="1">
      <alignment/>
    </xf>
    <xf numFmtId="0" fontId="0" fillId="10" borderId="25" xfId="0" applyFill="1" applyBorder="1" applyAlignment="1">
      <alignment/>
    </xf>
    <xf numFmtId="170" fontId="0" fillId="0" borderId="10" xfId="61" applyNumberFormat="1" applyFont="1" applyFill="1" applyBorder="1" applyAlignment="1">
      <alignment/>
    </xf>
    <xf numFmtId="170" fontId="0" fillId="0" borderId="10" xfId="61" applyNumberFormat="1" applyFill="1" applyBorder="1" applyAlignment="1">
      <alignment/>
    </xf>
    <xf numFmtId="170" fontId="0" fillId="0" borderId="24" xfId="61" applyNumberFormat="1" applyFont="1" applyFill="1" applyBorder="1" applyAlignment="1">
      <alignment/>
    </xf>
    <xf numFmtId="170" fontId="0" fillId="0" borderId="28" xfId="61" applyNumberFormat="1" applyBorder="1" applyAlignment="1">
      <alignment/>
    </xf>
    <xf numFmtId="170" fontId="0" fillId="0" borderId="27" xfId="61" applyNumberFormat="1" applyBorder="1" applyAlignment="1">
      <alignment/>
    </xf>
    <xf numFmtId="170" fontId="0" fillId="0" borderId="29" xfId="61" applyNumberFormat="1" applyBorder="1" applyAlignment="1">
      <alignment/>
    </xf>
    <xf numFmtId="0" fontId="4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10" borderId="32" xfId="0" applyFill="1" applyBorder="1" applyAlignment="1">
      <alignment horizontal="left"/>
    </xf>
    <xf numFmtId="44" fontId="0" fillId="0" borderId="33" xfId="64" applyBorder="1" applyAlignment="1">
      <alignment/>
    </xf>
    <xf numFmtId="44" fontId="0" fillId="0" borderId="34" xfId="64" applyBorder="1" applyAlignment="1">
      <alignment/>
    </xf>
    <xf numFmtId="169" fontId="0" fillId="0" borderId="34" xfId="64" applyNumberFormat="1" applyFill="1" applyBorder="1" applyAlignment="1">
      <alignment/>
    </xf>
    <xf numFmtId="169" fontId="0" fillId="0" borderId="31" xfId="64" applyNumberFormat="1" applyBorder="1" applyAlignment="1">
      <alignment/>
    </xf>
    <xf numFmtId="0" fontId="0" fillId="10" borderId="32" xfId="0" applyFill="1" applyBorder="1" applyAlignment="1">
      <alignment/>
    </xf>
    <xf numFmtId="170" fontId="0" fillId="0" borderId="33" xfId="61" applyNumberFormat="1" applyBorder="1" applyAlignment="1">
      <alignment/>
    </xf>
    <xf numFmtId="170" fontId="0" fillId="0" borderId="34" xfId="61" applyNumberFormat="1" applyFill="1" applyBorder="1" applyAlignment="1">
      <alignment/>
    </xf>
    <xf numFmtId="170" fontId="0" fillId="0" borderId="31" xfId="61" applyNumberFormat="1" applyFill="1" applyBorder="1" applyAlignment="1">
      <alignment/>
    </xf>
    <xf numFmtId="170" fontId="0" fillId="0" borderId="30" xfId="61" applyNumberFormat="1" applyBorder="1" applyAlignment="1">
      <alignment/>
    </xf>
    <xf numFmtId="170" fontId="0" fillId="0" borderId="34" xfId="61" applyNumberFormat="1" applyBorder="1" applyAlignment="1">
      <alignment/>
    </xf>
    <xf numFmtId="170" fontId="0" fillId="0" borderId="35" xfId="61" applyNumberFormat="1" applyBorder="1" applyAlignment="1">
      <alignment/>
    </xf>
    <xf numFmtId="0" fontId="40" fillId="10" borderId="36" xfId="0" applyFont="1" applyFill="1" applyBorder="1" applyAlignment="1">
      <alignment horizontal="left"/>
    </xf>
    <xf numFmtId="169" fontId="0" fillId="0" borderId="37" xfId="64" applyNumberFormat="1" applyBorder="1" applyAlignment="1">
      <alignment/>
    </xf>
    <xf numFmtId="169" fontId="0" fillId="0" borderId="38" xfId="64" applyNumberFormat="1" applyBorder="1" applyAlignment="1">
      <alignment/>
    </xf>
    <xf numFmtId="169" fontId="0" fillId="0" borderId="38" xfId="64" applyNumberFormat="1" applyFill="1" applyBorder="1" applyAlignment="1">
      <alignment/>
    </xf>
    <xf numFmtId="169" fontId="0" fillId="0" borderId="38" xfId="64" applyNumberFormat="1" applyFont="1" applyFill="1" applyBorder="1" applyAlignment="1">
      <alignment/>
    </xf>
    <xf numFmtId="169" fontId="0" fillId="0" borderId="39" xfId="64" applyNumberFormat="1" applyFill="1" applyBorder="1" applyAlignment="1">
      <alignment/>
    </xf>
    <xf numFmtId="0" fontId="40" fillId="10" borderId="36" xfId="0" applyFont="1" applyFill="1" applyBorder="1" applyAlignment="1">
      <alignment/>
    </xf>
    <xf numFmtId="170" fontId="0" fillId="0" borderId="37" xfId="61" applyNumberFormat="1" applyBorder="1" applyAlignment="1">
      <alignment/>
    </xf>
    <xf numFmtId="170" fontId="0" fillId="0" borderId="38" xfId="61" applyNumberFormat="1" applyFill="1" applyBorder="1" applyAlignment="1">
      <alignment/>
    </xf>
    <xf numFmtId="170" fontId="0" fillId="0" borderId="39" xfId="61" applyNumberFormat="1" applyFill="1" applyBorder="1" applyAlignment="1">
      <alignment/>
    </xf>
    <xf numFmtId="170" fontId="0" fillId="0" borderId="38" xfId="61" applyNumberFormat="1" applyBorder="1" applyAlignment="1">
      <alignment/>
    </xf>
    <xf numFmtId="170" fontId="0" fillId="0" borderId="40" xfId="61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64" applyNumberFormat="1" applyFill="1" applyAlignment="1">
      <alignment/>
    </xf>
    <xf numFmtId="170" fontId="0" fillId="0" borderId="0" xfId="61" applyNumberFormat="1" applyAlignment="1">
      <alignment/>
    </xf>
    <xf numFmtId="170" fontId="0" fillId="0" borderId="0" xfId="61" applyNumberFormat="1" applyFill="1" applyAlignment="1">
      <alignment/>
    </xf>
    <xf numFmtId="0" fontId="0" fillId="0" borderId="0" xfId="0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10" borderId="18" xfId="0" applyFill="1" applyBorder="1" applyAlignment="1">
      <alignment horizontal="left"/>
    </xf>
    <xf numFmtId="169" fontId="0" fillId="0" borderId="22" xfId="64" applyNumberFormat="1" applyBorder="1" applyAlignment="1">
      <alignment/>
    </xf>
    <xf numFmtId="169" fontId="0" fillId="0" borderId="20" xfId="64" applyNumberFormat="1" applyBorder="1" applyAlignment="1">
      <alignment/>
    </xf>
    <xf numFmtId="169" fontId="0" fillId="0" borderId="20" xfId="64" applyNumberFormat="1" applyFill="1" applyBorder="1" applyAlignment="1">
      <alignment/>
    </xf>
    <xf numFmtId="169" fontId="0" fillId="10" borderId="18" xfId="0" applyNumberFormat="1" applyFill="1" applyBorder="1" applyAlignment="1">
      <alignment/>
    </xf>
    <xf numFmtId="170" fontId="0" fillId="0" borderId="22" xfId="61" applyNumberFormat="1" applyBorder="1" applyAlignment="1">
      <alignment/>
    </xf>
    <xf numFmtId="170" fontId="0" fillId="0" borderId="20" xfId="61" applyNumberFormat="1" applyFill="1" applyBorder="1" applyAlignment="1">
      <alignment/>
    </xf>
    <xf numFmtId="170" fontId="0" fillId="0" borderId="42" xfId="61" applyNumberFormat="1" applyFill="1" applyBorder="1" applyAlignment="1">
      <alignment/>
    </xf>
    <xf numFmtId="0" fontId="0" fillId="10" borderId="18" xfId="0" applyFill="1" applyBorder="1" applyAlignment="1">
      <alignment/>
    </xf>
    <xf numFmtId="170" fontId="0" fillId="0" borderId="20" xfId="61" applyNumberFormat="1" applyBorder="1" applyAlignment="1">
      <alignment/>
    </xf>
    <xf numFmtId="170" fontId="0" fillId="0" borderId="21" xfId="61" applyNumberFormat="1" applyBorder="1" applyAlignment="1">
      <alignment/>
    </xf>
    <xf numFmtId="169" fontId="0" fillId="0" borderId="0" xfId="64" applyNumberFormat="1" applyAlignment="1">
      <alignment/>
    </xf>
    <xf numFmtId="0" fontId="40" fillId="10" borderId="18" xfId="0" applyFont="1" applyFill="1" applyBorder="1" applyAlignment="1">
      <alignment horizontal="left"/>
    </xf>
    <xf numFmtId="169" fontId="0" fillId="0" borderId="22" xfId="64" applyNumberFormat="1" applyFill="1" applyBorder="1" applyAlignment="1">
      <alignment/>
    </xf>
    <xf numFmtId="169" fontId="0" fillId="0" borderId="20" xfId="64" applyNumberFormat="1" applyFont="1" applyFill="1" applyBorder="1" applyAlignment="1">
      <alignment/>
    </xf>
    <xf numFmtId="169" fontId="0" fillId="0" borderId="42" xfId="64" applyNumberFormat="1" applyFill="1" applyBorder="1" applyAlignment="1">
      <alignment/>
    </xf>
    <xf numFmtId="0" fontId="40" fillId="10" borderId="18" xfId="0" applyFont="1" applyFill="1" applyBorder="1" applyAlignment="1">
      <alignment/>
    </xf>
    <xf numFmtId="170" fontId="0" fillId="0" borderId="22" xfId="61" applyNumberFormat="1" applyFill="1" applyBorder="1" applyAlignment="1">
      <alignment/>
    </xf>
    <xf numFmtId="0" fontId="44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61" applyNumberFormat="1" applyFill="1" applyBorder="1" applyAlignment="1">
      <alignment/>
    </xf>
    <xf numFmtId="0" fontId="39" fillId="0" borderId="0" xfId="94" applyFont="1" applyFill="1" applyAlignment="1">
      <alignment/>
      <protection/>
    </xf>
    <xf numFmtId="0" fontId="46" fillId="0" borderId="0" xfId="94" applyFont="1" applyFill="1">
      <alignment/>
      <protection/>
    </xf>
    <xf numFmtId="0" fontId="15" fillId="0" borderId="0" xfId="94" applyFont="1" applyFill="1" applyAlignment="1">
      <alignment/>
      <protection/>
    </xf>
    <xf numFmtId="0" fontId="24" fillId="0" borderId="0" xfId="94" applyFont="1" applyFill="1">
      <alignment/>
      <protection/>
    </xf>
    <xf numFmtId="0" fontId="24" fillId="43" borderId="43" xfId="94" applyFont="1" applyFill="1" applyBorder="1" applyAlignment="1">
      <alignment/>
      <protection/>
    </xf>
    <xf numFmtId="169" fontId="24" fillId="0" borderId="44" xfId="64" applyNumberFormat="1" applyFont="1" applyFill="1" applyBorder="1" applyAlignment="1">
      <alignment/>
    </xf>
    <xf numFmtId="0" fontId="24" fillId="43" borderId="23" xfId="94" applyFont="1" applyFill="1" applyBorder="1" applyAlignment="1">
      <alignment/>
      <protection/>
    </xf>
    <xf numFmtId="169" fontId="24" fillId="0" borderId="45" xfId="64" applyNumberFormat="1" applyFont="1" applyFill="1" applyBorder="1" applyAlignment="1">
      <alignment/>
    </xf>
    <xf numFmtId="0" fontId="24" fillId="43" borderId="30" xfId="94" applyFont="1" applyFill="1" applyBorder="1" applyAlignment="1">
      <alignment/>
      <protection/>
    </xf>
    <xf numFmtId="169" fontId="24" fillId="0" borderId="35" xfId="64" applyNumberFormat="1" applyFont="1" applyFill="1" applyBorder="1" applyAlignment="1">
      <alignment/>
    </xf>
    <xf numFmtId="172" fontId="24" fillId="43" borderId="43" xfId="95" applyNumberFormat="1" applyFont="1" applyFill="1" applyBorder="1" applyAlignment="1" applyProtection="1">
      <alignment horizontal="left" wrapText="1"/>
      <protection/>
    </xf>
    <xf numFmtId="170" fontId="24" fillId="0" borderId="46" xfId="61" applyNumberFormat="1" applyFont="1" applyFill="1" applyBorder="1" applyAlignment="1">
      <alignment/>
    </xf>
    <xf numFmtId="172" fontId="24" fillId="43" borderId="47" xfId="95" applyNumberFormat="1" applyFont="1" applyFill="1" applyBorder="1" applyAlignment="1" applyProtection="1">
      <alignment horizontal="left" wrapText="1"/>
      <protection/>
    </xf>
    <xf numFmtId="170" fontId="24" fillId="0" borderId="48" xfId="61" applyNumberFormat="1" applyFont="1" applyFill="1" applyBorder="1" applyAlignment="1">
      <alignment/>
    </xf>
    <xf numFmtId="0" fontId="24" fillId="43" borderId="23" xfId="95" applyFont="1" applyFill="1" applyBorder="1" applyAlignment="1">
      <alignment horizontal="left" wrapText="1"/>
      <protection/>
    </xf>
    <xf numFmtId="170" fontId="24" fillId="0" borderId="49" xfId="61" applyNumberFormat="1" applyFont="1" applyFill="1" applyBorder="1" applyAlignment="1">
      <alignment/>
    </xf>
    <xf numFmtId="0" fontId="24" fillId="43" borderId="30" xfId="95" applyFont="1" applyFill="1" applyBorder="1" applyAlignment="1">
      <alignment horizontal="left" wrapText="1"/>
      <protection/>
    </xf>
    <xf numFmtId="170" fontId="24" fillId="0" borderId="50" xfId="61" applyNumberFormat="1" applyFont="1" applyFill="1" applyBorder="1" applyAlignment="1">
      <alignment/>
    </xf>
    <xf numFmtId="0" fontId="24" fillId="0" borderId="0" xfId="95" applyFont="1" applyFill="1" applyBorder="1" applyAlignment="1">
      <alignment horizontal="left" wrapText="1"/>
      <protection/>
    </xf>
    <xf numFmtId="170" fontId="24" fillId="0" borderId="0" xfId="61" applyNumberFormat="1" applyFont="1" applyFill="1" applyBorder="1" applyAlignment="1">
      <alignment/>
    </xf>
    <xf numFmtId="172" fontId="24" fillId="43" borderId="51" xfId="95" applyNumberFormat="1" applyFont="1" applyFill="1" applyBorder="1" applyAlignment="1" applyProtection="1">
      <alignment horizontal="center" wrapText="1"/>
      <protection/>
    </xf>
    <xf numFmtId="0" fontId="24" fillId="43" borderId="52" xfId="94" applyFont="1" applyFill="1" applyBorder="1" applyAlignment="1">
      <alignment horizontal="center"/>
      <protection/>
    </xf>
    <xf numFmtId="0" fontId="24" fillId="43" borderId="10" xfId="94" applyFont="1" applyFill="1" applyBorder="1" applyAlignment="1">
      <alignment horizontal="center"/>
      <protection/>
    </xf>
    <xf numFmtId="0" fontId="24" fillId="43" borderId="26" xfId="94" applyFont="1" applyFill="1" applyBorder="1" applyAlignment="1">
      <alignment horizontal="center"/>
      <protection/>
    </xf>
    <xf numFmtId="0" fontId="24" fillId="43" borderId="45" xfId="94" applyFont="1" applyFill="1" applyBorder="1" applyAlignment="1">
      <alignment horizontal="center"/>
      <protection/>
    </xf>
    <xf numFmtId="0" fontId="24" fillId="0" borderId="52" xfId="95" applyFont="1" applyFill="1" applyBorder="1" applyAlignment="1">
      <alignment horizontal="left" wrapText="1"/>
      <protection/>
    </xf>
    <xf numFmtId="170" fontId="24" fillId="0" borderId="10" xfId="61" applyNumberFormat="1" applyFont="1" applyFill="1" applyBorder="1" applyAlignment="1">
      <alignment/>
    </xf>
    <xf numFmtId="9" fontId="24" fillId="0" borderId="10" xfId="98" applyFont="1" applyFill="1" applyBorder="1" applyAlignment="1">
      <alignment/>
    </xf>
    <xf numFmtId="170" fontId="24" fillId="0" borderId="45" xfId="61" applyNumberFormat="1" applyFont="1" applyFill="1" applyBorder="1" applyAlignment="1">
      <alignment/>
    </xf>
    <xf numFmtId="0" fontId="24" fillId="0" borderId="53" xfId="95" applyFont="1" applyFill="1" applyBorder="1" applyAlignment="1">
      <alignment horizontal="left" wrapText="1"/>
      <protection/>
    </xf>
    <xf numFmtId="0" fontId="24" fillId="0" borderId="54" xfId="95" applyFont="1" applyFill="1" applyBorder="1" applyAlignment="1">
      <alignment horizontal="left" wrapText="1"/>
      <protection/>
    </xf>
    <xf numFmtId="170" fontId="24" fillId="0" borderId="34" xfId="61" applyNumberFormat="1" applyFont="1" applyFill="1" applyBorder="1" applyAlignment="1">
      <alignment/>
    </xf>
    <xf numFmtId="9" fontId="24" fillId="0" borderId="34" xfId="98" applyFont="1" applyFill="1" applyBorder="1" applyAlignment="1">
      <alignment/>
    </xf>
    <xf numFmtId="170" fontId="24" fillId="0" borderId="35" xfId="61" applyNumberFormat="1" applyFont="1" applyFill="1" applyBorder="1" applyAlignment="1">
      <alignment/>
    </xf>
    <xf numFmtId="0" fontId="24" fillId="0" borderId="0" xfId="94" applyFont="1" applyFill="1" applyAlignment="1">
      <alignment/>
      <protection/>
    </xf>
    <xf numFmtId="173" fontId="24" fillId="0" borderId="0" xfId="94" applyNumberFormat="1" applyFont="1" applyFill="1">
      <alignment/>
      <protection/>
    </xf>
    <xf numFmtId="172" fontId="24" fillId="43" borderId="55" xfId="95" applyNumberFormat="1" applyFont="1" applyFill="1" applyBorder="1" applyAlignment="1" applyProtection="1">
      <alignment horizontal="center" wrapText="1"/>
      <protection/>
    </xf>
    <xf numFmtId="0" fontId="24" fillId="43" borderId="47" xfId="94" applyFont="1" applyFill="1" applyBorder="1" applyAlignment="1">
      <alignment horizontal="center"/>
      <protection/>
    </xf>
    <xf numFmtId="0" fontId="24" fillId="0" borderId="30" xfId="95" applyFont="1" applyFill="1" applyBorder="1" applyAlignment="1">
      <alignment horizontal="left" wrapText="1"/>
      <protection/>
    </xf>
    <xf numFmtId="0" fontId="24" fillId="0" borderId="47" xfId="95" applyFont="1" applyFill="1" applyBorder="1" applyAlignment="1">
      <alignment horizontal="left" wrapText="1"/>
      <protection/>
    </xf>
    <xf numFmtId="0" fontId="24" fillId="0" borderId="23" xfId="95" applyFont="1" applyFill="1" applyBorder="1" applyAlignment="1">
      <alignment horizontal="left" wrapText="1"/>
      <protection/>
    </xf>
    <xf numFmtId="0" fontId="24" fillId="0" borderId="0" xfId="94" applyFont="1" applyFill="1" applyAlignment="1">
      <alignment horizontal="centerContinuous" vertical="top"/>
      <protection/>
    </xf>
    <xf numFmtId="172" fontId="24" fillId="43" borderId="41" xfId="95" applyNumberFormat="1" applyFont="1" applyFill="1" applyBorder="1" applyAlignment="1" applyProtection="1">
      <alignment horizontal="centerContinuous" vertical="center"/>
      <protection/>
    </xf>
    <xf numFmtId="0" fontId="24" fillId="43" borderId="20" xfId="95" applyFont="1" applyFill="1" applyBorder="1" applyAlignment="1">
      <alignment horizontal="center" wrapText="1"/>
      <protection/>
    </xf>
    <xf numFmtId="0" fontId="24" fillId="43" borderId="21" xfId="95" applyFont="1" applyFill="1" applyBorder="1" applyAlignment="1">
      <alignment horizontal="center" wrapText="1"/>
      <protection/>
    </xf>
    <xf numFmtId="170" fontId="24" fillId="0" borderId="0" xfId="94" applyNumberFormat="1" applyFont="1" applyFill="1">
      <alignment/>
      <protection/>
    </xf>
    <xf numFmtId="0" fontId="15" fillId="0" borderId="43" xfId="95" applyFont="1" applyFill="1" applyBorder="1" applyAlignment="1" applyProtection="1">
      <alignment horizontal="left"/>
      <protection locked="0"/>
    </xf>
    <xf numFmtId="170" fontId="24" fillId="0" borderId="56" xfId="61" applyNumberFormat="1" applyFont="1" applyFill="1" applyBorder="1" applyAlignment="1" applyProtection="1">
      <alignment horizontal="left"/>
      <protection/>
    </xf>
    <xf numFmtId="170" fontId="24" fillId="0" borderId="44" xfId="61" applyNumberFormat="1" applyFont="1" applyFill="1" applyBorder="1" applyAlignment="1" applyProtection="1">
      <alignment horizontal="left"/>
      <protection/>
    </xf>
    <xf numFmtId="0" fontId="24" fillId="0" borderId="23" xfId="95" applyFont="1" applyFill="1" applyBorder="1" applyAlignment="1" applyProtection="1">
      <alignment horizontal="left" indent="1"/>
      <protection locked="0"/>
    </xf>
    <xf numFmtId="170" fontId="24" fillId="0" borderId="10" xfId="61" applyNumberFormat="1" applyFont="1" applyFill="1" applyBorder="1" applyAlignment="1" applyProtection="1">
      <alignment/>
      <protection/>
    </xf>
    <xf numFmtId="170" fontId="24" fillId="0" borderId="45" xfId="61" applyNumberFormat="1" applyFont="1" applyFill="1" applyBorder="1" applyAlignment="1" applyProtection="1">
      <alignment/>
      <protection/>
    </xf>
    <xf numFmtId="0" fontId="15" fillId="0" borderId="23" xfId="95" applyFont="1" applyFill="1" applyBorder="1" applyAlignment="1" applyProtection="1">
      <alignment horizontal="left"/>
      <protection locked="0"/>
    </xf>
    <xf numFmtId="170" fontId="24" fillId="0" borderId="10" xfId="61" applyNumberFormat="1" applyFont="1" applyFill="1" applyBorder="1" applyAlignment="1" applyProtection="1">
      <alignment horizontal="left"/>
      <protection/>
    </xf>
    <xf numFmtId="170" fontId="24" fillId="0" borderId="45" xfId="61" applyNumberFormat="1" applyFont="1" applyFill="1" applyBorder="1" applyAlignment="1" applyProtection="1">
      <alignment horizontal="left"/>
      <protection/>
    </xf>
    <xf numFmtId="0" fontId="24" fillId="0" borderId="52" xfId="95" applyFont="1" applyFill="1" applyBorder="1" applyAlignment="1" applyProtection="1">
      <alignment horizontal="left" indent="1"/>
      <protection locked="0"/>
    </xf>
    <xf numFmtId="170" fontId="24" fillId="0" borderId="27" xfId="61" applyNumberFormat="1" applyFont="1" applyFill="1" applyBorder="1" applyAlignment="1" applyProtection="1">
      <alignment/>
      <protection/>
    </xf>
    <xf numFmtId="170" fontId="24" fillId="0" borderId="29" xfId="61" applyNumberFormat="1" applyFont="1" applyFill="1" applyBorder="1" applyAlignment="1" applyProtection="1">
      <alignment/>
      <protection/>
    </xf>
    <xf numFmtId="0" fontId="24" fillId="0" borderId="53" xfId="95" applyFont="1" applyFill="1" applyBorder="1" applyAlignment="1" applyProtection="1">
      <alignment horizontal="left" indent="1"/>
      <protection locked="0"/>
    </xf>
    <xf numFmtId="0" fontId="15" fillId="0" borderId="53" xfId="95" applyFont="1" applyFill="1" applyBorder="1" applyAlignment="1" applyProtection="1">
      <alignment horizontal="left"/>
      <protection locked="0"/>
    </xf>
    <xf numFmtId="170" fontId="24" fillId="0" borderId="57" xfId="61" applyNumberFormat="1" applyFont="1" applyFill="1" applyBorder="1" applyAlignment="1" applyProtection="1">
      <alignment/>
      <protection/>
    </xf>
    <xf numFmtId="0" fontId="15" fillId="41" borderId="58" xfId="95" applyFont="1" applyFill="1" applyBorder="1" applyAlignment="1" applyProtection="1">
      <alignment horizontal="left"/>
      <protection locked="0"/>
    </xf>
    <xf numFmtId="170" fontId="15" fillId="41" borderId="31" xfId="61" applyNumberFormat="1" applyFont="1" applyFill="1" applyBorder="1" applyAlignment="1" applyProtection="1">
      <alignment/>
      <protection/>
    </xf>
    <xf numFmtId="170" fontId="15" fillId="41" borderId="35" xfId="61" applyNumberFormat="1" applyFont="1" applyFill="1" applyBorder="1" applyAlignment="1" applyProtection="1">
      <alignment/>
      <protection/>
    </xf>
    <xf numFmtId="0" fontId="15" fillId="0" borderId="53" xfId="95" applyFont="1" applyFill="1" applyBorder="1" applyAlignment="1" applyProtection="1">
      <alignment/>
      <protection locked="0"/>
    </xf>
    <xf numFmtId="170" fontId="24" fillId="0" borderId="59" xfId="61" applyNumberFormat="1" applyFont="1" applyFill="1" applyBorder="1" applyAlignment="1" applyProtection="1">
      <alignment/>
      <protection/>
    </xf>
    <xf numFmtId="170" fontId="15" fillId="41" borderId="4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/>
      <protection locked="0"/>
    </xf>
    <xf numFmtId="170" fontId="24" fillId="0" borderId="0" xfId="61" applyNumberFormat="1" applyFont="1" applyFill="1" applyBorder="1" applyAlignment="1" applyProtection="1">
      <alignment/>
      <protection/>
    </xf>
    <xf numFmtId="0" fontId="24" fillId="0" borderId="0" xfId="95" applyFont="1" applyFill="1" applyBorder="1" applyAlignment="1" applyProtection="1">
      <alignment horizontal="left" indent="1"/>
      <protection locked="0"/>
    </xf>
    <xf numFmtId="0" fontId="44" fillId="0" borderId="0" xfId="94" applyFont="1" applyFill="1" applyAlignment="1">
      <alignment/>
      <protection/>
    </xf>
    <xf numFmtId="9" fontId="24" fillId="0" borderId="0" xfId="98" applyFont="1" applyFill="1" applyAlignment="1">
      <alignment/>
    </xf>
    <xf numFmtId="170" fontId="24" fillId="0" borderId="0" xfId="61" applyNumberFormat="1" applyFont="1" applyFill="1" applyAlignment="1">
      <alignment/>
    </xf>
    <xf numFmtId="0" fontId="40" fillId="0" borderId="19" xfId="0" applyFont="1" applyBorder="1" applyAlignment="1">
      <alignment horizontal="right"/>
    </xf>
    <xf numFmtId="0" fontId="40" fillId="0" borderId="6" xfId="0" applyFont="1" applyBorder="1" applyAlignment="1">
      <alignment horizontal="right"/>
    </xf>
    <xf numFmtId="0" fontId="15" fillId="43" borderId="6" xfId="0" applyFont="1" applyFill="1" applyBorder="1" applyAlignment="1">
      <alignment horizontal="center" wrapText="1"/>
    </xf>
    <xf numFmtId="0" fontId="15" fillId="43" borderId="60" xfId="0" applyFont="1" applyFill="1" applyBorder="1" applyAlignment="1">
      <alignment horizontal="center" wrapText="1"/>
    </xf>
    <xf numFmtId="0" fontId="41" fillId="43" borderId="61" xfId="0" applyFont="1" applyFill="1" applyBorder="1" applyAlignment="1">
      <alignment horizontal="left"/>
    </xf>
    <xf numFmtId="0" fontId="41" fillId="43" borderId="40" xfId="0" applyFont="1" applyFill="1" applyBorder="1" applyAlignment="1">
      <alignment horizontal="left"/>
    </xf>
    <xf numFmtId="0" fontId="41" fillId="43" borderId="55" xfId="0" applyFont="1" applyFill="1" applyBorder="1" applyAlignment="1">
      <alignment horizontal="left"/>
    </xf>
    <xf numFmtId="0" fontId="41" fillId="43" borderId="62" xfId="0" applyFont="1" applyFill="1" applyBorder="1" applyAlignment="1">
      <alignment horizontal="left"/>
    </xf>
    <xf numFmtId="0" fontId="24" fillId="43" borderId="63" xfId="95" applyFont="1" applyFill="1" applyBorder="1" applyAlignment="1" applyProtection="1">
      <alignment horizontal="center" wrapText="1"/>
      <protection/>
    </xf>
    <xf numFmtId="0" fontId="24" fillId="43" borderId="64" xfId="95" applyFont="1" applyFill="1" applyBorder="1" applyAlignment="1" applyProtection="1">
      <alignment horizontal="center" wrapText="1"/>
      <protection/>
    </xf>
    <xf numFmtId="0" fontId="24" fillId="43" borderId="65" xfId="95" applyFont="1" applyFill="1" applyBorder="1" applyAlignment="1" applyProtection="1">
      <alignment horizontal="center" wrapText="1"/>
      <protection/>
    </xf>
    <xf numFmtId="0" fontId="24" fillId="43" borderId="46" xfId="95" applyFont="1" applyFill="1" applyBorder="1" applyAlignment="1" applyProtection="1">
      <alignment horizontal="center" wrapText="1"/>
      <protection/>
    </xf>
    <xf numFmtId="169" fontId="0" fillId="0" borderId="24" xfId="64" applyNumberFormat="1" applyFill="1" applyBorder="1" applyAlignment="1">
      <alignment/>
    </xf>
  </cellXfs>
  <cellStyles count="137">
    <cellStyle name="Normal" xfId="0"/>
    <cellStyle name="RowLevel_0" xfId="1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ctual Date" xfId="57"/>
    <cellStyle name="Bad" xfId="58"/>
    <cellStyle name="Calculation" xfId="59"/>
    <cellStyle name="Check Cell" xfId="60"/>
    <cellStyle name="Comma" xfId="61"/>
    <cellStyle name="Comma [0]" xfId="62"/>
    <cellStyle name="Comma0" xfId="63"/>
    <cellStyle name="Currency" xfId="64"/>
    <cellStyle name="Currency [0]" xfId="65"/>
    <cellStyle name="Currency0" xfId="66"/>
    <cellStyle name="Date" xfId="67"/>
    <cellStyle name="Emphasis 1" xfId="68"/>
    <cellStyle name="Emphasis 2" xfId="69"/>
    <cellStyle name="Emphasis 3" xfId="70"/>
    <cellStyle name="Explanatory Text" xfId="71"/>
    <cellStyle name="Fixed" xfId="72"/>
    <cellStyle name="Followed Hyperlink" xfId="73"/>
    <cellStyle name="Good" xfId="74"/>
    <cellStyle name="Grey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Heading1" xfId="83"/>
    <cellStyle name="Heading2" xfId="84"/>
    <cellStyle name="Hidden" xfId="85"/>
    <cellStyle name="HIGHLIGHT" xfId="86"/>
    <cellStyle name="Hyperlink" xfId="87"/>
    <cellStyle name="Input" xfId="88"/>
    <cellStyle name="Input [yellow]" xfId="89"/>
    <cellStyle name="Linked Cell" xfId="90"/>
    <cellStyle name="Neutral" xfId="91"/>
    <cellStyle name="no dec" xfId="92"/>
    <cellStyle name="Normal - Style1" xfId="93"/>
    <cellStyle name="Normal_2006-2008 Monthly Report" xfId="94"/>
    <cellStyle name="Normal_DRAFT_June1Filing_v05_zap041705" xfId="95"/>
    <cellStyle name="Note" xfId="96"/>
    <cellStyle name="Output" xfId="97"/>
    <cellStyle name="Percent" xfId="98"/>
    <cellStyle name="Percent [2]" xfId="99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defined" xfId="138"/>
    <cellStyle name="Sheet Title" xfId="139"/>
    <cellStyle name="Style 26" xfId="140"/>
    <cellStyle name="Title" xfId="141"/>
    <cellStyle name="Total" xfId="142"/>
    <cellStyle name="Unprot" xfId="143"/>
    <cellStyle name="Unprot$" xfId="144"/>
    <cellStyle name="Unprotect" xfId="145"/>
    <cellStyle name="Warning Text" xfId="1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3.28125" style="0" customWidth="1"/>
    <col min="2" max="2" width="71.421875" style="0" bestFit="1" customWidth="1"/>
    <col min="3" max="3" width="3.140625" style="0" customWidth="1"/>
    <col min="4" max="8" width="13.7109375" style="0" customWidth="1"/>
    <col min="9" max="9" width="3.28125" style="0" customWidth="1"/>
    <col min="10" max="13" width="13.7109375" style="0" customWidth="1"/>
    <col min="14" max="14" width="3.421875" style="0" customWidth="1"/>
    <col min="15" max="18" width="13.7109375" style="0" customWidth="1"/>
    <col min="19" max="19" width="3.8515625" style="0" customWidth="1"/>
    <col min="20" max="23" width="13.7109375" style="0" customWidth="1"/>
    <col min="24" max="24" width="16.8515625" style="0" customWidth="1"/>
    <col min="25" max="16384" width="15.7109375" style="0" customWidth="1"/>
  </cols>
  <sheetData>
    <row r="1" spans="1:8" ht="20.25">
      <c r="A1" s="1" t="s">
        <v>97</v>
      </c>
      <c r="B1" s="2"/>
      <c r="C1" s="3"/>
      <c r="D1" s="2"/>
      <c r="E1" s="2"/>
      <c r="F1" s="2"/>
      <c r="G1" s="2"/>
      <c r="H1" s="2"/>
    </row>
    <row r="2" spans="1:8" ht="20.25">
      <c r="A2" s="1" t="s">
        <v>190</v>
      </c>
      <c r="B2" s="2"/>
      <c r="C2" s="3"/>
      <c r="D2" s="2"/>
      <c r="E2" s="2"/>
      <c r="F2" s="2"/>
      <c r="G2" s="2"/>
      <c r="H2" s="2"/>
    </row>
    <row r="3" spans="1:23" ht="15.75">
      <c r="A3" s="4" t="s">
        <v>189</v>
      </c>
      <c r="B3" s="4"/>
      <c r="C3" s="5"/>
      <c r="D3" s="4"/>
      <c r="E3" s="4"/>
      <c r="F3" s="4"/>
      <c r="G3" s="4"/>
      <c r="H3" s="4"/>
      <c r="I3" s="6"/>
      <c r="J3" s="7"/>
      <c r="K3" s="8"/>
      <c r="L3" s="8"/>
      <c r="M3" s="6"/>
      <c r="N3" s="6"/>
      <c r="O3" s="6"/>
      <c r="P3" s="6"/>
      <c r="Q3" s="8"/>
      <c r="R3" s="6"/>
      <c r="S3" s="6"/>
      <c r="T3" s="6"/>
      <c r="U3" s="6"/>
      <c r="V3" s="6"/>
      <c r="W3" s="6"/>
    </row>
    <row r="4" spans="1:23" ht="15.75">
      <c r="A4" s="4"/>
      <c r="B4" s="4"/>
      <c r="C4" s="5"/>
      <c r="D4" s="4"/>
      <c r="E4" s="4"/>
      <c r="F4" s="4"/>
      <c r="G4" s="4"/>
      <c r="H4" s="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6.5" thickBot="1">
      <c r="A5" s="4" t="s">
        <v>70</v>
      </c>
      <c r="B5" s="4"/>
      <c r="C5" s="5"/>
      <c r="D5" s="4"/>
      <c r="E5" s="4"/>
      <c r="F5" s="4"/>
      <c r="G5" s="4"/>
      <c r="H5" s="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6.5" customHeight="1" thickBot="1">
      <c r="A6" s="172" t="s">
        <v>71</v>
      </c>
      <c r="B6" s="170" t="s">
        <v>72</v>
      </c>
      <c r="C6" s="9"/>
      <c r="D6" s="168" t="s">
        <v>172</v>
      </c>
      <c r="E6" s="168"/>
      <c r="F6" s="168"/>
      <c r="G6" s="168"/>
      <c r="H6" s="168"/>
      <c r="I6" s="10"/>
      <c r="J6" s="168" t="s">
        <v>160</v>
      </c>
      <c r="K6" s="168"/>
      <c r="L6" s="168"/>
      <c r="M6" s="168"/>
      <c r="N6" s="10"/>
      <c r="O6" s="168" t="s">
        <v>161</v>
      </c>
      <c r="P6" s="168"/>
      <c r="Q6" s="168"/>
      <c r="R6" s="168"/>
      <c r="S6" s="10"/>
      <c r="T6" s="168" t="s">
        <v>162</v>
      </c>
      <c r="U6" s="168"/>
      <c r="V6" s="168"/>
      <c r="W6" s="169"/>
    </row>
    <row r="7" spans="1:23" ht="154.5" customHeight="1" thickBot="1">
      <c r="A7" s="173"/>
      <c r="B7" s="171"/>
      <c r="C7" s="11"/>
      <c r="D7" s="12" t="s">
        <v>158</v>
      </c>
      <c r="E7" s="13" t="s">
        <v>159</v>
      </c>
      <c r="F7" s="13" t="s">
        <v>167</v>
      </c>
      <c r="G7" s="13" t="s">
        <v>73</v>
      </c>
      <c r="H7" s="14" t="s">
        <v>166</v>
      </c>
      <c r="I7" s="15"/>
      <c r="J7" s="16" t="s">
        <v>165</v>
      </c>
      <c r="K7" s="13" t="s">
        <v>164</v>
      </c>
      <c r="L7" s="13" t="s">
        <v>89</v>
      </c>
      <c r="M7" s="13" t="s">
        <v>163</v>
      </c>
      <c r="N7" s="17"/>
      <c r="O7" s="16" t="s">
        <v>165</v>
      </c>
      <c r="P7" s="13" t="s">
        <v>164</v>
      </c>
      <c r="Q7" s="13" t="s">
        <v>89</v>
      </c>
      <c r="R7" s="13" t="s">
        <v>163</v>
      </c>
      <c r="S7" s="17"/>
      <c r="T7" s="16" t="s">
        <v>165</v>
      </c>
      <c r="U7" s="13" t="s">
        <v>164</v>
      </c>
      <c r="V7" s="13" t="s">
        <v>89</v>
      </c>
      <c r="W7" s="13" t="s">
        <v>163</v>
      </c>
    </row>
    <row r="8" spans="1:23" ht="12.75">
      <c r="A8" s="18" t="s">
        <v>112</v>
      </c>
      <c r="B8" s="19" t="s">
        <v>90</v>
      </c>
      <c r="C8" s="20"/>
      <c r="D8" s="21">
        <v>11512980</v>
      </c>
      <c r="E8" s="22">
        <v>11512980</v>
      </c>
      <c r="F8" s="22">
        <v>6578361.795003698</v>
      </c>
      <c r="G8" s="22">
        <v>1152361.5354111139</v>
      </c>
      <c r="H8" s="178">
        <v>493560</v>
      </c>
      <c r="I8" s="24"/>
      <c r="J8" s="25"/>
      <c r="K8" s="26">
        <v>11675.144</v>
      </c>
      <c r="L8" s="26">
        <v>2075.728000000001</v>
      </c>
      <c r="M8" s="27">
        <v>1080.652</v>
      </c>
      <c r="N8" s="28"/>
      <c r="O8" s="25"/>
      <c r="P8" s="26">
        <v>63891493</v>
      </c>
      <c r="Q8" s="30">
        <v>11367220.999999993</v>
      </c>
      <c r="R8" s="31">
        <v>5910839</v>
      </c>
      <c r="S8" s="28"/>
      <c r="T8" s="32">
        <v>0</v>
      </c>
      <c r="U8" s="33">
        <v>0</v>
      </c>
      <c r="V8" s="33">
        <v>0</v>
      </c>
      <c r="W8" s="34">
        <v>0</v>
      </c>
    </row>
    <row r="9" spans="1:23" ht="12.75">
      <c r="A9" s="18" t="s">
        <v>113</v>
      </c>
      <c r="B9" s="19" t="s">
        <v>68</v>
      </c>
      <c r="C9" s="20"/>
      <c r="D9" s="21">
        <v>41897004</v>
      </c>
      <c r="E9" s="22">
        <v>41897004</v>
      </c>
      <c r="F9" s="22">
        <v>9404443.33058969</v>
      </c>
      <c r="G9" s="22">
        <v>3631291.5461034337</v>
      </c>
      <c r="H9" s="178">
        <v>22575040.553626757</v>
      </c>
      <c r="I9" s="24"/>
      <c r="J9" s="25"/>
      <c r="K9" s="26">
        <v>24079.20116271166</v>
      </c>
      <c r="L9" s="26">
        <v>7290.340676708765</v>
      </c>
      <c r="M9" s="27">
        <v>52660.30189614728</v>
      </c>
      <c r="N9" s="28"/>
      <c r="O9" s="25"/>
      <c r="P9" s="26">
        <v>190012178.8005051</v>
      </c>
      <c r="Q9" s="30">
        <v>59923212.10481417</v>
      </c>
      <c r="R9" s="31">
        <v>410725118.770952</v>
      </c>
      <c r="S9" s="28"/>
      <c r="T9" s="32">
        <v>0</v>
      </c>
      <c r="U9" s="33">
        <v>0</v>
      </c>
      <c r="V9" s="33">
        <v>0</v>
      </c>
      <c r="W9" s="34">
        <v>0</v>
      </c>
    </row>
    <row r="10" spans="1:23" ht="12.75">
      <c r="A10" s="18" t="s">
        <v>114</v>
      </c>
      <c r="B10" s="19" t="s">
        <v>48</v>
      </c>
      <c r="C10" s="20"/>
      <c r="D10" s="21">
        <v>19236576</v>
      </c>
      <c r="E10" s="22">
        <v>19236576</v>
      </c>
      <c r="F10" s="22">
        <v>8219648.562915098</v>
      </c>
      <c r="G10" s="22">
        <v>2244011.6583898365</v>
      </c>
      <c r="H10" s="178">
        <f>R10*0.34</f>
        <v>2285386</v>
      </c>
      <c r="I10" s="24"/>
      <c r="J10" s="25"/>
      <c r="K10" s="26">
        <v>2299.1024383894346</v>
      </c>
      <c r="L10" s="26">
        <v>827.2470195222486</v>
      </c>
      <c r="M10" s="27">
        <v>535.767518514264</v>
      </c>
      <c r="N10" s="28"/>
      <c r="O10" s="25"/>
      <c r="P10" s="26">
        <v>23760148.314747322</v>
      </c>
      <c r="Q10" s="30">
        <v>6233051.292988613</v>
      </c>
      <c r="R10" s="31">
        <v>6721723.529411764</v>
      </c>
      <c r="S10" s="28"/>
      <c r="T10" s="32">
        <v>0</v>
      </c>
      <c r="U10" s="33">
        <v>0</v>
      </c>
      <c r="V10" s="33">
        <v>0</v>
      </c>
      <c r="W10" s="34">
        <v>0</v>
      </c>
    </row>
    <row r="11" spans="1:23" ht="12.75">
      <c r="A11" s="18" t="s">
        <v>115</v>
      </c>
      <c r="B11" s="19" t="s">
        <v>24</v>
      </c>
      <c r="C11" s="20"/>
      <c r="D11" s="21">
        <v>2777916</v>
      </c>
      <c r="E11" s="22">
        <v>2777916</v>
      </c>
      <c r="F11" s="22">
        <v>871502.3971886012</v>
      </c>
      <c r="G11" s="22">
        <v>255165.69344154838</v>
      </c>
      <c r="H11" s="23">
        <v>0</v>
      </c>
      <c r="I11" s="24"/>
      <c r="J11" s="25"/>
      <c r="K11" s="26">
        <v>827.1390250000001</v>
      </c>
      <c r="L11" s="26">
        <v>504.5542500000001</v>
      </c>
      <c r="M11" s="27">
        <v>0</v>
      </c>
      <c r="N11" s="28"/>
      <c r="O11" s="25"/>
      <c r="P11" s="26">
        <v>2692888.6847</v>
      </c>
      <c r="Q11" s="30">
        <v>1765516.3990000002</v>
      </c>
      <c r="R11" s="31">
        <v>0</v>
      </c>
      <c r="S11" s="28"/>
      <c r="T11" s="32">
        <v>0</v>
      </c>
      <c r="U11" s="33">
        <v>0</v>
      </c>
      <c r="V11" s="33">
        <v>0</v>
      </c>
      <c r="W11" s="34">
        <v>0</v>
      </c>
    </row>
    <row r="12" spans="1:23" ht="12.75">
      <c r="A12" s="18" t="s">
        <v>116</v>
      </c>
      <c r="B12" s="19" t="s">
        <v>91</v>
      </c>
      <c r="C12" s="20"/>
      <c r="D12" s="21">
        <v>2371572</v>
      </c>
      <c r="E12" s="22">
        <v>2371572</v>
      </c>
      <c r="F12" s="22">
        <v>1261761.080262633</v>
      </c>
      <c r="G12" s="22">
        <v>116569.9056626712</v>
      </c>
      <c r="H12" s="178">
        <f>R12*2</f>
        <v>4052</v>
      </c>
      <c r="I12" s="24"/>
      <c r="J12" s="25"/>
      <c r="K12" s="26">
        <v>127.70531691928724</v>
      </c>
      <c r="L12" s="26">
        <v>19.118922217208222</v>
      </c>
      <c r="M12" s="27">
        <v>2.091981083369473</v>
      </c>
      <c r="N12" s="28"/>
      <c r="O12" s="25"/>
      <c r="P12" s="26">
        <v>970079.5630482916</v>
      </c>
      <c r="Q12" s="30">
        <v>142691.03586310847</v>
      </c>
      <c r="R12" s="31">
        <v>2026</v>
      </c>
      <c r="S12" s="28"/>
      <c r="T12" s="32">
        <v>0</v>
      </c>
      <c r="U12" s="33">
        <v>0</v>
      </c>
      <c r="V12" s="33">
        <v>0</v>
      </c>
      <c r="W12" s="34">
        <v>0</v>
      </c>
    </row>
    <row r="13" spans="1:23" ht="12.75">
      <c r="A13" s="18" t="s">
        <v>117</v>
      </c>
      <c r="B13" s="19" t="s">
        <v>79</v>
      </c>
      <c r="C13" s="20"/>
      <c r="D13" s="21">
        <v>2424480</v>
      </c>
      <c r="E13" s="22">
        <v>2424480</v>
      </c>
      <c r="F13" s="22">
        <v>1138755.855002194</v>
      </c>
      <c r="G13" s="22">
        <v>264555.0888084037</v>
      </c>
      <c r="H13" s="23">
        <v>0</v>
      </c>
      <c r="I13" s="24"/>
      <c r="J13" s="25"/>
      <c r="K13" s="26">
        <v>376.25</v>
      </c>
      <c r="L13" s="26">
        <v>101.91624000000019</v>
      </c>
      <c r="M13" s="27">
        <v>0</v>
      </c>
      <c r="N13" s="28"/>
      <c r="O13" s="25"/>
      <c r="P13" s="26">
        <v>300365</v>
      </c>
      <c r="Q13" s="30">
        <v>59185</v>
      </c>
      <c r="R13" s="31">
        <v>0</v>
      </c>
      <c r="S13" s="28"/>
      <c r="T13" s="32">
        <v>0</v>
      </c>
      <c r="U13" s="33">
        <v>0</v>
      </c>
      <c r="V13" s="33">
        <v>0</v>
      </c>
      <c r="W13" s="34">
        <v>0</v>
      </c>
    </row>
    <row r="14" spans="1:23" ht="12.75">
      <c r="A14" s="18" t="s">
        <v>118</v>
      </c>
      <c r="B14" s="19" t="s">
        <v>12</v>
      </c>
      <c r="C14" s="20"/>
      <c r="D14" s="21">
        <v>23643324</v>
      </c>
      <c r="E14" s="22">
        <v>23643324</v>
      </c>
      <c r="F14" s="22">
        <v>5049440.905270221</v>
      </c>
      <c r="G14" s="22">
        <v>2141024.850787209</v>
      </c>
      <c r="H14" s="23">
        <v>0</v>
      </c>
      <c r="I14" s="24"/>
      <c r="J14" s="25"/>
      <c r="K14" s="26">
        <v>9988</v>
      </c>
      <c r="L14" s="26">
        <v>618.1630045877519</v>
      </c>
      <c r="M14" s="27">
        <v>0</v>
      </c>
      <c r="N14" s="28"/>
      <c r="O14" s="25"/>
      <c r="P14" s="26">
        <v>16895949</v>
      </c>
      <c r="Q14" s="30">
        <v>2652967.8133653067</v>
      </c>
      <c r="R14" s="31">
        <v>0</v>
      </c>
      <c r="S14" s="28"/>
      <c r="T14" s="32">
        <v>0</v>
      </c>
      <c r="U14" s="33">
        <v>0</v>
      </c>
      <c r="V14" s="33">
        <v>0</v>
      </c>
      <c r="W14" s="34">
        <v>0</v>
      </c>
    </row>
    <row r="15" spans="1:23" ht="12.75">
      <c r="A15" s="18" t="s">
        <v>119</v>
      </c>
      <c r="B15" s="19" t="s">
        <v>17</v>
      </c>
      <c r="C15" s="20"/>
      <c r="D15" s="21">
        <v>2514432</v>
      </c>
      <c r="E15" s="22">
        <v>2514432</v>
      </c>
      <c r="F15" s="22">
        <v>902704.3162559407</v>
      </c>
      <c r="G15" s="22">
        <v>126483.86411571281</v>
      </c>
      <c r="H15" s="23">
        <v>0</v>
      </c>
      <c r="I15" s="24"/>
      <c r="J15" s="25"/>
      <c r="K15" s="26">
        <v>626.225</v>
      </c>
      <c r="L15" s="26">
        <v>0</v>
      </c>
      <c r="M15" s="27">
        <v>0</v>
      </c>
      <c r="N15" s="28"/>
      <c r="O15" s="25"/>
      <c r="P15" s="26">
        <v>6507679.274999999</v>
      </c>
      <c r="Q15" s="30">
        <v>0</v>
      </c>
      <c r="R15" s="31">
        <v>0</v>
      </c>
      <c r="S15" s="28"/>
      <c r="T15" s="32">
        <v>0</v>
      </c>
      <c r="U15" s="33">
        <v>0</v>
      </c>
      <c r="V15" s="33">
        <v>0</v>
      </c>
      <c r="W15" s="34">
        <v>0</v>
      </c>
    </row>
    <row r="16" spans="1:23" ht="12.75">
      <c r="A16" s="18" t="s">
        <v>120</v>
      </c>
      <c r="B16" s="19" t="s">
        <v>80</v>
      </c>
      <c r="C16" s="20"/>
      <c r="D16" s="21">
        <v>14175252</v>
      </c>
      <c r="E16" s="22">
        <v>14175252</v>
      </c>
      <c r="F16" s="22">
        <v>7247728.58186577</v>
      </c>
      <c r="G16" s="22">
        <v>579175.2724904651</v>
      </c>
      <c r="H16" s="23">
        <v>3953682.0319999997</v>
      </c>
      <c r="I16" s="24"/>
      <c r="J16" s="25"/>
      <c r="K16" s="26">
        <v>8869.12</v>
      </c>
      <c r="L16" s="26">
        <v>85.10000000000036</v>
      </c>
      <c r="M16" s="27">
        <v>5868.437</v>
      </c>
      <c r="N16" s="28"/>
      <c r="O16" s="25"/>
      <c r="P16" s="26">
        <v>76402624.00000001</v>
      </c>
      <c r="Q16" s="30">
        <v>746867.9999999851</v>
      </c>
      <c r="R16" s="31">
        <v>52605676</v>
      </c>
      <c r="S16" s="28"/>
      <c r="T16" s="32">
        <v>0</v>
      </c>
      <c r="U16" s="33">
        <v>0</v>
      </c>
      <c r="V16" s="33">
        <v>0</v>
      </c>
      <c r="W16" s="34">
        <v>0</v>
      </c>
    </row>
    <row r="17" spans="1:23" ht="12.75">
      <c r="A17" s="18" t="s">
        <v>121</v>
      </c>
      <c r="B17" s="19" t="s">
        <v>49</v>
      </c>
      <c r="C17" s="20"/>
      <c r="D17" s="21">
        <v>5504856</v>
      </c>
      <c r="E17" s="22">
        <v>5504856</v>
      </c>
      <c r="F17" s="22">
        <v>2325735.7480566837</v>
      </c>
      <c r="G17" s="22">
        <v>311522.72703598393</v>
      </c>
      <c r="H17" s="23">
        <v>1295726.9175000002</v>
      </c>
      <c r="I17" s="24"/>
      <c r="J17" s="25"/>
      <c r="K17" s="26">
        <v>4119.036287402087</v>
      </c>
      <c r="L17" s="26">
        <v>715.0258874022052</v>
      </c>
      <c r="M17" s="27">
        <v>2519.1818000000003</v>
      </c>
      <c r="N17" s="28"/>
      <c r="O17" s="25"/>
      <c r="P17" s="26">
        <v>13992571.539462317</v>
      </c>
      <c r="Q17" s="30">
        <v>2133435.415661959</v>
      </c>
      <c r="R17" s="31">
        <v>13644303.24</v>
      </c>
      <c r="S17" s="28"/>
      <c r="T17" s="32">
        <v>0</v>
      </c>
      <c r="U17" s="33">
        <v>0</v>
      </c>
      <c r="V17" s="33">
        <v>0</v>
      </c>
      <c r="W17" s="34">
        <v>0</v>
      </c>
    </row>
    <row r="18" spans="1:23" ht="12.75">
      <c r="A18" s="18" t="s">
        <v>122</v>
      </c>
      <c r="B18" s="19" t="s">
        <v>61</v>
      </c>
      <c r="C18" s="20"/>
      <c r="D18" s="21">
        <v>14849124</v>
      </c>
      <c r="E18" s="22">
        <v>14849124</v>
      </c>
      <c r="F18" s="22">
        <v>4955173.2978780605</v>
      </c>
      <c r="G18" s="22">
        <v>1661411.8078780603</v>
      </c>
      <c r="H18" s="23">
        <v>0</v>
      </c>
      <c r="I18" s="24"/>
      <c r="J18" s="25"/>
      <c r="K18" s="26">
        <v>3130.187270475328</v>
      </c>
      <c r="L18" s="26">
        <v>1051.2748173179834</v>
      </c>
      <c r="M18" s="27">
        <v>0</v>
      </c>
      <c r="N18" s="28"/>
      <c r="O18" s="25"/>
      <c r="P18" s="26">
        <v>16699023.236804925</v>
      </c>
      <c r="Q18" s="30">
        <v>5810554.762829263</v>
      </c>
      <c r="R18" s="31">
        <v>0</v>
      </c>
      <c r="S18" s="28"/>
      <c r="T18" s="32">
        <v>0</v>
      </c>
      <c r="U18" s="33">
        <v>0</v>
      </c>
      <c r="V18" s="33">
        <v>0</v>
      </c>
      <c r="W18" s="34">
        <v>0</v>
      </c>
    </row>
    <row r="19" spans="1:23" ht="12.75">
      <c r="A19" s="18" t="s">
        <v>123</v>
      </c>
      <c r="B19" s="19" t="s">
        <v>50</v>
      </c>
      <c r="C19" s="20"/>
      <c r="D19" s="21">
        <v>10109196</v>
      </c>
      <c r="E19" s="22">
        <v>10109196</v>
      </c>
      <c r="F19" s="22">
        <v>4625255.418345036</v>
      </c>
      <c r="G19" s="22">
        <v>439552.5683450359</v>
      </c>
      <c r="H19" s="23">
        <v>2153353.125</v>
      </c>
      <c r="I19" s="24"/>
      <c r="J19" s="25"/>
      <c r="K19" s="26">
        <v>6482.7</v>
      </c>
      <c r="L19" s="26">
        <v>0</v>
      </c>
      <c r="M19" s="27">
        <v>5200.44</v>
      </c>
      <c r="N19" s="28"/>
      <c r="O19" s="25"/>
      <c r="P19" s="26">
        <v>37892942.04153565</v>
      </c>
      <c r="Q19" s="30">
        <v>23429.041535660625</v>
      </c>
      <c r="R19" s="31">
        <v>21303383.9</v>
      </c>
      <c r="S19" s="28"/>
      <c r="T19" s="32">
        <v>0</v>
      </c>
      <c r="U19" s="33">
        <v>0</v>
      </c>
      <c r="V19" s="33">
        <v>0</v>
      </c>
      <c r="W19" s="34">
        <v>0</v>
      </c>
    </row>
    <row r="20" spans="1:23" ht="12.75">
      <c r="A20" s="18" t="s">
        <v>124</v>
      </c>
      <c r="B20" s="19" t="s">
        <v>42</v>
      </c>
      <c r="C20" s="20"/>
      <c r="D20" s="21">
        <v>7637580</v>
      </c>
      <c r="E20" s="22">
        <v>7637580</v>
      </c>
      <c r="F20" s="22">
        <v>3255161.7046230934</v>
      </c>
      <c r="G20" s="22">
        <v>608013.723465676</v>
      </c>
      <c r="H20" s="23">
        <v>0</v>
      </c>
      <c r="I20" s="24"/>
      <c r="J20" s="25"/>
      <c r="K20" s="26">
        <v>0</v>
      </c>
      <c r="L20" s="26">
        <v>0</v>
      </c>
      <c r="M20" s="27">
        <v>0</v>
      </c>
      <c r="N20" s="28"/>
      <c r="O20" s="25"/>
      <c r="P20" s="26">
        <v>0</v>
      </c>
      <c r="Q20" s="30">
        <v>0</v>
      </c>
      <c r="R20" s="31">
        <v>0</v>
      </c>
      <c r="S20" s="28"/>
      <c r="T20" s="32">
        <v>0</v>
      </c>
      <c r="U20" s="33">
        <v>0</v>
      </c>
      <c r="V20" s="33">
        <v>0</v>
      </c>
      <c r="W20" s="34">
        <v>0</v>
      </c>
    </row>
    <row r="21" spans="1:23" ht="12.75">
      <c r="A21" s="18" t="s">
        <v>125</v>
      </c>
      <c r="B21" s="19" t="s">
        <v>30</v>
      </c>
      <c r="C21" s="20"/>
      <c r="D21" s="21">
        <v>487068</v>
      </c>
      <c r="E21" s="22">
        <v>487068</v>
      </c>
      <c r="F21" s="22">
        <v>249077.9397632581</v>
      </c>
      <c r="G21" s="22">
        <v>25310.769763258082</v>
      </c>
      <c r="H21" s="23">
        <v>0</v>
      </c>
      <c r="I21" s="24"/>
      <c r="J21" s="25"/>
      <c r="K21" s="26">
        <v>0</v>
      </c>
      <c r="L21" s="26">
        <v>0</v>
      </c>
      <c r="M21" s="27">
        <v>0</v>
      </c>
      <c r="N21" s="28"/>
      <c r="O21" s="25"/>
      <c r="P21" s="26">
        <v>0</v>
      </c>
      <c r="Q21" s="30">
        <v>0</v>
      </c>
      <c r="R21" s="31">
        <v>0</v>
      </c>
      <c r="S21" s="28"/>
      <c r="T21" s="32">
        <v>0</v>
      </c>
      <c r="U21" s="33">
        <v>0</v>
      </c>
      <c r="V21" s="33">
        <v>0</v>
      </c>
      <c r="W21" s="34">
        <v>0</v>
      </c>
    </row>
    <row r="22" spans="1:23" ht="12.75">
      <c r="A22" s="18" t="s">
        <v>126</v>
      </c>
      <c r="B22" s="19" t="s">
        <v>43</v>
      </c>
      <c r="C22" s="20"/>
      <c r="D22" s="21">
        <v>1665876</v>
      </c>
      <c r="E22" s="22">
        <v>1665876</v>
      </c>
      <c r="F22" s="22">
        <v>610910.8422840958</v>
      </c>
      <c r="G22" s="22">
        <v>96042.33071630349</v>
      </c>
      <c r="H22" s="23">
        <v>0</v>
      </c>
      <c r="I22" s="24"/>
      <c r="J22" s="25"/>
      <c r="K22" s="26">
        <v>0</v>
      </c>
      <c r="L22" s="26">
        <v>0</v>
      </c>
      <c r="M22" s="27">
        <v>0</v>
      </c>
      <c r="N22" s="28"/>
      <c r="O22" s="25"/>
      <c r="P22" s="26">
        <v>0</v>
      </c>
      <c r="Q22" s="30">
        <v>0</v>
      </c>
      <c r="R22" s="31">
        <v>0</v>
      </c>
      <c r="S22" s="28"/>
      <c r="T22" s="32">
        <v>0</v>
      </c>
      <c r="U22" s="33">
        <v>0</v>
      </c>
      <c r="V22" s="33">
        <v>0</v>
      </c>
      <c r="W22" s="34">
        <v>0</v>
      </c>
    </row>
    <row r="23" spans="1:23" ht="12.75">
      <c r="A23" s="18" t="s">
        <v>127</v>
      </c>
      <c r="B23" s="19" t="s">
        <v>44</v>
      </c>
      <c r="C23" s="20"/>
      <c r="D23" s="21">
        <v>2122404</v>
      </c>
      <c r="E23" s="22">
        <v>2122404</v>
      </c>
      <c r="F23" s="22">
        <v>688886.0048640823</v>
      </c>
      <c r="G23" s="22">
        <v>119542.04248201486</v>
      </c>
      <c r="H23" s="23">
        <v>0</v>
      </c>
      <c r="I23" s="24"/>
      <c r="J23" s="25"/>
      <c r="K23" s="26">
        <f>11446.9398810231*7/12</f>
        <v>6677.381597263474</v>
      </c>
      <c r="L23" s="26">
        <v>953.911656751924</v>
      </c>
      <c r="M23" s="26">
        <f>11446.9398810231*5/12</f>
        <v>4769.558283759625</v>
      </c>
      <c r="N23" s="28"/>
      <c r="O23" s="25"/>
      <c r="P23" s="30">
        <f>55266198.2756874*7/12</f>
        <v>32238615.66081765</v>
      </c>
      <c r="Q23" s="30">
        <v>4605516.522973951</v>
      </c>
      <c r="R23" s="30">
        <f>55266198.2756874*5/12</f>
        <v>23027582.614869747</v>
      </c>
      <c r="S23" s="28"/>
      <c r="T23" s="32">
        <v>0</v>
      </c>
      <c r="U23" s="33">
        <v>0</v>
      </c>
      <c r="V23" s="33">
        <v>0</v>
      </c>
      <c r="W23" s="34">
        <v>0</v>
      </c>
    </row>
    <row r="24" spans="1:23" ht="12.75">
      <c r="A24" s="18" t="s">
        <v>128</v>
      </c>
      <c r="B24" s="19" t="s">
        <v>11</v>
      </c>
      <c r="C24" s="20"/>
      <c r="D24" s="21">
        <v>50177496</v>
      </c>
      <c r="E24" s="22">
        <v>50177496</v>
      </c>
      <c r="F24" s="22">
        <v>18674468.339113116</v>
      </c>
      <c r="G24" s="22">
        <v>2783020.0885874815</v>
      </c>
      <c r="H24" s="23">
        <v>6828745.1949000005</v>
      </c>
      <c r="I24" s="24"/>
      <c r="J24" s="25"/>
      <c r="K24" s="26">
        <v>25611.694593114895</v>
      </c>
      <c r="L24" s="26">
        <v>2978.4316477730536</v>
      </c>
      <c r="M24" s="27">
        <v>12781.960412500015</v>
      </c>
      <c r="N24" s="28"/>
      <c r="O24" s="25"/>
      <c r="P24" s="26">
        <v>136917788.90973234</v>
      </c>
      <c r="Q24" s="30">
        <v>16930922.928601578</v>
      </c>
      <c r="R24" s="31">
        <v>82669400.4502657</v>
      </c>
      <c r="S24" s="28"/>
      <c r="T24" s="32">
        <v>0</v>
      </c>
      <c r="U24" s="33">
        <v>0</v>
      </c>
      <c r="V24" s="33">
        <v>0</v>
      </c>
      <c r="W24" s="34">
        <v>0</v>
      </c>
    </row>
    <row r="25" spans="1:23" ht="12.75">
      <c r="A25" s="35" t="s">
        <v>31</v>
      </c>
      <c r="B25" s="19"/>
      <c r="C25" s="20"/>
      <c r="D25" s="21"/>
      <c r="E25" s="22"/>
      <c r="F25" s="22"/>
      <c r="G25" s="22"/>
      <c r="H25" s="23"/>
      <c r="I25" s="28"/>
      <c r="J25" s="25"/>
      <c r="K25" s="26"/>
      <c r="L25" s="26"/>
      <c r="M25" s="27"/>
      <c r="N25" s="28"/>
      <c r="O25" s="25"/>
      <c r="P25" s="29"/>
      <c r="Q25" s="30"/>
      <c r="R25" s="31"/>
      <c r="S25" s="28"/>
      <c r="T25" s="32"/>
      <c r="U25" s="33"/>
      <c r="V25" s="33"/>
      <c r="W25" s="34"/>
    </row>
    <row r="26" spans="1:23" ht="12.75">
      <c r="A26" s="18" t="s">
        <v>129</v>
      </c>
      <c r="B26" s="19" t="s">
        <v>1</v>
      </c>
      <c r="C26" s="20"/>
      <c r="D26" s="21">
        <v>2208719.134195264</v>
      </c>
      <c r="E26" s="22">
        <v>2208719.134195264</v>
      </c>
      <c r="F26" s="22">
        <f>75086.1376246906*(D26/SUM($D$26:$D$49))+227104.153722806</f>
        <v>234988.26426055268</v>
      </c>
      <c r="G26" s="22">
        <v>26102.90918878134</v>
      </c>
      <c r="H26" s="23">
        <v>0</v>
      </c>
      <c r="I26" s="24"/>
      <c r="J26" s="25"/>
      <c r="K26" s="26">
        <v>0</v>
      </c>
      <c r="L26" s="26">
        <v>0</v>
      </c>
      <c r="M26" s="27">
        <v>0</v>
      </c>
      <c r="N26" s="28"/>
      <c r="O26" s="25"/>
      <c r="P26" s="29">
        <v>0</v>
      </c>
      <c r="Q26" s="30">
        <v>0</v>
      </c>
      <c r="R26" s="31">
        <v>0</v>
      </c>
      <c r="S26" s="28"/>
      <c r="T26" s="32">
        <v>0</v>
      </c>
      <c r="U26" s="33">
        <v>0</v>
      </c>
      <c r="V26" s="33">
        <v>0</v>
      </c>
      <c r="W26" s="34">
        <v>0</v>
      </c>
    </row>
    <row r="27" spans="1:23" ht="12.75">
      <c r="A27" s="18" t="s">
        <v>130</v>
      </c>
      <c r="B27" s="19" t="s">
        <v>94</v>
      </c>
      <c r="C27" s="20"/>
      <c r="D27" s="21">
        <v>993164.7719898829</v>
      </c>
      <c r="E27" s="22">
        <v>993164.7719898829</v>
      </c>
      <c r="F27" s="22">
        <f>75086.1376246906*(D27/SUM($D$26:$D$49))+270119.25639901</f>
        <v>273664.39743724215</v>
      </c>
      <c r="G27" s="22">
        <v>51849.429116949585</v>
      </c>
      <c r="H27" s="23">
        <v>0</v>
      </c>
      <c r="I27" s="24"/>
      <c r="J27" s="25"/>
      <c r="K27" s="26">
        <v>76.57544000000003</v>
      </c>
      <c r="L27" s="26">
        <v>5.257040000000018</v>
      </c>
      <c r="M27" s="27">
        <v>0</v>
      </c>
      <c r="N27" s="28"/>
      <c r="O27" s="25"/>
      <c r="P27" s="26">
        <v>374426.11712</v>
      </c>
      <c r="Q27" s="30">
        <v>31570.563919999986</v>
      </c>
      <c r="R27" s="31">
        <v>0</v>
      </c>
      <c r="S27" s="28"/>
      <c r="T27" s="32">
        <v>0</v>
      </c>
      <c r="U27" s="33">
        <v>0</v>
      </c>
      <c r="V27" s="33">
        <v>0</v>
      </c>
      <c r="W27" s="34">
        <v>0</v>
      </c>
    </row>
    <row r="28" spans="1:23" ht="12.75">
      <c r="A28" s="18" t="s">
        <v>131</v>
      </c>
      <c r="B28" s="19" t="s">
        <v>28</v>
      </c>
      <c r="C28" s="20"/>
      <c r="D28" s="21">
        <v>524682.5494644975</v>
      </c>
      <c r="E28" s="22">
        <v>524682.5494644975</v>
      </c>
      <c r="F28" s="22">
        <f>75086.1376246906*(D28/SUM($D$26:$D$49))+190976.338199505</f>
        <v>192849.21336645648</v>
      </c>
      <c r="G28" s="22">
        <v>66428.0841284959</v>
      </c>
      <c r="H28" s="23">
        <v>0</v>
      </c>
      <c r="I28" s="24"/>
      <c r="J28" s="25"/>
      <c r="K28" s="26">
        <v>0</v>
      </c>
      <c r="L28" s="26">
        <v>0</v>
      </c>
      <c r="M28" s="27">
        <v>0</v>
      </c>
      <c r="N28" s="28"/>
      <c r="O28" s="25"/>
      <c r="P28" s="26">
        <v>0</v>
      </c>
      <c r="Q28" s="30">
        <v>0</v>
      </c>
      <c r="R28" s="31">
        <v>0</v>
      </c>
      <c r="S28" s="28"/>
      <c r="T28" s="32">
        <v>0</v>
      </c>
      <c r="U28" s="33">
        <v>0</v>
      </c>
      <c r="V28" s="33">
        <v>0</v>
      </c>
      <c r="W28" s="34">
        <v>0</v>
      </c>
    </row>
    <row r="29" spans="1:23" ht="12.75">
      <c r="A29" s="18" t="s">
        <v>132</v>
      </c>
      <c r="B29" s="19" t="s">
        <v>29</v>
      </c>
      <c r="C29" s="20"/>
      <c r="D29" s="21">
        <v>607143.8007384005</v>
      </c>
      <c r="E29" s="22">
        <v>607143.8007384005</v>
      </c>
      <c r="F29" s="22">
        <f>75086.1376246906*(D29/SUM($D$26:$D$49))+73326.195839406</f>
        <v>75493.41971283582</v>
      </c>
      <c r="G29" s="22">
        <v>10510.286320210384</v>
      </c>
      <c r="H29" s="23">
        <v>0</v>
      </c>
      <c r="I29" s="24"/>
      <c r="J29" s="25"/>
      <c r="K29" s="26">
        <v>0</v>
      </c>
      <c r="L29" s="26">
        <v>0</v>
      </c>
      <c r="M29" s="27">
        <v>0</v>
      </c>
      <c r="N29" s="28"/>
      <c r="O29" s="25"/>
      <c r="P29" s="26">
        <v>0</v>
      </c>
      <c r="Q29" s="30">
        <v>0</v>
      </c>
      <c r="R29" s="31">
        <v>0</v>
      </c>
      <c r="S29" s="28"/>
      <c r="T29" s="32">
        <v>0</v>
      </c>
      <c r="U29" s="33">
        <v>0</v>
      </c>
      <c r="V29" s="33">
        <v>0</v>
      </c>
      <c r="W29" s="34">
        <v>0</v>
      </c>
    </row>
    <row r="30" spans="1:23" ht="12.75">
      <c r="A30" s="18" t="s">
        <v>133</v>
      </c>
      <c r="B30" s="19" t="s">
        <v>32</v>
      </c>
      <c r="C30" s="20"/>
      <c r="D30" s="21">
        <v>140537.35852264304</v>
      </c>
      <c r="E30" s="22">
        <v>140537.35852264304</v>
      </c>
      <c r="F30" s="22">
        <f>75086.1376246906*(D30/SUM($D$26:$D$49))+108229.477049876</f>
        <v>108731.13072422566</v>
      </c>
      <c r="G30" s="22">
        <v>34531.78338879769</v>
      </c>
      <c r="H30" s="23">
        <v>0</v>
      </c>
      <c r="I30" s="24"/>
      <c r="J30" s="25"/>
      <c r="K30" s="26">
        <v>0</v>
      </c>
      <c r="L30" s="26">
        <v>0</v>
      </c>
      <c r="M30" s="27">
        <v>0</v>
      </c>
      <c r="N30" s="28"/>
      <c r="O30" s="25"/>
      <c r="P30" s="26">
        <v>0</v>
      </c>
      <c r="Q30" s="30">
        <v>0</v>
      </c>
      <c r="R30" s="31">
        <v>0</v>
      </c>
      <c r="S30" s="28"/>
      <c r="T30" s="32">
        <v>0</v>
      </c>
      <c r="U30" s="33">
        <v>0</v>
      </c>
      <c r="V30" s="33">
        <v>0</v>
      </c>
      <c r="W30" s="34">
        <v>0</v>
      </c>
    </row>
    <row r="31" spans="1:23" ht="12.75">
      <c r="A31" s="18" t="s">
        <v>134</v>
      </c>
      <c r="B31" s="19" t="s">
        <v>33</v>
      </c>
      <c r="C31" s="20"/>
      <c r="D31" s="21">
        <v>1355742.5495015564</v>
      </c>
      <c r="E31" s="22">
        <v>1355742.5495015564</v>
      </c>
      <c r="F31" s="22">
        <f>75086.1376246906*(D31/SUM($D$26:$D$49))+(334635.54279802*(2/3))</f>
        <v>227929.73865867138</v>
      </c>
      <c r="G31" s="22">
        <v>33998.55137015731</v>
      </c>
      <c r="H31" s="23">
        <v>0</v>
      </c>
      <c r="I31" s="24"/>
      <c r="J31" s="25"/>
      <c r="K31" s="26">
        <v>0</v>
      </c>
      <c r="L31" s="26">
        <v>0</v>
      </c>
      <c r="M31" s="27">
        <v>0</v>
      </c>
      <c r="N31" s="28"/>
      <c r="O31" s="25"/>
      <c r="P31" s="26">
        <v>0</v>
      </c>
      <c r="Q31" s="30">
        <v>0</v>
      </c>
      <c r="R31" s="31">
        <v>0</v>
      </c>
      <c r="S31" s="28"/>
      <c r="T31" s="32">
        <v>0</v>
      </c>
      <c r="U31" s="33">
        <v>0</v>
      </c>
      <c r="V31" s="33">
        <v>0</v>
      </c>
      <c r="W31" s="34">
        <v>0</v>
      </c>
    </row>
    <row r="32" spans="1:23" ht="12.75">
      <c r="A32" s="18" t="s">
        <v>135</v>
      </c>
      <c r="B32" s="19" t="s">
        <v>34</v>
      </c>
      <c r="C32" s="20"/>
      <c r="D32" s="21">
        <v>677871.2747507782</v>
      </c>
      <c r="E32" s="22">
        <v>677871.2747507782</v>
      </c>
      <c r="F32" s="22">
        <f>75086.1376246906*(D32/SUM($D$26:$D$49))+(334635.54279802*(1/3))</f>
        <v>113964.86932933569</v>
      </c>
      <c r="G32" s="22">
        <v>16999.275685078654</v>
      </c>
      <c r="H32" s="23">
        <v>0</v>
      </c>
      <c r="I32" s="24"/>
      <c r="J32" s="25"/>
      <c r="K32" s="26">
        <v>0</v>
      </c>
      <c r="L32" s="26">
        <v>0</v>
      </c>
      <c r="M32" s="27">
        <v>0</v>
      </c>
      <c r="N32" s="28"/>
      <c r="O32" s="25"/>
      <c r="P32" s="26">
        <v>0</v>
      </c>
      <c r="Q32" s="30">
        <v>0</v>
      </c>
      <c r="R32" s="31">
        <v>0</v>
      </c>
      <c r="S32" s="28"/>
      <c r="T32" s="32">
        <v>0</v>
      </c>
      <c r="U32" s="33">
        <v>0</v>
      </c>
      <c r="V32" s="33">
        <v>0</v>
      </c>
      <c r="W32" s="34">
        <v>0</v>
      </c>
    </row>
    <row r="33" spans="1:23" ht="12.75">
      <c r="A33" s="18" t="s">
        <v>136</v>
      </c>
      <c r="B33" s="19" t="s">
        <v>38</v>
      </c>
      <c r="C33" s="20"/>
      <c r="D33" s="21">
        <v>493768.7155304996</v>
      </c>
      <c r="E33" s="22">
        <v>493768.7155304996</v>
      </c>
      <c r="F33" s="22">
        <f>75086.1376246906*(D33/SUM($D$26:$D$49))+224218.978199505</f>
        <v>225981.5052103203</v>
      </c>
      <c r="G33" s="22">
        <v>37471.75933494812</v>
      </c>
      <c r="H33" s="23">
        <v>0</v>
      </c>
      <c r="I33" s="24"/>
      <c r="J33" s="25"/>
      <c r="K33" s="26">
        <v>37.23</v>
      </c>
      <c r="L33" s="26">
        <v>7.2</v>
      </c>
      <c r="M33" s="27">
        <v>0</v>
      </c>
      <c r="N33" s="28"/>
      <c r="O33" s="25"/>
      <c r="P33" s="26">
        <v>312404</v>
      </c>
      <c r="Q33" s="30">
        <v>53220</v>
      </c>
      <c r="R33" s="31">
        <v>0</v>
      </c>
      <c r="S33" s="28"/>
      <c r="T33" s="32">
        <v>0</v>
      </c>
      <c r="U33" s="33">
        <v>0</v>
      </c>
      <c r="V33" s="33">
        <v>0</v>
      </c>
      <c r="W33" s="34">
        <v>0</v>
      </c>
    </row>
    <row r="34" spans="1:23" ht="12.75">
      <c r="A34" s="18" t="s">
        <v>137</v>
      </c>
      <c r="B34" s="19" t="s">
        <v>21</v>
      </c>
      <c r="C34" s="20"/>
      <c r="D34" s="21">
        <v>1401256.6128585457</v>
      </c>
      <c r="E34" s="22">
        <v>1401256.6128585457</v>
      </c>
      <c r="F34" s="22">
        <f>75086.1376246906*(D34/SUM($D$26:$D$49))+241810.645823054</f>
        <v>246812.48687042214</v>
      </c>
      <c r="G34" s="22">
        <v>49051.988872459275</v>
      </c>
      <c r="H34" s="23">
        <v>327804.14706998505</v>
      </c>
      <c r="I34" s="24"/>
      <c r="J34" s="25"/>
      <c r="K34" s="26">
        <v>20</v>
      </c>
      <c r="L34" s="26">
        <v>0</v>
      </c>
      <c r="M34" s="27">
        <v>101.87</v>
      </c>
      <c r="N34" s="28"/>
      <c r="O34" s="25"/>
      <c r="P34" s="26">
        <v>467980</v>
      </c>
      <c r="Q34" s="30">
        <v>69316</v>
      </c>
      <c r="R34" s="31">
        <v>1360015.7</v>
      </c>
      <c r="S34" s="28"/>
      <c r="T34" s="32">
        <v>0</v>
      </c>
      <c r="U34" s="33">
        <v>0</v>
      </c>
      <c r="V34" s="33">
        <v>0</v>
      </c>
      <c r="W34" s="34">
        <v>0</v>
      </c>
    </row>
    <row r="35" spans="1:23" ht="12.75">
      <c r="A35" s="18" t="s">
        <v>138</v>
      </c>
      <c r="B35" s="19" t="s">
        <v>39</v>
      </c>
      <c r="C35" s="20"/>
      <c r="D35" s="21">
        <v>891702.1097872814</v>
      </c>
      <c r="E35" s="22">
        <v>891702.1097872814</v>
      </c>
      <c r="F35" s="22">
        <f>75086.1376246906*(D35/SUM($D$26:$D$49))+404821.420069216</f>
        <v>408004.38611114613</v>
      </c>
      <c r="G35" s="22">
        <v>12317.82697970292</v>
      </c>
      <c r="H35" s="23">
        <v>32259.12</v>
      </c>
      <c r="I35" s="24"/>
      <c r="J35" s="25"/>
      <c r="K35" s="26">
        <v>164</v>
      </c>
      <c r="L35" s="26">
        <v>0</v>
      </c>
      <c r="M35" s="27">
        <v>30.8</v>
      </c>
      <c r="N35" s="28"/>
      <c r="O35" s="25"/>
      <c r="P35" s="26">
        <v>1265684</v>
      </c>
      <c r="Q35" s="30">
        <v>0</v>
      </c>
      <c r="R35" s="31">
        <v>134413</v>
      </c>
      <c r="S35" s="28"/>
      <c r="T35" s="32">
        <v>0</v>
      </c>
      <c r="U35" s="33">
        <v>0</v>
      </c>
      <c r="V35" s="33">
        <v>0</v>
      </c>
      <c r="W35" s="34">
        <v>0</v>
      </c>
    </row>
    <row r="36" spans="1:23" ht="12.75">
      <c r="A36" s="18" t="s">
        <v>139</v>
      </c>
      <c r="B36" s="19" t="s">
        <v>22</v>
      </c>
      <c r="C36" s="20"/>
      <c r="D36" s="21">
        <v>1337553.164680922</v>
      </c>
      <c r="E36" s="22">
        <v>1337553.164680922</v>
      </c>
      <c r="F36" s="22">
        <f>75086.1376246906*(D36/SUM($D$26:$D$49))+92926.455103824</f>
        <v>97700.90416671922</v>
      </c>
      <c r="G36" s="22">
        <v>16830.82046955412</v>
      </c>
      <c r="H36" s="23">
        <v>575213.04</v>
      </c>
      <c r="I36" s="24"/>
      <c r="J36" s="25"/>
      <c r="K36" s="26">
        <v>0</v>
      </c>
      <c r="L36" s="26">
        <v>0</v>
      </c>
      <c r="M36" s="27">
        <v>564.1</v>
      </c>
      <c r="N36" s="28"/>
      <c r="O36" s="25"/>
      <c r="P36" s="26">
        <v>0</v>
      </c>
      <c r="Q36" s="30">
        <v>0</v>
      </c>
      <c r="R36" s="31">
        <v>3304280</v>
      </c>
      <c r="S36" s="28"/>
      <c r="T36" s="32">
        <v>0</v>
      </c>
      <c r="U36" s="33">
        <v>0</v>
      </c>
      <c r="V36" s="33">
        <v>0</v>
      </c>
      <c r="W36" s="34">
        <v>0</v>
      </c>
    </row>
    <row r="37" spans="1:23" ht="12.75">
      <c r="A37" s="18" t="s">
        <v>140</v>
      </c>
      <c r="B37" s="19" t="s">
        <v>23</v>
      </c>
      <c r="C37" s="20"/>
      <c r="D37" s="21">
        <v>700628.3064292729</v>
      </c>
      <c r="E37" s="22">
        <v>700628.3064292729</v>
      </c>
      <c r="F37" s="22">
        <f>75086.1376246906*(D37/SUM($D$26:$D$49))+98346.7779115268</f>
        <v>100847.69843521088</v>
      </c>
      <c r="G37" s="22">
        <v>12946.769436229355</v>
      </c>
      <c r="H37" s="23">
        <v>640.65</v>
      </c>
      <c r="I37" s="24"/>
      <c r="J37" s="25"/>
      <c r="K37" s="26">
        <v>0</v>
      </c>
      <c r="L37" s="26">
        <v>0</v>
      </c>
      <c r="M37" s="27">
        <v>0.7</v>
      </c>
      <c r="N37" s="28"/>
      <c r="O37" s="25"/>
      <c r="P37" s="26">
        <v>0</v>
      </c>
      <c r="Q37" s="30">
        <v>0</v>
      </c>
      <c r="R37" s="31">
        <v>4271</v>
      </c>
      <c r="S37" s="28"/>
      <c r="T37" s="32">
        <v>0</v>
      </c>
      <c r="U37" s="33">
        <v>0</v>
      </c>
      <c r="V37" s="33">
        <v>0</v>
      </c>
      <c r="W37" s="34">
        <v>0</v>
      </c>
    </row>
    <row r="38" spans="1:23" ht="12.75">
      <c r="A38" s="18" t="s">
        <v>141</v>
      </c>
      <c r="B38" s="19" t="s">
        <v>62</v>
      </c>
      <c r="C38" s="20"/>
      <c r="D38" s="21">
        <v>3184660.8324331087</v>
      </c>
      <c r="E38" s="22">
        <v>3184660.8324331087</v>
      </c>
      <c r="F38" s="22">
        <f>75086.1376246906*(D38/SUM($D$26:$D$49))+611030.295961486</f>
        <v>622398.0690927143</v>
      </c>
      <c r="G38" s="22">
        <v>141592.7328318649</v>
      </c>
      <c r="H38" s="23">
        <v>1018512.24</v>
      </c>
      <c r="I38" s="24"/>
      <c r="J38" s="25"/>
      <c r="K38" s="26">
        <v>19</v>
      </c>
      <c r="L38" s="26">
        <v>0</v>
      </c>
      <c r="M38" s="27">
        <v>769.37</v>
      </c>
      <c r="N38" s="28"/>
      <c r="O38" s="25"/>
      <c r="P38" s="26">
        <v>399152</v>
      </c>
      <c r="Q38" s="30">
        <v>0</v>
      </c>
      <c r="R38" s="31">
        <v>4243801</v>
      </c>
      <c r="S38" s="28"/>
      <c r="T38" s="32">
        <v>0</v>
      </c>
      <c r="U38" s="33">
        <v>0</v>
      </c>
      <c r="V38" s="33">
        <v>0</v>
      </c>
      <c r="W38" s="34">
        <v>0</v>
      </c>
    </row>
    <row r="39" spans="1:23" ht="12.75">
      <c r="A39" s="18" t="s">
        <v>142</v>
      </c>
      <c r="B39" s="19" t="s">
        <v>108</v>
      </c>
      <c r="C39" s="20"/>
      <c r="D39" s="21">
        <v>5317398.68369682</v>
      </c>
      <c r="E39" s="22">
        <v>5317398.68369682</v>
      </c>
      <c r="F39" s="22">
        <f>75086.1376246906*(D39/SUM($D$26:$D$49))+4069420.29624034</f>
        <v>4088400.9617068022</v>
      </c>
      <c r="G39" s="22">
        <v>766519.4936500383</v>
      </c>
      <c r="H39" s="23">
        <v>0</v>
      </c>
      <c r="I39" s="24"/>
      <c r="J39" s="25"/>
      <c r="K39" s="26">
        <v>2619.215692</v>
      </c>
      <c r="L39" s="26">
        <v>331.65251420273853</v>
      </c>
      <c r="M39" s="27">
        <v>0</v>
      </c>
      <c r="N39" s="28"/>
      <c r="O39" s="25"/>
      <c r="P39" s="26">
        <v>10725771.51</v>
      </c>
      <c r="Q39" s="30">
        <v>1933447.81039186</v>
      </c>
      <c r="R39" s="31">
        <v>0</v>
      </c>
      <c r="S39" s="28"/>
      <c r="T39" s="32">
        <v>0</v>
      </c>
      <c r="U39" s="33">
        <v>0</v>
      </c>
      <c r="V39" s="33">
        <v>0</v>
      </c>
      <c r="W39" s="34">
        <v>0</v>
      </c>
    </row>
    <row r="40" spans="1:23" ht="12.75">
      <c r="A40" s="18" t="s">
        <v>143</v>
      </c>
      <c r="B40" s="19" t="s">
        <v>102</v>
      </c>
      <c r="C40" s="20"/>
      <c r="D40" s="21">
        <v>509542.3226796435</v>
      </c>
      <c r="E40" s="22">
        <v>509542.3226796435</v>
      </c>
      <c r="F40" s="22">
        <f>75086.1376246906*(D40/SUM($D$26:$D$49))+88084.5657538377</f>
        <v>89903.39728088479</v>
      </c>
      <c r="G40" s="22">
        <v>11679.679337675785</v>
      </c>
      <c r="H40" s="23">
        <v>0</v>
      </c>
      <c r="I40" s="24"/>
      <c r="J40" s="25"/>
      <c r="K40" s="26">
        <v>0</v>
      </c>
      <c r="L40" s="26">
        <v>0</v>
      </c>
      <c r="M40" s="27">
        <v>0</v>
      </c>
      <c r="N40" s="28"/>
      <c r="O40" s="25"/>
      <c r="P40" s="26">
        <v>0</v>
      </c>
      <c r="Q40" s="30">
        <v>0</v>
      </c>
      <c r="R40" s="31">
        <v>0</v>
      </c>
      <c r="S40" s="28"/>
      <c r="T40" s="32">
        <v>0</v>
      </c>
      <c r="U40" s="33">
        <v>0</v>
      </c>
      <c r="V40" s="33">
        <v>0</v>
      </c>
      <c r="W40" s="34">
        <v>0</v>
      </c>
    </row>
    <row r="41" spans="1:24" ht="12.75">
      <c r="A41" s="18" t="s">
        <v>144</v>
      </c>
      <c r="B41" s="19" t="s">
        <v>77</v>
      </c>
      <c r="C41" s="20"/>
      <c r="D41" s="21">
        <v>0</v>
      </c>
      <c r="E41" s="22">
        <v>0</v>
      </c>
      <c r="F41" s="22">
        <f>75086.1376246906*(D41/SUM($D$26:$D$49))+13163.48</f>
        <v>13163.48</v>
      </c>
      <c r="G41" s="22">
        <v>814.73</v>
      </c>
      <c r="H41" s="23">
        <v>0</v>
      </c>
      <c r="I41" s="24"/>
      <c r="J41" s="25"/>
      <c r="K41" s="26">
        <v>48.45600000000002</v>
      </c>
      <c r="L41" s="26">
        <v>0</v>
      </c>
      <c r="M41" s="27">
        <v>0</v>
      </c>
      <c r="N41" s="28"/>
      <c r="O41" s="25"/>
      <c r="P41" s="26">
        <v>165753.22</v>
      </c>
      <c r="Q41" s="30">
        <v>0</v>
      </c>
      <c r="R41" s="31">
        <v>0</v>
      </c>
      <c r="S41" s="28"/>
      <c r="T41" s="32">
        <v>0</v>
      </c>
      <c r="U41" s="33">
        <v>0</v>
      </c>
      <c r="V41" s="33">
        <v>0</v>
      </c>
      <c r="W41" s="34">
        <v>0</v>
      </c>
      <c r="X41" s="92"/>
    </row>
    <row r="42" spans="1:24" ht="12.75">
      <c r="A42" s="18" t="s">
        <v>145</v>
      </c>
      <c r="B42" s="19" t="s">
        <v>10</v>
      </c>
      <c r="C42" s="20"/>
      <c r="D42" s="21">
        <v>382159.78710763785</v>
      </c>
      <c r="E42" s="22">
        <v>382159.78710763785</v>
      </c>
      <c r="F42" s="22">
        <f>75086.1376246906*(D42/SUM($D$26:$D$49))+68056.4543153783</f>
        <v>69420.58883026135</v>
      </c>
      <c r="G42" s="22">
        <v>9263.197642026891</v>
      </c>
      <c r="H42" s="23">
        <v>0</v>
      </c>
      <c r="I42" s="24"/>
      <c r="J42" s="25"/>
      <c r="K42" s="26">
        <v>0</v>
      </c>
      <c r="L42" s="26">
        <v>0</v>
      </c>
      <c r="M42" s="27">
        <v>0</v>
      </c>
      <c r="N42" s="28"/>
      <c r="O42" s="25"/>
      <c r="P42" s="26">
        <v>0</v>
      </c>
      <c r="Q42" s="30">
        <v>0</v>
      </c>
      <c r="R42" s="31">
        <v>0</v>
      </c>
      <c r="S42" s="28"/>
      <c r="T42" s="32">
        <v>0</v>
      </c>
      <c r="U42" s="33">
        <v>0</v>
      </c>
      <c r="V42" s="33">
        <v>0</v>
      </c>
      <c r="W42" s="34">
        <v>0</v>
      </c>
      <c r="X42" s="92"/>
    </row>
    <row r="43" spans="1:24" ht="12.75">
      <c r="A43" s="18" t="s">
        <v>146</v>
      </c>
      <c r="B43" s="19" t="s">
        <v>105</v>
      </c>
      <c r="C43" s="20"/>
      <c r="D43" s="21">
        <v>0</v>
      </c>
      <c r="E43" s="22">
        <v>0</v>
      </c>
      <c r="F43" s="22">
        <f>75086.1376246906*(D43/SUM($D$26:$D$49))+178572.82</f>
        <v>178572.82</v>
      </c>
      <c r="G43" s="22">
        <v>8226.75</v>
      </c>
      <c r="H43" s="23">
        <v>330503.97</v>
      </c>
      <c r="I43" s="24"/>
      <c r="J43" s="25"/>
      <c r="K43" s="26">
        <v>92.7</v>
      </c>
      <c r="L43" s="26">
        <v>0</v>
      </c>
      <c r="M43" s="27">
        <v>325.49</v>
      </c>
      <c r="N43" s="28"/>
      <c r="O43" s="25"/>
      <c r="P43" s="26">
        <v>664847</v>
      </c>
      <c r="Q43" s="30">
        <v>0</v>
      </c>
      <c r="R43" s="31">
        <v>1974962</v>
      </c>
      <c r="S43" s="28"/>
      <c r="T43" s="32">
        <v>0</v>
      </c>
      <c r="U43" s="33">
        <v>0</v>
      </c>
      <c r="V43" s="33">
        <v>0</v>
      </c>
      <c r="W43" s="34">
        <v>0</v>
      </c>
      <c r="X43" s="92"/>
    </row>
    <row r="44" spans="1:24" ht="12.75">
      <c r="A44" s="18" t="s">
        <v>168</v>
      </c>
      <c r="B44" s="19" t="s">
        <v>75</v>
      </c>
      <c r="C44" s="20"/>
      <c r="D44" s="21">
        <v>172864.1178846724</v>
      </c>
      <c r="E44" s="22">
        <v>172864.1178846724</v>
      </c>
      <c r="F44" s="22">
        <f>75086.1376246906*(D44/SUM($D$26:$D$49))+117214.045869827</f>
        <v>117831.0911936587</v>
      </c>
      <c r="G44" s="22">
        <v>17582.011721029005</v>
      </c>
      <c r="H44" s="23">
        <v>0</v>
      </c>
      <c r="I44" s="24"/>
      <c r="J44" s="25"/>
      <c r="K44" s="26">
        <v>0</v>
      </c>
      <c r="L44" s="26">
        <v>0</v>
      </c>
      <c r="M44" s="27">
        <v>0</v>
      </c>
      <c r="N44" s="28"/>
      <c r="O44" s="25"/>
      <c r="P44" s="26">
        <v>0</v>
      </c>
      <c r="Q44" s="30">
        <v>0</v>
      </c>
      <c r="R44" s="31">
        <v>0</v>
      </c>
      <c r="S44" s="28"/>
      <c r="T44" s="32">
        <v>0</v>
      </c>
      <c r="U44" s="33">
        <v>0</v>
      </c>
      <c r="V44" s="33">
        <v>0</v>
      </c>
      <c r="W44" s="34">
        <v>0</v>
      </c>
      <c r="X44" s="92"/>
    </row>
    <row r="45" spans="1:24" ht="12.75">
      <c r="A45" s="18" t="s">
        <v>169</v>
      </c>
      <c r="B45" s="19" t="s">
        <v>101</v>
      </c>
      <c r="C45" s="20"/>
      <c r="D45" s="21">
        <v>135847.90774857323</v>
      </c>
      <c r="E45" s="22">
        <v>135847.90774857323</v>
      </c>
      <c r="F45" s="22">
        <f>75086.1376246906*(D45/SUM($D$26:$D$49))+51914.3035249381</f>
        <v>52399.21801878641</v>
      </c>
      <c r="G45" s="22">
        <v>7454.073246196254</v>
      </c>
      <c r="H45" s="23">
        <v>0</v>
      </c>
      <c r="I45" s="24"/>
      <c r="J45" s="25"/>
      <c r="K45" s="26">
        <v>0</v>
      </c>
      <c r="L45" s="26">
        <v>0</v>
      </c>
      <c r="M45" s="27">
        <v>0</v>
      </c>
      <c r="N45" s="28"/>
      <c r="O45" s="25"/>
      <c r="P45" s="26">
        <v>0</v>
      </c>
      <c r="Q45" s="30">
        <v>0</v>
      </c>
      <c r="R45" s="31">
        <v>0</v>
      </c>
      <c r="S45" s="28"/>
      <c r="T45" s="32">
        <v>0</v>
      </c>
      <c r="U45" s="33">
        <v>0</v>
      </c>
      <c r="V45" s="33">
        <v>0</v>
      </c>
      <c r="W45" s="34">
        <v>0</v>
      </c>
      <c r="X45" s="92"/>
    </row>
    <row r="46" spans="1:24" ht="12.75">
      <c r="A46" s="18" t="s">
        <v>177</v>
      </c>
      <c r="B46" s="19" t="s">
        <v>173</v>
      </c>
      <c r="C46" s="20"/>
      <c r="D46" s="21">
        <v>0</v>
      </c>
      <c r="E46" s="22">
        <v>0</v>
      </c>
      <c r="F46" s="22">
        <f>75086.1376246906*(D46/SUM($D$26:$D$49))+778.88</f>
        <v>778.88</v>
      </c>
      <c r="G46" s="22">
        <v>346.61</v>
      </c>
      <c r="H46" s="23">
        <v>0</v>
      </c>
      <c r="I46" s="24"/>
      <c r="J46" s="25"/>
      <c r="K46" s="26">
        <v>0</v>
      </c>
      <c r="L46" s="26">
        <v>0</v>
      </c>
      <c r="M46" s="27">
        <v>0</v>
      </c>
      <c r="N46" s="28"/>
      <c r="O46" s="25"/>
      <c r="P46" s="26">
        <v>0</v>
      </c>
      <c r="Q46" s="30">
        <v>0</v>
      </c>
      <c r="R46" s="31">
        <v>0</v>
      </c>
      <c r="S46" s="28"/>
      <c r="T46" s="32">
        <v>0</v>
      </c>
      <c r="U46" s="33">
        <v>0</v>
      </c>
      <c r="V46" s="33">
        <v>0</v>
      </c>
      <c r="W46" s="34">
        <v>0</v>
      </c>
      <c r="X46" s="92"/>
    </row>
    <row r="47" spans="1:24" ht="12.75">
      <c r="A47" s="18" t="s">
        <v>178</v>
      </c>
      <c r="B47" s="19" t="s">
        <v>174</v>
      </c>
      <c r="C47" s="20"/>
      <c r="D47" s="21">
        <v>0</v>
      </c>
      <c r="E47" s="22">
        <v>0</v>
      </c>
      <c r="F47" s="22">
        <f>75086.1376246906*(D47/SUM($D$26:$D$49))+444.24</f>
        <v>444.24</v>
      </c>
      <c r="G47" s="22">
        <v>364.84</v>
      </c>
      <c r="H47" s="23">
        <v>0</v>
      </c>
      <c r="I47" s="24"/>
      <c r="J47" s="25"/>
      <c r="K47" s="26">
        <v>0</v>
      </c>
      <c r="L47" s="26">
        <v>0</v>
      </c>
      <c r="M47" s="27">
        <v>0</v>
      </c>
      <c r="N47" s="28"/>
      <c r="O47" s="25"/>
      <c r="P47" s="26">
        <v>0</v>
      </c>
      <c r="Q47" s="30">
        <v>0</v>
      </c>
      <c r="R47" s="31">
        <v>0</v>
      </c>
      <c r="S47" s="28"/>
      <c r="T47" s="32">
        <v>0</v>
      </c>
      <c r="U47" s="33">
        <v>0</v>
      </c>
      <c r="V47" s="33">
        <v>0</v>
      </c>
      <c r="W47" s="34">
        <v>0</v>
      </c>
      <c r="X47" s="92"/>
    </row>
    <row r="48" spans="1:24" ht="12.75">
      <c r="A48" s="18" t="s">
        <v>179</v>
      </c>
      <c r="B48" s="19" t="s">
        <v>175</v>
      </c>
      <c r="C48" s="20"/>
      <c r="D48" s="21">
        <v>0</v>
      </c>
      <c r="E48" s="22">
        <v>0</v>
      </c>
      <c r="F48" s="22">
        <f>75086.1376246906*(D48/SUM($D$26:$D$49))+797.12</f>
        <v>797.12</v>
      </c>
      <c r="G48" s="22">
        <v>364.85</v>
      </c>
      <c r="H48" s="23">
        <v>0</v>
      </c>
      <c r="I48" s="24"/>
      <c r="J48" s="25"/>
      <c r="K48" s="26">
        <v>0</v>
      </c>
      <c r="L48" s="26">
        <v>0</v>
      </c>
      <c r="M48" s="27">
        <v>0</v>
      </c>
      <c r="N48" s="28"/>
      <c r="O48" s="25"/>
      <c r="P48" s="26">
        <v>0</v>
      </c>
      <c r="Q48" s="30">
        <v>0</v>
      </c>
      <c r="R48" s="31">
        <v>0</v>
      </c>
      <c r="S48" s="28"/>
      <c r="T48" s="32">
        <v>0</v>
      </c>
      <c r="U48" s="33">
        <v>0</v>
      </c>
      <c r="V48" s="33">
        <v>0</v>
      </c>
      <c r="W48" s="34">
        <v>0</v>
      </c>
      <c r="X48" s="92"/>
    </row>
    <row r="49" spans="1:24" ht="12.75">
      <c r="A49" s="18" t="s">
        <v>180</v>
      </c>
      <c r="B49" s="19" t="s">
        <v>176</v>
      </c>
      <c r="C49" s="20"/>
      <c r="D49" s="21">
        <v>0</v>
      </c>
      <c r="E49" s="22">
        <v>0</v>
      </c>
      <c r="F49" s="22">
        <f>75086.1376246906*(D49/SUM($D$26:$D$49))+3380.18</f>
        <v>3380.18</v>
      </c>
      <c r="G49" s="22">
        <v>2235.58</v>
      </c>
      <c r="H49" s="23">
        <v>0</v>
      </c>
      <c r="I49" s="24"/>
      <c r="J49" s="25"/>
      <c r="K49" s="26">
        <v>0</v>
      </c>
      <c r="L49" s="26">
        <v>0</v>
      </c>
      <c r="M49" s="27">
        <v>0</v>
      </c>
      <c r="N49" s="28"/>
      <c r="O49" s="25"/>
      <c r="P49" s="26">
        <v>0</v>
      </c>
      <c r="Q49" s="30">
        <v>0</v>
      </c>
      <c r="R49" s="31">
        <v>0</v>
      </c>
      <c r="S49" s="28"/>
      <c r="T49" s="32">
        <v>0</v>
      </c>
      <c r="U49" s="33">
        <v>0</v>
      </c>
      <c r="V49" s="33">
        <v>0</v>
      </c>
      <c r="W49" s="34">
        <v>0</v>
      </c>
      <c r="X49" s="92"/>
    </row>
    <row r="50" spans="1:24" ht="12.75">
      <c r="A50" s="18" t="s">
        <v>181</v>
      </c>
      <c r="B50" s="19" t="s">
        <v>185</v>
      </c>
      <c r="C50" s="20"/>
      <c r="D50" s="21">
        <v>0</v>
      </c>
      <c r="E50" s="22">
        <v>0</v>
      </c>
      <c r="F50" s="22">
        <f>75086.1376246906*(D50/SUM($D$26:$D$49))+8918.27</f>
        <v>8918.27</v>
      </c>
      <c r="G50" s="22">
        <v>8918.27</v>
      </c>
      <c r="H50" s="23">
        <v>0</v>
      </c>
      <c r="I50" s="24"/>
      <c r="J50" s="25"/>
      <c r="K50" s="26">
        <v>0</v>
      </c>
      <c r="L50" s="26">
        <v>0</v>
      </c>
      <c r="M50" s="27">
        <v>0</v>
      </c>
      <c r="N50" s="28"/>
      <c r="O50" s="25"/>
      <c r="P50" s="26">
        <v>0</v>
      </c>
      <c r="Q50" s="30">
        <v>0</v>
      </c>
      <c r="R50" s="31">
        <v>0</v>
      </c>
      <c r="S50" s="28"/>
      <c r="T50" s="32">
        <v>0</v>
      </c>
      <c r="U50" s="33">
        <v>0</v>
      </c>
      <c r="V50" s="33">
        <v>0</v>
      </c>
      <c r="W50" s="34">
        <v>0</v>
      </c>
      <c r="X50" s="92"/>
    </row>
    <row r="51" spans="1:24" ht="12.75">
      <c r="A51" s="18" t="s">
        <v>182</v>
      </c>
      <c r="B51" s="19" t="s">
        <v>186</v>
      </c>
      <c r="C51" s="20"/>
      <c r="D51" s="21">
        <v>0</v>
      </c>
      <c r="E51" s="22">
        <v>0</v>
      </c>
      <c r="F51" s="22">
        <f>75086.1376246906*(D51/SUM($D$26:$D$49))+229.88</f>
        <v>229.88</v>
      </c>
      <c r="G51" s="22">
        <v>229.88</v>
      </c>
      <c r="H51" s="23">
        <v>0</v>
      </c>
      <c r="I51" s="24"/>
      <c r="J51" s="25"/>
      <c r="K51" s="26">
        <v>0</v>
      </c>
      <c r="L51" s="26">
        <v>0</v>
      </c>
      <c r="M51" s="27">
        <v>0</v>
      </c>
      <c r="N51" s="28"/>
      <c r="O51" s="25"/>
      <c r="P51" s="26">
        <v>0</v>
      </c>
      <c r="Q51" s="30">
        <v>0</v>
      </c>
      <c r="R51" s="31">
        <v>0</v>
      </c>
      <c r="S51" s="28"/>
      <c r="T51" s="32">
        <v>0</v>
      </c>
      <c r="U51" s="33">
        <v>0</v>
      </c>
      <c r="V51" s="33">
        <v>0</v>
      </c>
      <c r="W51" s="34">
        <v>0</v>
      </c>
      <c r="X51" s="92"/>
    </row>
    <row r="52" spans="1:24" ht="12.75">
      <c r="A52" s="18" t="s">
        <v>183</v>
      </c>
      <c r="B52" s="19" t="s">
        <v>187</v>
      </c>
      <c r="C52" s="20"/>
      <c r="D52" s="21">
        <v>0</v>
      </c>
      <c r="E52" s="22">
        <v>0</v>
      </c>
      <c r="F52" s="22">
        <f>75086.1376246906*(D52/SUM($D$26:$D$49))+83.85</f>
        <v>83.85</v>
      </c>
      <c r="G52" s="22">
        <v>83.85</v>
      </c>
      <c r="H52" s="23">
        <v>0</v>
      </c>
      <c r="I52" s="24"/>
      <c r="J52" s="25"/>
      <c r="K52" s="26">
        <v>0</v>
      </c>
      <c r="L52" s="26">
        <v>0</v>
      </c>
      <c r="M52" s="27">
        <v>0</v>
      </c>
      <c r="N52" s="28"/>
      <c r="O52" s="25"/>
      <c r="P52" s="26">
        <v>0</v>
      </c>
      <c r="Q52" s="30">
        <v>0</v>
      </c>
      <c r="R52" s="31">
        <v>0</v>
      </c>
      <c r="S52" s="28"/>
      <c r="T52" s="32">
        <v>0</v>
      </c>
      <c r="U52" s="33">
        <v>0</v>
      </c>
      <c r="V52" s="33">
        <v>0</v>
      </c>
      <c r="W52" s="34">
        <v>0</v>
      </c>
      <c r="X52" s="92"/>
    </row>
    <row r="53" spans="1:24" ht="12.75">
      <c r="A53" s="18" t="s">
        <v>184</v>
      </c>
      <c r="B53" s="19" t="s">
        <v>188</v>
      </c>
      <c r="C53" s="20"/>
      <c r="D53" s="21">
        <v>0</v>
      </c>
      <c r="E53" s="22">
        <v>0</v>
      </c>
      <c r="F53" s="22">
        <f>75086.1376246906*(D53/SUM($D$26:$D$49))+53.35</f>
        <v>53.35</v>
      </c>
      <c r="G53" s="22">
        <v>53.35</v>
      </c>
      <c r="H53" s="23">
        <v>0</v>
      </c>
      <c r="I53" s="24"/>
      <c r="J53" s="25"/>
      <c r="K53" s="26">
        <v>0</v>
      </c>
      <c r="L53" s="26">
        <v>0</v>
      </c>
      <c r="M53" s="27">
        <v>0</v>
      </c>
      <c r="N53" s="28"/>
      <c r="O53" s="25"/>
      <c r="P53" s="26">
        <v>0</v>
      </c>
      <c r="Q53" s="30">
        <v>0</v>
      </c>
      <c r="R53" s="31">
        <v>0</v>
      </c>
      <c r="S53" s="28"/>
      <c r="T53" s="32">
        <v>0</v>
      </c>
      <c r="U53" s="33">
        <v>0</v>
      </c>
      <c r="V53" s="33">
        <v>0</v>
      </c>
      <c r="W53" s="34">
        <v>0</v>
      </c>
      <c r="X53" s="92"/>
    </row>
    <row r="54" spans="1:23" ht="12.75">
      <c r="A54" s="35" t="s">
        <v>40</v>
      </c>
      <c r="B54" s="19"/>
      <c r="C54" s="20"/>
      <c r="D54" s="21"/>
      <c r="E54" s="22"/>
      <c r="F54" s="22"/>
      <c r="G54" s="22"/>
      <c r="H54" s="23"/>
      <c r="I54" s="28"/>
      <c r="J54" s="25"/>
      <c r="K54" s="26"/>
      <c r="L54" s="26"/>
      <c r="M54" s="27"/>
      <c r="N54" s="28"/>
      <c r="O54" s="25"/>
      <c r="P54" s="26"/>
      <c r="Q54" s="30"/>
      <c r="R54" s="31"/>
      <c r="S54" s="28"/>
      <c r="T54" s="32"/>
      <c r="U54" s="33"/>
      <c r="V54" s="33"/>
      <c r="W54" s="34"/>
    </row>
    <row r="55" spans="1:23" ht="12.75">
      <c r="A55" s="18" t="s">
        <v>147</v>
      </c>
      <c r="B55" s="36" t="s">
        <v>41</v>
      </c>
      <c r="C55" s="20"/>
      <c r="D55" s="21">
        <v>1265004</v>
      </c>
      <c r="E55" s="22">
        <v>1265004</v>
      </c>
      <c r="F55" s="22">
        <v>966553.15</v>
      </c>
      <c r="G55" s="22">
        <v>632152</v>
      </c>
      <c r="H55" s="23">
        <v>0</v>
      </c>
      <c r="I55" s="24"/>
      <c r="J55" s="25"/>
      <c r="K55" s="26">
        <v>0</v>
      </c>
      <c r="L55" s="26">
        <v>0</v>
      </c>
      <c r="M55" s="27">
        <v>0</v>
      </c>
      <c r="N55" s="28"/>
      <c r="O55" s="25"/>
      <c r="P55" s="26">
        <v>0</v>
      </c>
      <c r="Q55" s="30">
        <v>0</v>
      </c>
      <c r="R55" s="31">
        <v>0</v>
      </c>
      <c r="S55" s="28"/>
      <c r="T55" s="32">
        <v>0</v>
      </c>
      <c r="U55" s="33">
        <v>0</v>
      </c>
      <c r="V55" s="33">
        <v>0</v>
      </c>
      <c r="W55" s="34">
        <v>0</v>
      </c>
    </row>
    <row r="56" spans="1:23" ht="12.75">
      <c r="A56" s="18" t="s">
        <v>148</v>
      </c>
      <c r="B56" s="36" t="s">
        <v>74</v>
      </c>
      <c r="C56" s="20"/>
      <c r="D56" s="21">
        <v>1705404</v>
      </c>
      <c r="E56" s="22">
        <v>1705404</v>
      </c>
      <c r="F56" s="22">
        <v>525073.7866963674</v>
      </c>
      <c r="G56" s="22">
        <v>-269202.4033036325</v>
      </c>
      <c r="H56" s="23">
        <v>451023.8624</v>
      </c>
      <c r="I56" s="24"/>
      <c r="J56" s="25"/>
      <c r="K56" s="26">
        <v>435.89619999999996</v>
      </c>
      <c r="L56" s="26">
        <v>435.89619999999996</v>
      </c>
      <c r="M56" s="27">
        <v>814.27</v>
      </c>
      <c r="N56" s="28"/>
      <c r="O56" s="25"/>
      <c r="P56" s="26">
        <v>2167546.05</v>
      </c>
      <c r="Q56" s="30">
        <v>2167546.05</v>
      </c>
      <c r="R56" s="31">
        <v>3726813.52</v>
      </c>
      <c r="S56" s="28"/>
      <c r="T56" s="32">
        <v>0</v>
      </c>
      <c r="U56" s="33">
        <v>0</v>
      </c>
      <c r="V56" s="33">
        <v>0</v>
      </c>
      <c r="W56" s="34">
        <v>0</v>
      </c>
    </row>
    <row r="57" spans="1:23" ht="12.75">
      <c r="A57" s="18" t="s">
        <v>149</v>
      </c>
      <c r="B57" s="36" t="s">
        <v>92</v>
      </c>
      <c r="C57" s="20"/>
      <c r="D57" s="21">
        <v>236652</v>
      </c>
      <c r="E57" s="22">
        <v>236652</v>
      </c>
      <c r="F57" s="22">
        <v>22143.06814440045</v>
      </c>
      <c r="G57" s="22">
        <v>1667.6048447895482</v>
      </c>
      <c r="H57" s="23">
        <v>0</v>
      </c>
      <c r="I57" s="24"/>
      <c r="J57" s="25"/>
      <c r="K57" s="26">
        <v>0</v>
      </c>
      <c r="L57" s="26">
        <v>0</v>
      </c>
      <c r="M57" s="27">
        <v>0</v>
      </c>
      <c r="N57" s="28"/>
      <c r="O57" s="25"/>
      <c r="P57" s="26">
        <v>0</v>
      </c>
      <c r="Q57" s="30">
        <v>0</v>
      </c>
      <c r="R57" s="31">
        <v>0</v>
      </c>
      <c r="S57" s="28"/>
      <c r="T57" s="32">
        <v>0</v>
      </c>
      <c r="U57" s="33">
        <v>0</v>
      </c>
      <c r="V57" s="33">
        <v>0</v>
      </c>
      <c r="W57" s="34">
        <v>0</v>
      </c>
    </row>
    <row r="58" spans="1:23" ht="12.75">
      <c r="A58" s="18" t="s">
        <v>150</v>
      </c>
      <c r="B58" s="36" t="s">
        <v>19</v>
      </c>
      <c r="C58" s="20"/>
      <c r="D58" s="21">
        <v>1329036</v>
      </c>
      <c r="E58" s="22">
        <v>1329036</v>
      </c>
      <c r="F58" s="22">
        <v>145066.00632007464</v>
      </c>
      <c r="G58" s="22">
        <v>25902.236320074633</v>
      </c>
      <c r="H58" s="23">
        <v>0</v>
      </c>
      <c r="I58" s="24"/>
      <c r="J58" s="25"/>
      <c r="K58" s="26">
        <v>0</v>
      </c>
      <c r="L58" s="26">
        <v>0</v>
      </c>
      <c r="M58" s="27">
        <v>0</v>
      </c>
      <c r="N58" s="28"/>
      <c r="O58" s="25"/>
      <c r="P58" s="26">
        <v>0</v>
      </c>
      <c r="Q58" s="30">
        <v>0</v>
      </c>
      <c r="R58" s="31">
        <v>0</v>
      </c>
      <c r="S58" s="28"/>
      <c r="T58" s="32">
        <v>0</v>
      </c>
      <c r="U58" s="33">
        <v>0</v>
      </c>
      <c r="V58" s="33">
        <v>0</v>
      </c>
      <c r="W58" s="34">
        <v>0</v>
      </c>
    </row>
    <row r="59" spans="1:23" ht="12.75">
      <c r="A59" s="18" t="s">
        <v>151</v>
      </c>
      <c r="B59" s="36" t="s">
        <v>20</v>
      </c>
      <c r="C59" s="20"/>
      <c r="D59" s="21">
        <v>489348</v>
      </c>
      <c r="E59" s="22">
        <v>489348</v>
      </c>
      <c r="F59" s="22">
        <v>200796.60861157713</v>
      </c>
      <c r="G59" s="22">
        <v>37159.33654257495</v>
      </c>
      <c r="H59" s="23">
        <v>0</v>
      </c>
      <c r="I59" s="24"/>
      <c r="J59" s="25"/>
      <c r="K59" s="26">
        <v>0</v>
      </c>
      <c r="L59" s="26">
        <v>0</v>
      </c>
      <c r="M59" s="27">
        <v>0</v>
      </c>
      <c r="N59" s="28"/>
      <c r="O59" s="25"/>
      <c r="P59" s="26">
        <v>0</v>
      </c>
      <c r="Q59" s="30">
        <v>0</v>
      </c>
      <c r="R59" s="31">
        <v>0</v>
      </c>
      <c r="S59" s="28"/>
      <c r="T59" s="32">
        <v>0</v>
      </c>
      <c r="U59" s="33">
        <v>0</v>
      </c>
      <c r="V59" s="33">
        <v>0</v>
      </c>
      <c r="W59" s="34">
        <v>0</v>
      </c>
    </row>
    <row r="60" spans="1:23" ht="12.75">
      <c r="A60" s="18" t="s">
        <v>152</v>
      </c>
      <c r="B60" s="36" t="s">
        <v>103</v>
      </c>
      <c r="C60" s="20"/>
      <c r="D60" s="21">
        <v>331320</v>
      </c>
      <c r="E60" s="22">
        <v>331320</v>
      </c>
      <c r="F60" s="22">
        <v>170450.84625322215</v>
      </c>
      <c r="G60" s="22">
        <v>29749.626253222144</v>
      </c>
      <c r="H60" s="23">
        <v>0</v>
      </c>
      <c r="I60" s="24"/>
      <c r="J60" s="25"/>
      <c r="K60" s="26">
        <v>5.77</v>
      </c>
      <c r="L60" s="26">
        <v>5.77</v>
      </c>
      <c r="M60" s="27">
        <v>0</v>
      </c>
      <c r="N60" s="28"/>
      <c r="O60" s="25"/>
      <c r="P60" s="26">
        <v>26565.13</v>
      </c>
      <c r="Q60" s="30">
        <v>26565.13</v>
      </c>
      <c r="R60" s="31">
        <v>0</v>
      </c>
      <c r="S60" s="28"/>
      <c r="T60" s="32">
        <v>0</v>
      </c>
      <c r="U60" s="33">
        <v>0</v>
      </c>
      <c r="V60" s="33">
        <v>0</v>
      </c>
      <c r="W60" s="34">
        <v>0</v>
      </c>
    </row>
    <row r="61" spans="1:23" ht="12.75">
      <c r="A61" s="18" t="s">
        <v>153</v>
      </c>
      <c r="B61" s="36" t="s">
        <v>18</v>
      </c>
      <c r="C61" s="20"/>
      <c r="D61" s="21">
        <v>28224</v>
      </c>
      <c r="E61" s="22">
        <v>28224</v>
      </c>
      <c r="F61" s="22">
        <v>122951.20033888734</v>
      </c>
      <c r="G61" s="22">
        <v>49083.18033888734</v>
      </c>
      <c r="H61" s="23">
        <v>15603.897</v>
      </c>
      <c r="I61" s="24"/>
      <c r="J61" s="25"/>
      <c r="K61" s="26">
        <v>24.18</v>
      </c>
      <c r="L61" s="26">
        <v>24.18</v>
      </c>
      <c r="M61" s="27">
        <v>7.29</v>
      </c>
      <c r="N61" s="28"/>
      <c r="O61" s="25"/>
      <c r="P61" s="26">
        <v>211843.1</v>
      </c>
      <c r="Q61" s="30">
        <v>211843.1</v>
      </c>
      <c r="R61" s="31">
        <v>181943.3</v>
      </c>
      <c r="S61" s="28"/>
      <c r="T61" s="32">
        <v>0</v>
      </c>
      <c r="U61" s="33">
        <v>0</v>
      </c>
      <c r="V61" s="33">
        <v>0</v>
      </c>
      <c r="W61" s="34">
        <v>0</v>
      </c>
    </row>
    <row r="62" spans="1:23" ht="12.75">
      <c r="A62" s="18" t="s">
        <v>154</v>
      </c>
      <c r="B62" s="36" t="s">
        <v>104</v>
      </c>
      <c r="C62" s="20"/>
      <c r="D62" s="21">
        <v>615900</v>
      </c>
      <c r="E62" s="22">
        <v>615900</v>
      </c>
      <c r="F62" s="22">
        <v>13610.68</v>
      </c>
      <c r="G62" s="22">
        <v>2495.21</v>
      </c>
      <c r="H62" s="23">
        <v>0</v>
      </c>
      <c r="I62" s="24"/>
      <c r="J62" s="25"/>
      <c r="K62" s="26">
        <v>644.5125</v>
      </c>
      <c r="L62" s="26">
        <v>0</v>
      </c>
      <c r="M62" s="27">
        <v>0</v>
      </c>
      <c r="N62" s="28"/>
      <c r="O62" s="25"/>
      <c r="P62" s="26">
        <v>1211198</v>
      </c>
      <c r="Q62" s="30">
        <v>0</v>
      </c>
      <c r="R62" s="31">
        <v>0</v>
      </c>
      <c r="S62" s="28"/>
      <c r="T62" s="32">
        <v>0</v>
      </c>
      <c r="U62" s="33">
        <v>0</v>
      </c>
      <c r="V62" s="33">
        <v>0</v>
      </c>
      <c r="W62" s="34">
        <v>0</v>
      </c>
    </row>
    <row r="63" spans="1:23" ht="12.75">
      <c r="A63" s="35" t="s">
        <v>98</v>
      </c>
      <c r="B63" s="19"/>
      <c r="C63" s="20"/>
      <c r="D63" s="21"/>
      <c r="E63" s="22"/>
      <c r="F63" s="22"/>
      <c r="G63" s="22"/>
      <c r="H63" s="23"/>
      <c r="I63" s="28"/>
      <c r="J63" s="25"/>
      <c r="K63" s="26"/>
      <c r="L63" s="26"/>
      <c r="M63" s="27"/>
      <c r="N63" s="28"/>
      <c r="O63" s="25"/>
      <c r="P63" s="26"/>
      <c r="Q63" s="30"/>
      <c r="R63" s="31"/>
      <c r="S63" s="28"/>
      <c r="T63" s="32"/>
      <c r="U63" s="33"/>
      <c r="V63" s="33"/>
      <c r="W63" s="34"/>
    </row>
    <row r="64" spans="1:23" ht="12.75">
      <c r="A64" s="18" t="s">
        <v>155</v>
      </c>
      <c r="B64" s="19" t="s">
        <v>99</v>
      </c>
      <c r="C64" s="20"/>
      <c r="D64" s="21">
        <v>4197775.123480262</v>
      </c>
      <c r="E64" s="22">
        <v>4197775.123480262</v>
      </c>
      <c r="F64" s="22">
        <f>3286.54*(D64/SUM($D$64:$D$66))+0</f>
        <v>2398.0135880668745</v>
      </c>
      <c r="G64" s="22">
        <v>374.50584333283155</v>
      </c>
      <c r="H64" s="23">
        <v>0</v>
      </c>
      <c r="I64" s="24"/>
      <c r="J64" s="25"/>
      <c r="K64" s="26">
        <v>0</v>
      </c>
      <c r="L64" s="26">
        <v>0</v>
      </c>
      <c r="M64" s="27">
        <v>0</v>
      </c>
      <c r="N64" s="28"/>
      <c r="O64" s="25"/>
      <c r="P64" s="26">
        <v>0</v>
      </c>
      <c r="Q64" s="30">
        <v>0</v>
      </c>
      <c r="R64" s="31">
        <v>0</v>
      </c>
      <c r="S64" s="28"/>
      <c r="T64" s="32">
        <v>0</v>
      </c>
      <c r="U64" s="33">
        <v>0</v>
      </c>
      <c r="V64" s="33">
        <v>0</v>
      </c>
      <c r="W64" s="34">
        <v>0</v>
      </c>
    </row>
    <row r="65" spans="1:23" ht="12.75">
      <c r="A65" s="18" t="s">
        <v>156</v>
      </c>
      <c r="B65" s="19" t="s">
        <v>100</v>
      </c>
      <c r="C65" s="20"/>
      <c r="D65" s="21">
        <v>851011.9837075335</v>
      </c>
      <c r="E65" s="22">
        <v>851011.9837075335</v>
      </c>
      <c r="F65" s="22">
        <f>3286.54*(D65/SUM($D$64:$D$66))+0</f>
        <v>486.1475997424297</v>
      </c>
      <c r="G65" s="22">
        <v>75.9233049102694</v>
      </c>
      <c r="H65" s="23">
        <v>0</v>
      </c>
      <c r="I65" s="24"/>
      <c r="J65" s="25"/>
      <c r="K65" s="26">
        <v>0</v>
      </c>
      <c r="L65" s="26">
        <v>0</v>
      </c>
      <c r="M65" s="27">
        <v>0</v>
      </c>
      <c r="N65" s="28"/>
      <c r="O65" s="25"/>
      <c r="P65" s="26">
        <v>0</v>
      </c>
      <c r="Q65" s="30">
        <v>0</v>
      </c>
      <c r="R65" s="31">
        <v>0</v>
      </c>
      <c r="S65" s="28"/>
      <c r="T65" s="32">
        <v>0</v>
      </c>
      <c r="U65" s="33">
        <v>0</v>
      </c>
      <c r="V65" s="33">
        <v>0</v>
      </c>
      <c r="W65" s="34">
        <v>0</v>
      </c>
    </row>
    <row r="66" spans="1:23" ht="12.75">
      <c r="A66" s="18" t="s">
        <v>157</v>
      </c>
      <c r="B66" s="19" t="s">
        <v>87</v>
      </c>
      <c r="C66" s="20"/>
      <c r="D66" s="21">
        <v>704372.8928122048</v>
      </c>
      <c r="E66" s="22">
        <v>704372.8928122048</v>
      </c>
      <c r="F66" s="22">
        <f>3286.54*(D66/SUM($D$64:$D$66))+616.55</f>
        <v>1018.9288121906958</v>
      </c>
      <c r="G66" s="22">
        <v>498.93085175689885</v>
      </c>
      <c r="H66" s="23">
        <v>0</v>
      </c>
      <c r="I66" s="24"/>
      <c r="J66" s="25"/>
      <c r="K66" s="26">
        <v>0</v>
      </c>
      <c r="L66" s="26">
        <v>0</v>
      </c>
      <c r="M66" s="27">
        <v>0</v>
      </c>
      <c r="N66" s="28"/>
      <c r="O66" s="25"/>
      <c r="P66" s="26">
        <v>0</v>
      </c>
      <c r="Q66" s="30">
        <v>0</v>
      </c>
      <c r="R66" s="31">
        <v>0</v>
      </c>
      <c r="S66" s="28"/>
      <c r="T66" s="32">
        <v>0</v>
      </c>
      <c r="U66" s="33">
        <v>0</v>
      </c>
      <c r="V66" s="33">
        <v>0</v>
      </c>
      <c r="W66" s="34">
        <v>0</v>
      </c>
    </row>
    <row r="67" spans="1:23" ht="13.5" thickBot="1">
      <c r="A67" s="37"/>
      <c r="B67" s="38"/>
      <c r="C67" s="39"/>
      <c r="D67" s="40"/>
      <c r="E67" s="41"/>
      <c r="F67" s="42"/>
      <c r="G67" s="42"/>
      <c r="H67" s="43"/>
      <c r="I67" s="44"/>
      <c r="J67" s="45"/>
      <c r="K67" s="46"/>
      <c r="L67" s="46"/>
      <c r="M67" s="47"/>
      <c r="N67" s="44"/>
      <c r="O67" s="45"/>
      <c r="P67" s="46"/>
      <c r="Q67" s="46"/>
      <c r="R67" s="47"/>
      <c r="S67" s="44"/>
      <c r="T67" s="48"/>
      <c r="U67" s="49"/>
      <c r="V67" s="49"/>
      <c r="W67" s="50"/>
    </row>
    <row r="68" spans="1:23" ht="13.5" thickBot="1">
      <c r="A68" s="166" t="s">
        <v>16</v>
      </c>
      <c r="B68" s="167"/>
      <c r="C68" s="51"/>
      <c r="D68" s="52">
        <f>SUM(D8:D66)</f>
        <v>245896427.99999997</v>
      </c>
      <c r="E68" s="53">
        <f>SUM(E8:E66)</f>
        <v>245896427.99999997</v>
      </c>
      <c r="F68" s="54">
        <f>SUM(F8:F66)</f>
        <v>85783307.96605204</v>
      </c>
      <c r="G68" s="55">
        <f>SUM(G8:G66)</f>
        <v>18409781.007200327</v>
      </c>
      <c r="H68" s="56">
        <f>SUM(H8:H66)</f>
        <v>42341106.74949674</v>
      </c>
      <c r="I68" s="57"/>
      <c r="J68" s="58">
        <f>SUM(J8:J66)</f>
        <v>0</v>
      </c>
      <c r="K68" s="59">
        <f>SUM(K8:K66)</f>
        <v>109076.42252327615</v>
      </c>
      <c r="L68" s="59">
        <f>SUM(L8:L66)</f>
        <v>18030.767876483882</v>
      </c>
      <c r="M68" s="60">
        <f>SUM(M8:M66)</f>
        <v>88032.28089200456</v>
      </c>
      <c r="N68" s="57"/>
      <c r="O68" s="58">
        <f>SUM(O8:O66)</f>
        <v>0</v>
      </c>
      <c r="P68" s="59">
        <f>SUM(P8:P66)</f>
        <v>637167517.1534736</v>
      </c>
      <c r="Q68" s="59">
        <f>SUM(Q8:Q66)</f>
        <v>116888079.97194545</v>
      </c>
      <c r="R68" s="60">
        <f>SUM(R8:R66)</f>
        <v>631540553.0254992</v>
      </c>
      <c r="S68" s="57"/>
      <c r="T68" s="58">
        <v>0</v>
      </c>
      <c r="U68" s="61">
        <v>0</v>
      </c>
      <c r="V68" s="61">
        <v>0</v>
      </c>
      <c r="W68" s="62">
        <v>0</v>
      </c>
    </row>
    <row r="69" spans="3:18" ht="13.5" thickBot="1">
      <c r="C69" s="63"/>
      <c r="F69" s="64"/>
      <c r="G69" s="64"/>
      <c r="J69" s="65"/>
      <c r="K69" s="66"/>
      <c r="L69" s="66"/>
      <c r="M69" s="66"/>
      <c r="P69" s="66"/>
      <c r="Q69" s="67"/>
      <c r="R69" s="66"/>
    </row>
    <row r="70" spans="1:23" ht="13.5" thickBot="1">
      <c r="A70" s="68"/>
      <c r="B70" s="69" t="s">
        <v>93</v>
      </c>
      <c r="C70" s="70"/>
      <c r="D70" s="71">
        <v>55742000</v>
      </c>
      <c r="E70" s="72">
        <v>55742000</v>
      </c>
      <c r="F70" s="73">
        <v>20878609.05</v>
      </c>
      <c r="G70" s="73">
        <v>2843154.27</v>
      </c>
      <c r="H70" s="85">
        <f>R70*0.75</f>
        <v>1743023.9025</v>
      </c>
      <c r="I70" s="74"/>
      <c r="J70" s="75"/>
      <c r="K70" s="76">
        <v>3017.2150821800005</v>
      </c>
      <c r="L70" s="76">
        <v>406.5888542799994</v>
      </c>
      <c r="M70" s="77">
        <v>794.64</v>
      </c>
      <c r="N70" s="78"/>
      <c r="O70" s="75"/>
      <c r="P70" s="76">
        <v>11093867.937999997</v>
      </c>
      <c r="Q70" s="76">
        <v>1558006.0779999997</v>
      </c>
      <c r="R70" s="77">
        <v>2324031.87</v>
      </c>
      <c r="S70" s="78"/>
      <c r="T70" s="75">
        <v>0</v>
      </c>
      <c r="U70" s="79">
        <v>0</v>
      </c>
      <c r="V70" s="79">
        <v>0</v>
      </c>
      <c r="W70" s="80">
        <v>0</v>
      </c>
    </row>
    <row r="71" spans="3:18" ht="13.5" thickBot="1">
      <c r="C71" s="63"/>
      <c r="G71" s="81"/>
      <c r="J71" s="65"/>
      <c r="K71" s="66"/>
      <c r="L71" s="66"/>
      <c r="M71" s="66"/>
      <c r="P71" s="66"/>
      <c r="Q71" s="67"/>
      <c r="R71" s="66"/>
    </row>
    <row r="72" spans="1:23" ht="13.5" thickBot="1">
      <c r="A72" s="166" t="s">
        <v>88</v>
      </c>
      <c r="B72" s="167"/>
      <c r="C72" s="82"/>
      <c r="D72" s="83">
        <f>SUM(D68:D70)</f>
        <v>301638428</v>
      </c>
      <c r="E72" s="73">
        <f>SUM(E68:E70)</f>
        <v>301638428</v>
      </c>
      <c r="F72" s="84">
        <f>SUM(F68:F70)</f>
        <v>106661917.01605204</v>
      </c>
      <c r="G72" s="73">
        <f>SUM(G68:G70)</f>
        <v>21252935.277200326</v>
      </c>
      <c r="H72" s="85">
        <f>SUM(H68:H70)</f>
        <v>44084130.65199675</v>
      </c>
      <c r="I72" s="86"/>
      <c r="J72" s="87">
        <f>SUM(J68:J70)</f>
        <v>0</v>
      </c>
      <c r="K72" s="76">
        <f>SUM(K68:K70)</f>
        <v>112093.63760545616</v>
      </c>
      <c r="L72" s="76">
        <f>SUM(L68:L70)</f>
        <v>18437.35673076388</v>
      </c>
      <c r="M72" s="77">
        <f>SUM(M68:M70)</f>
        <v>88826.92089200456</v>
      </c>
      <c r="N72" s="86"/>
      <c r="O72" s="87">
        <f>SUM(O68:O70)</f>
        <v>0</v>
      </c>
      <c r="P72" s="76">
        <f>SUM(P68:P70)</f>
        <v>648261385.0914736</v>
      </c>
      <c r="Q72" s="76">
        <f>SUM(Q68:Q70)</f>
        <v>118446086.04994544</v>
      </c>
      <c r="R72" s="77">
        <f>SUM(R68:R70)</f>
        <v>633864584.8954992</v>
      </c>
      <c r="S72" s="86"/>
      <c r="T72" s="75">
        <v>0</v>
      </c>
      <c r="U72" s="79">
        <v>0</v>
      </c>
      <c r="V72" s="79">
        <v>0</v>
      </c>
      <c r="W72" s="80">
        <v>0</v>
      </c>
    </row>
    <row r="73" spans="1:18" ht="14.25">
      <c r="A73" s="88" t="s">
        <v>0</v>
      </c>
      <c r="C73" s="63"/>
      <c r="H73" s="65"/>
      <c r="K73" s="89"/>
      <c r="L73" s="89"/>
      <c r="P73" s="90"/>
      <c r="R73" s="91"/>
    </row>
    <row r="74" spans="4:34" ht="12.75">
      <c r="D74" s="67"/>
      <c r="E74" s="67"/>
      <c r="F74" s="67"/>
      <c r="G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</row>
    <row r="75" spans="4:34" ht="12.75">
      <c r="D75" s="67"/>
      <c r="E75" s="67"/>
      <c r="F75" s="67"/>
      <c r="G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</row>
    <row r="76" spans="4:7" ht="12.75">
      <c r="D76" s="67"/>
      <c r="E76" s="67"/>
      <c r="F76" s="67"/>
      <c r="G76" s="67"/>
    </row>
  </sheetData>
  <mergeCells count="8">
    <mergeCell ref="A72:B72"/>
    <mergeCell ref="J6:M6"/>
    <mergeCell ref="O6:R6"/>
    <mergeCell ref="T6:W6"/>
    <mergeCell ref="A68:B68"/>
    <mergeCell ref="B6:B7"/>
    <mergeCell ref="A6:A7"/>
    <mergeCell ref="D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0" customWidth="1"/>
    <col min="2" max="2" width="17.140625" style="0" customWidth="1"/>
    <col min="3" max="13" width="17.7109375" style="0" customWidth="1"/>
  </cols>
  <sheetData>
    <row r="1" spans="1:2" ht="20.25">
      <c r="A1" s="93" t="str">
        <f>'Program Costs &amp; Impacts'!A1</f>
        <v>Southern California Edison</v>
      </c>
      <c r="B1" s="94"/>
    </row>
    <row r="2" spans="1:2" ht="20.25">
      <c r="A2" s="93" t="str">
        <f>'Program Costs &amp; Impacts'!A2</f>
        <v>2009 Bridge Funding Monthly Energy Efficiency Program Data Report</v>
      </c>
      <c r="B2" s="94"/>
    </row>
    <row r="3" spans="1:2" ht="20.25">
      <c r="A3" s="93" t="str">
        <f>'Program Costs &amp; Impacts'!A3</f>
        <v>Report Month: July 2009</v>
      </c>
      <c r="B3" s="96"/>
    </row>
    <row r="5" spans="1:2" ht="16.5" thickBot="1">
      <c r="A5" s="95" t="s">
        <v>81</v>
      </c>
      <c r="B5" s="96"/>
    </row>
    <row r="6" spans="1:2" ht="15">
      <c r="A6" s="97" t="s">
        <v>82</v>
      </c>
      <c r="B6" s="98">
        <f>'Program Costs &amp; Impacts'!D68</f>
        <v>245896427.99999997</v>
      </c>
    </row>
    <row r="7" spans="1:2" ht="15">
      <c r="A7" s="99" t="s">
        <v>83</v>
      </c>
      <c r="B7" s="100">
        <f>'Program Costs &amp; Impacts'!F68</f>
        <v>85783307.96605204</v>
      </c>
    </row>
    <row r="8" spans="1:2" ht="15">
      <c r="A8" s="99" t="s">
        <v>84</v>
      </c>
      <c r="B8" s="100">
        <f>'Program Costs &amp; Impacts'!G68</f>
        <v>18409781.007200327</v>
      </c>
    </row>
    <row r="9" spans="1:2" ht="15.75" thickBot="1">
      <c r="A9" s="101" t="s">
        <v>85</v>
      </c>
      <c r="B9" s="102">
        <f>'Program Costs &amp; Impacts'!H68</f>
        <v>42341106.74949674</v>
      </c>
    </row>
    <row r="12" spans="1:2" ht="16.5" thickBot="1">
      <c r="A12" s="95" t="s">
        <v>86</v>
      </c>
      <c r="B12" s="96"/>
    </row>
    <row r="13" spans="1:2" ht="15">
      <c r="A13" s="103" t="s">
        <v>55</v>
      </c>
      <c r="B13" s="104">
        <f>'Program Costs &amp; Impacts'!L72</f>
        <v>18437.35673076388</v>
      </c>
    </row>
    <row r="14" spans="1:2" ht="15">
      <c r="A14" s="105" t="s">
        <v>56</v>
      </c>
      <c r="B14" s="106">
        <f>'Program Costs &amp; Impacts'!Q72</f>
        <v>118446086.04994544</v>
      </c>
    </row>
    <row r="15" spans="1:2" ht="15">
      <c r="A15" s="105" t="s">
        <v>57</v>
      </c>
      <c r="B15" s="106">
        <f>'Program Costs &amp; Impacts'!V72</f>
        <v>0</v>
      </c>
    </row>
    <row r="16" spans="1:2" ht="30">
      <c r="A16" s="107" t="s">
        <v>46</v>
      </c>
      <c r="B16" s="108">
        <f>'Program Costs &amp; Impacts'!M72</f>
        <v>88826.92089200456</v>
      </c>
    </row>
    <row r="17" spans="1:20" ht="30">
      <c r="A17" s="107" t="s">
        <v>47</v>
      </c>
      <c r="B17" s="108">
        <f>'Program Costs &amp; Impacts'!R72</f>
        <v>633864584.8954992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spans="1:20" ht="30.75" thickBot="1">
      <c r="A18" s="109" t="s">
        <v>109</v>
      </c>
      <c r="B18" s="110">
        <f>'Program Costs &amp; Impacts'!W72</f>
        <v>0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spans="1:20" ht="15">
      <c r="A19" s="111"/>
      <c r="B19" s="112"/>
      <c r="C19" s="112"/>
      <c r="D19" s="112"/>
      <c r="E19" s="112"/>
      <c r="F19" s="112"/>
      <c r="G19" s="112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spans="1:20" ht="15">
      <c r="A20" s="111"/>
      <c r="B20" s="112"/>
      <c r="C20" s="112"/>
      <c r="D20" s="112"/>
      <c r="E20" s="112"/>
      <c r="F20" s="112"/>
      <c r="G20" s="112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spans="1:20" ht="16.5" thickBot="1">
      <c r="A21" s="95" t="s">
        <v>110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spans="1:20" ht="15">
      <c r="A22" s="113"/>
      <c r="B22" s="174" t="s">
        <v>111</v>
      </c>
      <c r="C22" s="175"/>
      <c r="D22" s="176"/>
      <c r="E22" s="174" t="s">
        <v>35</v>
      </c>
      <c r="F22" s="175"/>
      <c r="G22" s="176"/>
      <c r="H22" s="174" t="s">
        <v>36</v>
      </c>
      <c r="I22" s="175"/>
      <c r="J22" s="176"/>
      <c r="K22" s="174" t="s">
        <v>37</v>
      </c>
      <c r="L22" s="175"/>
      <c r="M22" s="177"/>
      <c r="N22" s="96"/>
      <c r="O22" s="96"/>
      <c r="P22" s="96"/>
      <c r="Q22" s="96"/>
      <c r="R22" s="96"/>
      <c r="S22" s="96"/>
      <c r="T22" s="96"/>
    </row>
    <row r="23" spans="1:20" ht="15">
      <c r="A23" s="114"/>
      <c r="B23" s="115">
        <v>2009</v>
      </c>
      <c r="C23" s="115">
        <v>2010</v>
      </c>
      <c r="D23" s="115">
        <v>2011</v>
      </c>
      <c r="E23" s="116">
        <v>2009</v>
      </c>
      <c r="F23" s="115">
        <v>2010</v>
      </c>
      <c r="G23" s="115">
        <v>2011</v>
      </c>
      <c r="H23" s="116">
        <v>2009</v>
      </c>
      <c r="I23" s="115">
        <v>2010</v>
      </c>
      <c r="J23" s="115">
        <v>2011</v>
      </c>
      <c r="K23" s="116">
        <v>2009</v>
      </c>
      <c r="L23" s="115">
        <v>2010</v>
      </c>
      <c r="M23" s="117">
        <v>2011</v>
      </c>
      <c r="N23" s="96"/>
      <c r="O23" s="96"/>
      <c r="P23" s="96"/>
      <c r="Q23" s="96"/>
      <c r="R23" s="96"/>
      <c r="S23" s="96"/>
      <c r="T23" s="96"/>
    </row>
    <row r="24" spans="1:20" ht="15">
      <c r="A24" s="118" t="s">
        <v>25</v>
      </c>
      <c r="B24" s="119">
        <v>249000</v>
      </c>
      <c r="C24" s="119">
        <v>247000</v>
      </c>
      <c r="D24" s="119">
        <v>245000</v>
      </c>
      <c r="E24" s="119">
        <v>0</v>
      </c>
      <c r="F24" s="119">
        <v>0</v>
      </c>
      <c r="G24" s="119">
        <v>0</v>
      </c>
      <c r="H24" s="119">
        <f>'Program Costs &amp; Impacts'!K72</f>
        <v>112093.63760545616</v>
      </c>
      <c r="I24" s="119">
        <v>0</v>
      </c>
      <c r="J24" s="119">
        <v>0</v>
      </c>
      <c r="K24" s="120">
        <f>H24/B24</f>
        <v>0.4501752514275348</v>
      </c>
      <c r="L24" s="119">
        <v>0</v>
      </c>
      <c r="M24" s="121">
        <v>0</v>
      </c>
      <c r="N24" s="96"/>
      <c r="O24" s="96"/>
      <c r="P24" s="96"/>
      <c r="Q24" s="96"/>
      <c r="R24" s="96"/>
      <c r="S24" s="96"/>
      <c r="T24" s="96"/>
    </row>
    <row r="25" spans="1:20" ht="15">
      <c r="A25" s="122" t="s">
        <v>26</v>
      </c>
      <c r="B25" s="119">
        <v>1189000000</v>
      </c>
      <c r="C25" s="119">
        <v>1176000000</v>
      </c>
      <c r="D25" s="119">
        <v>1164000000</v>
      </c>
      <c r="E25" s="119">
        <v>0</v>
      </c>
      <c r="F25" s="119">
        <v>0</v>
      </c>
      <c r="G25" s="119">
        <v>0</v>
      </c>
      <c r="H25" s="119">
        <f>'Program Costs &amp; Impacts'!P72</f>
        <v>648261385.0914736</v>
      </c>
      <c r="I25" s="119">
        <v>0</v>
      </c>
      <c r="J25" s="119">
        <v>0</v>
      </c>
      <c r="K25" s="120">
        <f>H25/B25</f>
        <v>0.5452156308591031</v>
      </c>
      <c r="L25" s="119">
        <v>0</v>
      </c>
      <c r="M25" s="121">
        <v>0</v>
      </c>
      <c r="N25" s="96"/>
      <c r="O25" s="96"/>
      <c r="P25" s="96"/>
      <c r="Q25" s="96"/>
      <c r="R25" s="96"/>
      <c r="S25" s="96"/>
      <c r="T25" s="96"/>
    </row>
    <row r="26" spans="1:20" ht="15.75" thickBot="1">
      <c r="A26" s="123" t="s">
        <v>27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5">
        <f>IF(E26&lt;0,H26/E26,0)</f>
        <v>0</v>
      </c>
      <c r="L26" s="124">
        <v>0</v>
      </c>
      <c r="M26" s="126">
        <v>0</v>
      </c>
      <c r="N26" s="96"/>
      <c r="O26" s="96"/>
      <c r="P26" s="96"/>
      <c r="Q26" s="96"/>
      <c r="R26" s="96"/>
      <c r="S26" s="96"/>
      <c r="T26" s="96"/>
    </row>
    <row r="27" spans="1:20" ht="15">
      <c r="A27" s="127"/>
      <c r="B27" s="96"/>
      <c r="C27" s="128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</row>
    <row r="29" spans="1:20" ht="16.5" thickBot="1">
      <c r="A29" s="95" t="s">
        <v>170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</row>
    <row r="30" spans="1:20" ht="15">
      <c r="A30" s="129"/>
      <c r="B30" s="174" t="s">
        <v>64</v>
      </c>
      <c r="C30" s="175"/>
      <c r="D30" s="176"/>
      <c r="E30" s="174" t="s">
        <v>65</v>
      </c>
      <c r="F30" s="175"/>
      <c r="G30" s="176"/>
      <c r="H30" s="174" t="s">
        <v>66</v>
      </c>
      <c r="I30" s="175"/>
      <c r="J30" s="176"/>
      <c r="K30" s="174" t="s">
        <v>67</v>
      </c>
      <c r="L30" s="175"/>
      <c r="M30" s="177"/>
      <c r="N30" s="96"/>
      <c r="O30" s="96"/>
      <c r="P30" s="96"/>
      <c r="Q30" s="96"/>
      <c r="R30" s="96"/>
      <c r="S30" s="96"/>
      <c r="T30" s="96"/>
    </row>
    <row r="31" spans="1:20" ht="15">
      <c r="A31" s="130"/>
      <c r="B31" s="116">
        <v>2009</v>
      </c>
      <c r="C31" s="115">
        <v>2010</v>
      </c>
      <c r="D31" s="115">
        <v>2011</v>
      </c>
      <c r="E31" s="116">
        <v>2009</v>
      </c>
      <c r="F31" s="115">
        <v>2010</v>
      </c>
      <c r="G31" s="115">
        <v>2011</v>
      </c>
      <c r="H31" s="116">
        <v>2009</v>
      </c>
      <c r="I31" s="115">
        <v>2010</v>
      </c>
      <c r="J31" s="115">
        <v>2011</v>
      </c>
      <c r="K31" s="116">
        <v>2009</v>
      </c>
      <c r="L31" s="115">
        <v>2010</v>
      </c>
      <c r="M31" s="117">
        <v>2011</v>
      </c>
      <c r="N31" s="96"/>
      <c r="O31" s="96"/>
      <c r="P31" s="96"/>
      <c r="Q31" s="96"/>
      <c r="R31" s="96"/>
      <c r="S31" s="96"/>
      <c r="T31" s="96"/>
    </row>
    <row r="32" spans="1:20" ht="15">
      <c r="A32" s="118" t="s">
        <v>25</v>
      </c>
      <c r="B32" s="119">
        <v>249000</v>
      </c>
      <c r="C32" s="119">
        <v>247000</v>
      </c>
      <c r="D32" s="119">
        <v>245000</v>
      </c>
      <c r="E32" s="119">
        <v>0</v>
      </c>
      <c r="F32" s="119">
        <v>0</v>
      </c>
      <c r="G32" s="119">
        <v>0</v>
      </c>
      <c r="H32" s="119">
        <f>'Program Costs &amp; Impacts'!K72</f>
        <v>112093.63760545616</v>
      </c>
      <c r="I32" s="119">
        <v>0</v>
      </c>
      <c r="J32" s="119">
        <v>0</v>
      </c>
      <c r="K32" s="120">
        <f>H32/B32</f>
        <v>0.4501752514275348</v>
      </c>
      <c r="L32" s="119">
        <v>0</v>
      </c>
      <c r="M32" s="121">
        <v>0</v>
      </c>
      <c r="N32" s="96"/>
      <c r="O32" s="96"/>
      <c r="P32" s="96"/>
      <c r="Q32" s="96"/>
      <c r="R32" s="96"/>
      <c r="S32" s="96"/>
      <c r="T32" s="96"/>
    </row>
    <row r="33" spans="1:20" ht="15">
      <c r="A33" s="122" t="s">
        <v>26</v>
      </c>
      <c r="B33" s="119">
        <v>1189000000</v>
      </c>
      <c r="C33" s="119">
        <v>1176000000</v>
      </c>
      <c r="D33" s="119">
        <v>1164000000</v>
      </c>
      <c r="E33" s="119">
        <v>0</v>
      </c>
      <c r="F33" s="119">
        <v>0</v>
      </c>
      <c r="G33" s="119">
        <v>0</v>
      </c>
      <c r="H33" s="119">
        <f>'Program Costs &amp; Impacts'!P72</f>
        <v>648261385.0914736</v>
      </c>
      <c r="I33" s="119">
        <v>0</v>
      </c>
      <c r="J33" s="119">
        <v>0</v>
      </c>
      <c r="K33" s="120">
        <f>H33/B33</f>
        <v>0.5452156308591031</v>
      </c>
      <c r="L33" s="119">
        <v>0</v>
      </c>
      <c r="M33" s="121">
        <v>0</v>
      </c>
      <c r="N33" s="96"/>
      <c r="O33" s="96"/>
      <c r="P33" s="96"/>
      <c r="Q33" s="96"/>
      <c r="R33" s="96"/>
      <c r="S33" s="96"/>
      <c r="T33" s="96"/>
    </row>
    <row r="34" spans="1:20" ht="15.75" thickBot="1">
      <c r="A34" s="131" t="s">
        <v>27</v>
      </c>
      <c r="B34" s="124">
        <v>0</v>
      </c>
      <c r="C34" s="124">
        <v>0</v>
      </c>
      <c r="D34" s="124">
        <v>0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5">
        <f>IF(E34&lt;0,H34/E34,0)</f>
        <v>0</v>
      </c>
      <c r="L34" s="124">
        <v>0</v>
      </c>
      <c r="M34" s="126">
        <v>0</v>
      </c>
      <c r="N34" s="96"/>
      <c r="O34" s="96"/>
      <c r="P34" s="96"/>
      <c r="Q34" s="96"/>
      <c r="R34" s="96"/>
      <c r="S34" s="96"/>
      <c r="T34" s="96"/>
    </row>
    <row r="37" spans="1:20" ht="16.5" thickBot="1">
      <c r="A37" s="95" t="s">
        <v>171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ht="15">
      <c r="A38" s="129"/>
      <c r="B38" s="174" t="s">
        <v>64</v>
      </c>
      <c r="C38" s="175"/>
      <c r="D38" s="176"/>
      <c r="E38" s="174" t="s">
        <v>65</v>
      </c>
      <c r="F38" s="175"/>
      <c r="G38" s="176"/>
      <c r="H38" s="174" t="s">
        <v>66</v>
      </c>
      <c r="I38" s="175"/>
      <c r="J38" s="176"/>
      <c r="K38" s="174" t="s">
        <v>67</v>
      </c>
      <c r="L38" s="175"/>
      <c r="M38" s="177"/>
      <c r="N38" s="96"/>
      <c r="O38" s="96"/>
      <c r="P38" s="96"/>
      <c r="Q38" s="96"/>
      <c r="R38" s="96"/>
      <c r="S38" s="96"/>
      <c r="T38" s="96"/>
    </row>
    <row r="39" spans="1:20" ht="15">
      <c r="A39" s="130"/>
      <c r="B39" s="116">
        <v>2009</v>
      </c>
      <c r="C39" s="115">
        <v>2010</v>
      </c>
      <c r="D39" s="115">
        <v>2011</v>
      </c>
      <c r="E39" s="116">
        <v>2009</v>
      </c>
      <c r="F39" s="115">
        <v>2010</v>
      </c>
      <c r="G39" s="115">
        <v>2011</v>
      </c>
      <c r="H39" s="116">
        <v>2009</v>
      </c>
      <c r="I39" s="115">
        <v>2010</v>
      </c>
      <c r="J39" s="115">
        <v>2011</v>
      </c>
      <c r="K39" s="116">
        <v>2009</v>
      </c>
      <c r="L39" s="115">
        <v>2010</v>
      </c>
      <c r="M39" s="117">
        <v>2011</v>
      </c>
      <c r="N39" s="96"/>
      <c r="O39" s="96"/>
      <c r="P39" s="96"/>
      <c r="Q39" s="96"/>
      <c r="R39" s="96"/>
      <c r="S39" s="96"/>
      <c r="T39" s="96"/>
    </row>
    <row r="40" spans="1:20" ht="15">
      <c r="A40" s="132" t="s">
        <v>25</v>
      </c>
      <c r="B40" s="119">
        <v>1255000</v>
      </c>
      <c r="C40" s="119">
        <v>1502000</v>
      </c>
      <c r="D40" s="119">
        <v>1747000</v>
      </c>
      <c r="E40" s="119">
        <v>0</v>
      </c>
      <c r="F40" s="119">
        <v>0</v>
      </c>
      <c r="G40" s="119">
        <v>0</v>
      </c>
      <c r="H40" s="119">
        <f>246690+745963+H24</f>
        <v>1104746.6376054562</v>
      </c>
      <c r="I40" s="119">
        <v>0</v>
      </c>
      <c r="J40" s="119">
        <v>0</v>
      </c>
      <c r="K40" s="120">
        <f>H40/B40</f>
        <v>0.8802762052633117</v>
      </c>
      <c r="L40" s="119">
        <v>0</v>
      </c>
      <c r="M40" s="121">
        <v>0</v>
      </c>
      <c r="N40" s="96"/>
      <c r="O40" s="96"/>
      <c r="P40" s="96"/>
      <c r="Q40" s="96"/>
      <c r="R40" s="96"/>
      <c r="S40" s="96"/>
      <c r="T40" s="96"/>
    </row>
    <row r="41" spans="1:20" ht="15">
      <c r="A41" s="133" t="s">
        <v>26</v>
      </c>
      <c r="B41" s="119">
        <v>5977000000</v>
      </c>
      <c r="C41" s="119">
        <v>7153000000</v>
      </c>
      <c r="D41" s="119">
        <v>8317000000</v>
      </c>
      <c r="E41" s="119">
        <v>0</v>
      </c>
      <c r="F41" s="119">
        <v>0</v>
      </c>
      <c r="G41" s="119">
        <v>0</v>
      </c>
      <c r="H41" s="119">
        <f>1430555000+4119626221+H25</f>
        <v>6198442606.091474</v>
      </c>
      <c r="I41" s="119">
        <v>0</v>
      </c>
      <c r="J41" s="119">
        <v>0</v>
      </c>
      <c r="K41" s="120">
        <f>H41/B41</f>
        <v>1.0370491226520786</v>
      </c>
      <c r="L41" s="119">
        <v>0</v>
      </c>
      <c r="M41" s="121">
        <v>0</v>
      </c>
      <c r="N41" s="96"/>
      <c r="O41" s="96"/>
      <c r="P41" s="96"/>
      <c r="Q41" s="96"/>
      <c r="R41" s="96"/>
      <c r="S41" s="96"/>
      <c r="T41" s="96"/>
    </row>
    <row r="42" spans="1:20" ht="15.75" thickBot="1">
      <c r="A42" s="131" t="s">
        <v>27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24">
        <v>0</v>
      </c>
      <c r="J42" s="124">
        <v>0</v>
      </c>
      <c r="K42" s="125">
        <f>IF(E42&lt;0,H42/E42,0)</f>
        <v>0</v>
      </c>
      <c r="L42" s="124">
        <v>0</v>
      </c>
      <c r="M42" s="126">
        <v>0</v>
      </c>
      <c r="N42" s="96"/>
      <c r="O42" s="96"/>
      <c r="P42" s="96"/>
      <c r="Q42" s="96"/>
      <c r="R42" s="96"/>
      <c r="S42" s="96"/>
      <c r="T42" s="96"/>
    </row>
    <row r="45" spans="1:20" ht="16.5" thickBot="1">
      <c r="A45" s="95" t="s">
        <v>107</v>
      </c>
      <c r="B45" s="134"/>
      <c r="C45" s="134"/>
      <c r="D45" s="134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</row>
    <row r="46" spans="1:20" ht="45.75" thickBot="1">
      <c r="A46" s="135"/>
      <c r="B46" s="136" t="s">
        <v>58</v>
      </c>
      <c r="C46" s="136" t="s">
        <v>59</v>
      </c>
      <c r="D46" s="137" t="s">
        <v>60</v>
      </c>
      <c r="E46" s="96"/>
      <c r="F46" s="96"/>
      <c r="G46" s="96"/>
      <c r="H46" s="138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</row>
    <row r="47" spans="1:20" ht="15.75">
      <c r="A47" s="139" t="s">
        <v>14</v>
      </c>
      <c r="B47" s="140">
        <v>285820629.4863892</v>
      </c>
      <c r="C47" s="140">
        <v>38093.52048041331</v>
      </c>
      <c r="D47" s="141">
        <v>0</v>
      </c>
      <c r="E47" s="164"/>
      <c r="F47" s="164"/>
      <c r="G47" s="165"/>
      <c r="H47" s="165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</row>
    <row r="48" spans="1:20" ht="15">
      <c r="A48" s="142" t="s">
        <v>2</v>
      </c>
      <c r="B48" s="143">
        <v>35336843.43106048</v>
      </c>
      <c r="C48" s="143">
        <v>6387.125011185137</v>
      </c>
      <c r="D48" s="144">
        <v>0</v>
      </c>
      <c r="E48" s="164"/>
      <c r="F48" s="164"/>
      <c r="G48" s="165"/>
      <c r="H48" s="165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</row>
    <row r="49" spans="1:8" ht="15">
      <c r="A49" s="142" t="s">
        <v>3</v>
      </c>
      <c r="B49" s="143">
        <v>0</v>
      </c>
      <c r="C49" s="143">
        <v>0</v>
      </c>
      <c r="D49" s="144">
        <v>0</v>
      </c>
      <c r="E49" s="164"/>
      <c r="F49" s="164"/>
      <c r="G49" s="165"/>
      <c r="H49" s="165"/>
    </row>
    <row r="50" spans="1:8" ht="15">
      <c r="A50" s="142" t="s">
        <v>4</v>
      </c>
      <c r="B50" s="143">
        <v>0</v>
      </c>
      <c r="C50" s="143">
        <v>0</v>
      </c>
      <c r="D50" s="144">
        <v>0</v>
      </c>
      <c r="E50" s="164"/>
      <c r="F50" s="164"/>
      <c r="G50" s="165"/>
      <c r="H50" s="165"/>
    </row>
    <row r="51" spans="1:8" ht="15">
      <c r="A51" s="142" t="s">
        <v>53</v>
      </c>
      <c r="B51" s="143">
        <v>10313348.158212923</v>
      </c>
      <c r="C51" s="143">
        <v>9897.636250018451</v>
      </c>
      <c r="D51" s="144">
        <v>0</v>
      </c>
      <c r="E51" s="164"/>
      <c r="F51" s="164"/>
      <c r="G51" s="165"/>
      <c r="H51" s="165"/>
    </row>
    <row r="52" spans="1:8" ht="15">
      <c r="A52" s="142" t="s">
        <v>51</v>
      </c>
      <c r="B52" s="143">
        <v>236160354.93707103</v>
      </c>
      <c r="C52" s="143">
        <v>20539.88853313192</v>
      </c>
      <c r="D52" s="144">
        <v>0</v>
      </c>
      <c r="E52" s="164"/>
      <c r="F52" s="164"/>
      <c r="G52" s="165"/>
      <c r="H52" s="165"/>
    </row>
    <row r="53" spans="1:8" ht="15">
      <c r="A53" s="142" t="s">
        <v>5</v>
      </c>
      <c r="B53" s="143">
        <v>879771.0584887499</v>
      </c>
      <c r="C53" s="143">
        <v>185.90122140410483</v>
      </c>
      <c r="D53" s="144">
        <v>0</v>
      </c>
      <c r="E53" s="164"/>
      <c r="F53" s="164"/>
      <c r="G53" s="165"/>
      <c r="H53" s="165"/>
    </row>
    <row r="54" spans="1:8" ht="15">
      <c r="A54" s="142" t="s">
        <v>63</v>
      </c>
      <c r="B54" s="143">
        <v>0</v>
      </c>
      <c r="C54" s="143">
        <v>0</v>
      </c>
      <c r="D54" s="144">
        <v>0</v>
      </c>
      <c r="E54" s="164"/>
      <c r="F54" s="164"/>
      <c r="G54" s="165"/>
      <c r="H54" s="165"/>
    </row>
    <row r="55" spans="1:8" ht="15">
      <c r="A55" s="142" t="s">
        <v>6</v>
      </c>
      <c r="B55" s="143">
        <v>31473.028346633455</v>
      </c>
      <c r="C55" s="143">
        <v>3.9377287506578638</v>
      </c>
      <c r="D55" s="144">
        <v>0</v>
      </c>
      <c r="E55" s="164"/>
      <c r="F55" s="164"/>
      <c r="G55" s="165"/>
      <c r="H55" s="165"/>
    </row>
    <row r="56" spans="1:8" ht="15">
      <c r="A56" s="142" t="s">
        <v>52</v>
      </c>
      <c r="B56" s="143">
        <v>3098838.8732094443</v>
      </c>
      <c r="C56" s="143">
        <v>1079.0317359230492</v>
      </c>
      <c r="D56" s="144">
        <v>0</v>
      </c>
      <c r="E56" s="164"/>
      <c r="F56" s="164"/>
      <c r="G56" s="165"/>
      <c r="H56" s="165"/>
    </row>
    <row r="57" spans="1:8" ht="15.75">
      <c r="A57" s="145" t="s">
        <v>15</v>
      </c>
      <c r="B57" s="146">
        <v>319108272.0062668</v>
      </c>
      <c r="C57" s="146">
        <v>64305.5204455994</v>
      </c>
      <c r="D57" s="147">
        <v>0</v>
      </c>
      <c r="E57" s="164"/>
      <c r="F57" s="164"/>
      <c r="G57" s="165"/>
      <c r="H57" s="165"/>
    </row>
    <row r="58" spans="1:8" ht="15">
      <c r="A58" s="148" t="s">
        <v>53</v>
      </c>
      <c r="B58" s="149">
        <v>27012565.792118475</v>
      </c>
      <c r="C58" s="149">
        <v>8029.119955261668</v>
      </c>
      <c r="D58" s="150">
        <v>0</v>
      </c>
      <c r="E58" s="164"/>
      <c r="F58" s="164"/>
      <c r="G58" s="165"/>
      <c r="H58" s="165"/>
    </row>
    <row r="59" spans="1:8" ht="15">
      <c r="A59" s="151" t="s">
        <v>51</v>
      </c>
      <c r="B59" s="149">
        <v>224822693.97181705</v>
      </c>
      <c r="C59" s="149">
        <v>46516.72851742966</v>
      </c>
      <c r="D59" s="144">
        <v>0</v>
      </c>
      <c r="E59" s="164"/>
      <c r="F59" s="164"/>
      <c r="G59" s="165"/>
      <c r="H59" s="165"/>
    </row>
    <row r="60" spans="1:8" ht="15">
      <c r="A60" s="151" t="s">
        <v>7</v>
      </c>
      <c r="B60" s="149">
        <v>816.121064632126</v>
      </c>
      <c r="C60" s="149">
        <v>0.14319183164012472</v>
      </c>
      <c r="D60" s="144">
        <v>0</v>
      </c>
      <c r="E60" s="164"/>
      <c r="F60" s="164"/>
      <c r="G60" s="165"/>
      <c r="H60" s="165"/>
    </row>
    <row r="61" spans="1:8" ht="15">
      <c r="A61" s="151" t="s">
        <v>69</v>
      </c>
      <c r="B61" s="149">
        <v>40446671.450768135</v>
      </c>
      <c r="C61" s="149">
        <v>6383.646287502107</v>
      </c>
      <c r="D61" s="144">
        <v>0</v>
      </c>
      <c r="E61" s="164"/>
      <c r="F61" s="164"/>
      <c r="G61" s="165"/>
      <c r="H61" s="165"/>
    </row>
    <row r="62" spans="1:8" ht="15">
      <c r="A62" s="151" t="s">
        <v>63</v>
      </c>
      <c r="B62" s="149">
        <v>8169355.527562631</v>
      </c>
      <c r="C62" s="149">
        <v>676.8230103009607</v>
      </c>
      <c r="D62" s="144">
        <v>0</v>
      </c>
      <c r="E62" s="164"/>
      <c r="F62" s="164"/>
      <c r="G62" s="165"/>
      <c r="H62" s="165"/>
    </row>
    <row r="63" spans="1:8" ht="15">
      <c r="A63" s="151" t="s">
        <v>52</v>
      </c>
      <c r="B63" s="149">
        <v>18656169.142935872</v>
      </c>
      <c r="C63" s="149">
        <v>2699.0594832733736</v>
      </c>
      <c r="D63" s="144">
        <v>0</v>
      </c>
      <c r="E63" s="164"/>
      <c r="F63" s="164"/>
      <c r="G63" s="165"/>
      <c r="H63" s="165"/>
    </row>
    <row r="64" spans="1:7" ht="15.75">
      <c r="A64" s="152" t="s">
        <v>93</v>
      </c>
      <c r="B64" s="143">
        <f>'Program Costs &amp; Impacts'!P70</f>
        <v>11093867.937999997</v>
      </c>
      <c r="C64" s="153">
        <f>'Program Costs &amp; Impacts'!K70</f>
        <v>3017.2150821800005</v>
      </c>
      <c r="D64" s="144">
        <v>0</v>
      </c>
      <c r="E64" s="96"/>
      <c r="F64" s="164"/>
      <c r="G64" s="138"/>
    </row>
    <row r="65" spans="1:7" ht="15.75">
      <c r="A65" s="152" t="s">
        <v>78</v>
      </c>
      <c r="B65" s="143">
        <f>'Program Costs &amp; Impacts'!P23</f>
        <v>32238615.66081765</v>
      </c>
      <c r="C65" s="143">
        <f>'Program Costs &amp; Impacts'!K23</f>
        <v>6677.381597263474</v>
      </c>
      <c r="D65" s="144">
        <v>0</v>
      </c>
      <c r="E65" s="96"/>
      <c r="F65" s="164"/>
      <c r="G65" s="96"/>
    </row>
    <row r="66" spans="1:7" ht="16.5" thickBot="1">
      <c r="A66" s="154" t="s">
        <v>45</v>
      </c>
      <c r="B66" s="155">
        <f>+H25</f>
        <v>648261385.0914736</v>
      </c>
      <c r="C66" s="155">
        <f>+H24</f>
        <v>112093.63760545616</v>
      </c>
      <c r="D66" s="156">
        <v>0</v>
      </c>
      <c r="E66" s="96"/>
      <c r="F66" s="138"/>
      <c r="G66" s="138"/>
    </row>
    <row r="68" spans="1:7" ht="16.5" thickBot="1">
      <c r="A68" s="95" t="s">
        <v>106</v>
      </c>
      <c r="B68" s="134"/>
      <c r="C68" s="134"/>
      <c r="D68" s="134"/>
      <c r="E68" s="96"/>
      <c r="F68" s="96"/>
      <c r="G68" s="96"/>
    </row>
    <row r="69" spans="1:7" ht="45.75" thickBot="1">
      <c r="A69" s="135"/>
      <c r="B69" s="136" t="s">
        <v>58</v>
      </c>
      <c r="C69" s="136" t="s">
        <v>59</v>
      </c>
      <c r="D69" s="137" t="s">
        <v>60</v>
      </c>
      <c r="E69" s="96"/>
      <c r="F69" s="96"/>
      <c r="G69" s="96"/>
    </row>
    <row r="70" spans="1:8" ht="15.75">
      <c r="A70" s="157" t="s">
        <v>14</v>
      </c>
      <c r="B70" s="143">
        <v>297713368.1778989</v>
      </c>
      <c r="C70" s="143">
        <v>37427.47664801082</v>
      </c>
      <c r="D70" s="144">
        <v>0</v>
      </c>
      <c r="E70" s="164"/>
      <c r="F70" s="164"/>
      <c r="G70" s="165"/>
      <c r="H70" s="165"/>
    </row>
    <row r="71" spans="1:8" ht="15">
      <c r="A71" s="151" t="s">
        <v>8</v>
      </c>
      <c r="B71" s="143">
        <v>265337492.26409426</v>
      </c>
      <c r="C71" s="143">
        <v>33895.999982894646</v>
      </c>
      <c r="D71" s="144">
        <v>0</v>
      </c>
      <c r="E71" s="164"/>
      <c r="F71" s="164"/>
      <c r="G71" s="165"/>
      <c r="H71" s="165"/>
    </row>
    <row r="72" spans="1:8" ht="15">
      <c r="A72" s="151" t="s">
        <v>95</v>
      </c>
      <c r="B72" s="143">
        <v>29832725.877250966</v>
      </c>
      <c r="C72" s="143">
        <v>1801.8092632006185</v>
      </c>
      <c r="D72" s="144">
        <v>0</v>
      </c>
      <c r="E72" s="164"/>
      <c r="F72" s="164"/>
      <c r="G72" s="165"/>
      <c r="H72" s="165"/>
    </row>
    <row r="73" spans="1:8" ht="15">
      <c r="A73" s="151" t="s">
        <v>96</v>
      </c>
      <c r="B73" s="143">
        <v>2543150.0365536413</v>
      </c>
      <c r="C73" s="143">
        <v>1729.6674019155628</v>
      </c>
      <c r="D73" s="144">
        <v>0</v>
      </c>
      <c r="E73" s="164"/>
      <c r="F73" s="164"/>
      <c r="G73" s="165"/>
      <c r="H73" s="165"/>
    </row>
    <row r="74" spans="1:8" ht="15.75">
      <c r="A74" s="157" t="s">
        <v>15</v>
      </c>
      <c r="B74" s="143">
        <v>307215533.3147572</v>
      </c>
      <c r="C74" s="143">
        <v>64971.56427800188</v>
      </c>
      <c r="D74" s="144">
        <v>0</v>
      </c>
      <c r="E74" s="164"/>
      <c r="F74" s="164"/>
      <c r="G74" s="165"/>
      <c r="H74" s="165"/>
    </row>
    <row r="75" spans="1:8" ht="15">
      <c r="A75" s="151" t="s">
        <v>9</v>
      </c>
      <c r="B75" s="143">
        <v>241536887.91641694</v>
      </c>
      <c r="C75" s="143">
        <v>55296.54048502256</v>
      </c>
      <c r="D75" s="144">
        <v>0</v>
      </c>
      <c r="E75" s="164"/>
      <c r="F75" s="164"/>
      <c r="G75" s="165"/>
      <c r="H75" s="165"/>
    </row>
    <row r="76" spans="1:8" ht="15">
      <c r="A76" s="151" t="s">
        <v>13</v>
      </c>
      <c r="B76" s="143">
        <v>52072831.708086036</v>
      </c>
      <c r="C76" s="143">
        <v>6188.097651206395</v>
      </c>
      <c r="D76" s="144">
        <v>0</v>
      </c>
      <c r="E76" s="164"/>
      <c r="F76" s="164"/>
      <c r="G76" s="165"/>
      <c r="H76" s="165"/>
    </row>
    <row r="77" spans="1:8" ht="15">
      <c r="A77" s="151" t="s">
        <v>54</v>
      </c>
      <c r="B77" s="143">
        <v>13605813.69025426</v>
      </c>
      <c r="C77" s="143">
        <v>3486.926141772922</v>
      </c>
      <c r="D77" s="144">
        <v>0</v>
      </c>
      <c r="E77" s="164"/>
      <c r="F77" s="164"/>
      <c r="G77" s="165"/>
      <c r="H77" s="165"/>
    </row>
    <row r="78" spans="1:7" ht="15.75">
      <c r="A78" s="152" t="s">
        <v>93</v>
      </c>
      <c r="B78" s="143">
        <f>B64</f>
        <v>11093867.937999997</v>
      </c>
      <c r="C78" s="143">
        <f>C64</f>
        <v>3017.2150821800005</v>
      </c>
      <c r="D78" s="158">
        <v>0</v>
      </c>
      <c r="E78" s="96"/>
      <c r="F78" s="96"/>
      <c r="G78" s="96"/>
    </row>
    <row r="79" spans="1:7" ht="15.75">
      <c r="A79" s="152" t="s">
        <v>78</v>
      </c>
      <c r="B79" s="143">
        <f>B65</f>
        <v>32238615.66081765</v>
      </c>
      <c r="C79" s="143">
        <f>C65</f>
        <v>6677.381597263474</v>
      </c>
      <c r="D79" s="144">
        <v>0</v>
      </c>
      <c r="E79" s="96"/>
      <c r="F79" s="96"/>
      <c r="G79" s="96"/>
    </row>
    <row r="80" spans="1:7" ht="16.5" thickBot="1">
      <c r="A80" s="154" t="s">
        <v>45</v>
      </c>
      <c r="B80" s="155">
        <f>+H33</f>
        <v>648261385.0914736</v>
      </c>
      <c r="C80" s="155">
        <f>+H32</f>
        <v>112093.63760545616</v>
      </c>
      <c r="D80" s="159">
        <v>0</v>
      </c>
      <c r="E80" s="138"/>
      <c r="F80" s="138"/>
      <c r="G80" s="138"/>
    </row>
    <row r="81" spans="1:4" ht="15">
      <c r="A81" s="160" t="s">
        <v>76</v>
      </c>
      <c r="B81" s="161"/>
      <c r="C81" s="161"/>
      <c r="D81" s="161"/>
    </row>
    <row r="83" spans="1:4" ht="15">
      <c r="A83" s="162"/>
      <c r="B83" s="138"/>
      <c r="C83" s="138"/>
      <c r="D83" s="96"/>
    </row>
    <row r="84" spans="1:4" ht="15">
      <c r="A84" s="127"/>
      <c r="B84" s="138"/>
      <c r="C84" s="138"/>
      <c r="D84" s="96"/>
    </row>
    <row r="85" spans="1:4" ht="15">
      <c r="A85" s="162"/>
      <c r="B85" s="161"/>
      <c r="C85" s="161"/>
      <c r="D85" s="161"/>
    </row>
    <row r="86" spans="1:4" ht="15">
      <c r="A86" s="160"/>
      <c r="B86" s="96"/>
      <c r="C86" s="96"/>
      <c r="D86" s="96"/>
    </row>
    <row r="93" spans="1:4" ht="15">
      <c r="A93" s="163"/>
      <c r="B93" s="96"/>
      <c r="C93" s="96"/>
      <c r="D93" s="96"/>
    </row>
  </sheetData>
  <mergeCells count="12">
    <mergeCell ref="H22:J22"/>
    <mergeCell ref="K22:M22"/>
    <mergeCell ref="E22:G22"/>
    <mergeCell ref="B22:D22"/>
    <mergeCell ref="B30:D30"/>
    <mergeCell ref="E30:G30"/>
    <mergeCell ref="H30:J30"/>
    <mergeCell ref="K30:M30"/>
    <mergeCell ref="B38:D38"/>
    <mergeCell ref="E38:G38"/>
    <mergeCell ref="H38:J38"/>
    <mergeCell ref="K38:M3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Hanway</dc:creator>
  <cp:keywords/>
  <dc:description/>
  <cp:lastModifiedBy>Standard Configuration</cp:lastModifiedBy>
  <dcterms:created xsi:type="dcterms:W3CDTF">2009-04-02T02:52:12Z</dcterms:created>
  <dcterms:modified xsi:type="dcterms:W3CDTF">2009-09-01T23:59:17Z</dcterms:modified>
  <cp:category/>
  <cp:version/>
  <cp:contentType/>
  <cp:contentStatus/>
</cp:coreProperties>
</file>