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W:\FERC Contract &amp; Cost Analysis\2025 FERC Rate Case TO2025\12-Dec 1 Annual Informational Update\Workpapers\"/>
    </mc:Choice>
  </mc:AlternateContent>
  <xr:revisionPtr revIDLastSave="0" documentId="13_ncr:1_{D82EAE19-A80A-4E4D-A5A4-8D31CE4B6211}" xr6:coauthVersionLast="47" xr6:coauthVersionMax="47" xr10:uidLastSave="{00000000-0000-0000-0000-000000000000}"/>
  <bookViews>
    <workbookView xWindow="-51720" yWindow="-120" windowWidth="51840" windowHeight="21120" xr2:uid="{00000000-000D-0000-FFFF-FFFF00000000}"/>
  </bookViews>
  <sheets>
    <sheet name="Summary" sheetId="8" r:id="rId1"/>
    <sheet name="Workpaper EEI &amp; EPRI" sheetId="1" r:id="rId2"/>
    <sheet name="WP-2022 TO2024 EPRI Adj wInt" sheetId="2" r:id="rId3"/>
    <sheet name="WP-2022 EPRI Additional Excl" sheetId="3" r:id="rId4"/>
    <sheet name="WP-2022 Wholesale TRR Adj" sheetId="4" r:id="rId5"/>
    <sheet name="WP-2022 TO2024 Sch 1-BaseTRR" sheetId="5" r:id="rId6"/>
    <sheet name="WP-2022 TO2024 Sch25-WholesaleD" sheetId="6" r:id="rId7"/>
    <sheet name="Legacy Wholesale&amp;Retail Diff" sheetId="7" r:id="rId8"/>
  </sheets>
  <definedNames>
    <definedName name="_Alt2007">#REF!</definedName>
    <definedName name="_Apr06">#REF!</definedName>
    <definedName name="_F100040">#REF!</definedName>
    <definedName name="_Feb06">#REF!</definedName>
    <definedName name="_Fill" hidden="1">#REF!</definedName>
    <definedName name="_May06">#REF!</definedName>
    <definedName name="_Nov05">#REF!</definedName>
    <definedName name="_Order1" hidden="1">255</definedName>
    <definedName name="_Order2" hidden="1">255</definedName>
    <definedName name="_SO2">#REF!</definedName>
    <definedName name="_SO4">#REF!</definedName>
    <definedName name="Active">#REF!</definedName>
    <definedName name="AllocationLU">#REF!</definedName>
    <definedName name="AltForecast">#REF!</definedName>
    <definedName name="Assets">#REF!</definedName>
    <definedName name="Basis_Point">#REF!</definedName>
    <definedName name="Basis_Prices_Upload_Date">#REF!</definedName>
    <definedName name="Basis_Web_Query">#REF!</definedName>
    <definedName name="BHV">#REF!</definedName>
    <definedName name="Bio">#REF!</definedName>
    <definedName name="BLOCK">#REF!</definedName>
    <definedName name="BLOCKPOSTING">#REF!</definedName>
    <definedName name="Calc_implied_vol">#REF!</definedName>
    <definedName name="CAT">#REF!</definedName>
    <definedName name="Clearing_House_deals_MTM_PT___Current_Month">#REF!</definedName>
    <definedName name="Cogen">#REF!</definedName>
    <definedName name="Convert_price">#REF!</definedName>
    <definedName name="Copy_Brkr_Quotes">#REF!</definedName>
    <definedName name="Create_Nuc_Basis">#REF!</definedName>
    <definedName name="Create_Nuc_Futs">#REF!</definedName>
    <definedName name="Create_Nuc_IR">#REF!</definedName>
    <definedName name="Create_Nuc_Pwr">#REF!</definedName>
    <definedName name="Create_Nuc_Vol">#REF!</definedName>
    <definedName name="CRR_PT2">#REF!</definedName>
    <definedName name="CRR_SD_1">#REF!</definedName>
    <definedName name="CRR_SD_2">#REF!</definedName>
    <definedName name="CRR_ST_PT2">#REF!</definedName>
    <definedName name="CurrentMonth">#REF!</definedName>
    <definedName name="CurrentMTMDate">#REF!</definedName>
    <definedName name="CurrentQtrEnd">#REF!</definedName>
    <definedName name="DATA21">#REF!</definedName>
    <definedName name="DaysForward">#REF!</definedName>
    <definedName name="DWR_End_Row">#REF!</definedName>
    <definedName name="DWR_Start_Row">#REF!</definedName>
    <definedName name="Effective_date">#REF!</definedName>
    <definedName name="EIX_10k">#REF!</definedName>
    <definedName name="EIX_10K_DET_M">#REF!</definedName>
    <definedName name="EIX_10K_DET_T">#REF!</definedName>
    <definedName name="EIX_10K_DETAIL">#REF!</definedName>
    <definedName name="EIX_10K_M">#REF!</definedName>
    <definedName name="EIX_10k_t">#REF!</definedName>
    <definedName name="EIX_10K_WK_CURR">#REF!</definedName>
    <definedName name="EIX_10K_WK_JAN1">#REF!</definedName>
    <definedName name="EIX_10k_WK_LASTMO">#REF!</definedName>
    <definedName name="EIX_WS">#REF!</definedName>
    <definedName name="eixytd">#REF!</definedName>
    <definedName name="ENTRYNODE">#REF!</definedName>
    <definedName name="EOptns_Term_Sch_Point">#REF!</definedName>
    <definedName name="Equity">#REF!</definedName>
    <definedName name="Escalation_Rate">#REF!</definedName>
    <definedName name="FERC">#REF!</definedName>
    <definedName name="FERC_Map">#REF!</definedName>
    <definedName name="Format_Quotes">#REF!</definedName>
    <definedName name="FSD">#REF!</definedName>
    <definedName name="Fut_Point">#REF!</definedName>
    <definedName name="Futs_Web_Query">#REF!</definedName>
    <definedName name="Futures_Prices_Upload_Date">#REF!</definedName>
    <definedName name="Gas">#REF!</definedName>
    <definedName name="Gas_Fin_Non_Options">#REF!</definedName>
    <definedName name="Gas_NOpt_PT_1">#REF!</definedName>
    <definedName name="Gas_NOpt_PT_2">#REF!</definedName>
    <definedName name="Gas_NOpt_PT_3">#REF!</definedName>
    <definedName name="Gas_NOpt_PT_Source_1">#REF!</definedName>
    <definedName name="Gas_NOpt_PT_Source_2">#REF!</definedName>
    <definedName name="Geo">#REF!</definedName>
    <definedName name="HD">#REF!</definedName>
    <definedName name="Henry_Hub_Swap">#REF!</definedName>
    <definedName name="HISTORICDOLLAR">#REF!</definedName>
    <definedName name="Hydro">#REF!</definedName>
    <definedName name="Interest_Rates_Upload_Date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IR_Web_Query">#REF!</definedName>
    <definedName name="ITEMTYPE">#REF!</definedName>
    <definedName name="Level">#REF!</definedName>
    <definedName name="Liab">#REF!</definedName>
    <definedName name="List_1st_nearby">#REF!</definedName>
    <definedName name="List_2nd_nearby">#REF!</definedName>
    <definedName name="List_3rd_nearby">#REF!</definedName>
    <definedName name="Load_Flag">#REF!</definedName>
    <definedName name="LT_1000_LU">#REF!</definedName>
    <definedName name="MonthList">#REF!</definedName>
    <definedName name="MS.CreatedAt" hidden="1">"30.06.1998 11:53:43"</definedName>
    <definedName name="MS.CreatedBy" hidden="1">"JMA"</definedName>
    <definedName name="MS.ModifiedAt" hidden="1">"20.04.1999 10:43:12"</definedName>
    <definedName name="MS.ModifiedBy" hidden="1">"RL"</definedName>
    <definedName name="MS.Version" hidden="1">"1.0.2"</definedName>
    <definedName name="MTM_Calculation_of_Calpine_QF_Contract">#REF!</definedName>
    <definedName name="MTM_Summary_Compare">#REF!</definedName>
    <definedName name="Name_LU">#REF!</definedName>
    <definedName name="NEG">#REF!</definedName>
    <definedName name="new" localSheetId="2" hidden="1">{#N/A,#N/A,TRUE,"Section6";#N/A,#N/A,TRUE,"OHcycles";#N/A,#N/A,TRUE,"OHtiming";#N/A,#N/A,TRUE,"OHcosts";#N/A,#N/A,TRUE,"GTdegradation";#N/A,#N/A,TRUE,"GTperformance";#N/A,#N/A,TRUE,"GraphEquip"}</definedName>
    <definedName name="new" localSheetId="6" hidden="1">{#N/A,#N/A,TRUE,"Section6";#N/A,#N/A,TRUE,"OHcycles";#N/A,#N/A,TRUE,"OHtiming";#N/A,#N/A,TRUE,"OHcosts";#N/A,#N/A,TRUE,"GTdegradation";#N/A,#N/A,TRUE,"GTperformance";#N/A,#N/A,TRUE,"GraphEquip"}</definedName>
    <definedName name="new" localSheetId="4" hidden="1">{#N/A,#N/A,TRUE,"Section6";#N/A,#N/A,TRUE,"OHcycles";#N/A,#N/A,TRUE,"OHtiming";#N/A,#N/A,TRUE,"OHcosts";#N/A,#N/A,TRUE,"GTdegradation";#N/A,#N/A,TRUE,"GTperformance";#N/A,#N/A,TRUE,"GraphEquip"}</definedName>
    <definedName name="new" hidden="1">{#N/A,#N/A,TRUE,"Section6";#N/A,#N/A,TRUE,"OHcycles";#N/A,#N/A,TRUE,"OHtiming";#N/A,#N/A,TRUE,"OHcosts";#N/A,#N/A,TRUE,"GTdegradation";#N/A,#N/A,TRUE,"GTperformance";#N/A,#N/A,TRUE,"GraphEquip"}</definedName>
    <definedName name="Next_Month">#REF!</definedName>
    <definedName name="NoContamSystems">SUM(#REF!)</definedName>
    <definedName name="OOR">#REF!</definedName>
    <definedName name="Op_Exp">#REF!</definedName>
    <definedName name="OracleUploadDate">#REF!</definedName>
    <definedName name="ord">#REF!</definedName>
    <definedName name="P_L">#REF!</definedName>
    <definedName name="Past_Cash">#REF!</definedName>
    <definedName name="PivotTablePoint">#REF!</definedName>
    <definedName name="Posting_Keys">#REF!</definedName>
    <definedName name="Power">#REF!</definedName>
    <definedName name="Power_Prices_Upload_Date">#REF!</definedName>
    <definedName name="Pricelist">#REF!</definedName>
    <definedName name="PriceListDec_01_2003">#REF!</definedName>
    <definedName name="PriceListOct_30_2003">#REF!</definedName>
    <definedName name="_xlnm.Print_Area" localSheetId="7">'Legacy Wholesale&amp;Retail Diff'!$A$1:$L$83</definedName>
    <definedName name="_xlnm.Print_Area" localSheetId="3">'WP-2022 EPRI Additional Excl'!$A$1:$I$19</definedName>
    <definedName name="_xlnm.Print_Area" localSheetId="2">'WP-2022 TO2024 EPRI Adj wInt'!$B$1:$I$25</definedName>
    <definedName name="_xlnm.Print_Area" localSheetId="5">'WP-2022 TO2024 Sch 1-BaseTRR'!$A$1:$N$187</definedName>
    <definedName name="_xlnm.Print_Area" localSheetId="6">'WP-2022 TO2024 Sch25-WholesaleD'!$A$2:$J$104</definedName>
    <definedName name="_xlnm.Print_Titles" localSheetId="5">'WP-2022 TO2024 Sch 1-BaseTRR'!$1:$6</definedName>
    <definedName name="print1">#REF!</definedName>
    <definedName name="print2">#REF!</definedName>
    <definedName name="PriorMTMdate">#REF!</definedName>
    <definedName name="ProcessDate">#REF!</definedName>
    <definedName name="ProcessDate2">#REF!</definedName>
    <definedName name="ProcessMonth">#REF!</definedName>
    <definedName name="ProxyList">#REF!</definedName>
    <definedName name="QF_Asgn_List_Capacity">#REF!</definedName>
    <definedName name="QF_Asgn_List0212">#REF!</definedName>
    <definedName name="QF_Asgn_List0301">#REF!</definedName>
    <definedName name="QF_Asgn_List0302">#REF!</definedName>
    <definedName name="QF_Asgn_List040131">#REF!</definedName>
    <definedName name="QF_Assign_List">#REF!</definedName>
    <definedName name="QF_Assign_List_v2">#REF!</definedName>
    <definedName name="QFAL0212_cnt_typ">#REF!</definedName>
    <definedName name="QFAL0212_qfid">#REF!</definedName>
    <definedName name="QFAL0301_cnt_typ">#REF!</definedName>
    <definedName name="QFAL0301_qfid">#REF!</definedName>
    <definedName name="QFAL0302_cnt_typ">#REF!</definedName>
    <definedName name="QFAL0302_qfid">#REF!</definedName>
    <definedName name="QFAL040131_cnt_typ">#REF!</definedName>
    <definedName name="QFAL040131_qfid">#REF!</definedName>
    <definedName name="RegInd_LU">#REF!</definedName>
    <definedName name="SAI">#REF!</definedName>
    <definedName name="Sales_Purchases_matching">#REF!</definedName>
    <definedName name="SCE_10K_DET_M">#REF!</definedName>
    <definedName name="SCE_10K_DET_T">#REF!</definedName>
    <definedName name="SCE_10K_M">#REF!</definedName>
    <definedName name="SCE_10K_T">#REF!</definedName>
    <definedName name="SCE_10k_WK_CURR">#REF!</definedName>
    <definedName name="SCE_10K_WK_JAN1">#REF!</definedName>
    <definedName name="SCE_10K_WK_LASTMO">#REF!</definedName>
    <definedName name="SCE_WS">#REF!</definedName>
    <definedName name="SCE_WS_LASTMO">#REF!</definedName>
    <definedName name="SCE10K">#REF!</definedName>
    <definedName name="SCE10KWksht">#REF!</definedName>
    <definedName name="Season2_data">#REF!</definedName>
    <definedName name="Season4_data">#REF!</definedName>
    <definedName name="Setup_Shape">#REF!</definedName>
    <definedName name="Solar">#REF!</definedName>
    <definedName name="SUBMITEM">#REF!</definedName>
    <definedName name="SUBMITEMS">#REF!</definedName>
    <definedName name="Summary_SD_2">#REF!</definedName>
    <definedName name="Summary_SD_2_Point">#REF!</definedName>
    <definedName name="Swap_Point">#REF!</definedName>
    <definedName name="tblUpload_Temp_M200701">#REF!</definedName>
    <definedName name="tblUpload_Temp_M200703">#REF!</definedName>
    <definedName name="TCap_PT_1">#REF!</definedName>
    <definedName name="TCap_PT_2">#REF!</definedName>
    <definedName name="TCap_PT_Source_1">#REF!</definedName>
    <definedName name="TCap_PT_Source_2">#REF!</definedName>
    <definedName name="TEST0">#REF!</definedName>
    <definedName name="TEST10">#REF!</definedName>
    <definedName name="TransCapMTM">#REF!</definedName>
    <definedName name="Upload_Basis">#REF!</definedName>
    <definedName name="Upload_Basis_Access">#REF!</definedName>
    <definedName name="Upload_Futs">#REF!</definedName>
    <definedName name="Upload_Futs_Access">#REF!</definedName>
    <definedName name="Upload_IR">#REF!</definedName>
    <definedName name="Upload_IR_Access">#REF!</definedName>
    <definedName name="Upload_Pwr">#REF!</definedName>
    <definedName name="Upload_Pwr_Access">#REF!</definedName>
    <definedName name="UploadAccess">#REF!</definedName>
    <definedName name="Uploads_IR_Access">#REF!</definedName>
    <definedName name="UploadVol">#REF!</definedName>
    <definedName name="Volatility_Upload_Date">#REF!</definedName>
    <definedName name="Week" localSheetId="2">{0;1;2;3;4;5}</definedName>
    <definedName name="Week" localSheetId="6">{0;1;2;3;4;5}</definedName>
    <definedName name="Week" localSheetId="4">{0;1;2;3;4;5}</definedName>
    <definedName name="Week">{0;1;2;3;4;5}</definedName>
    <definedName name="Weekday" localSheetId="2">{1,2,3,4,5,6,7}</definedName>
    <definedName name="Weekday" localSheetId="6">{1,2,3,4,5,6,7}</definedName>
    <definedName name="Weekday" localSheetId="4">{1,2,3,4,5,6,7}</definedName>
    <definedName name="Weekday">{1,2,3,4,5,6,7}</definedName>
    <definedName name="Wind">#REF!</definedName>
    <definedName name="WITdata">#REF!</definedName>
    <definedName name="wrn.Cover." localSheetId="2" hidden="1">{#N/A,#N/A,TRUE,"Cover";#N/A,#N/A,TRUE,"Contents"}</definedName>
    <definedName name="wrn.Cover." localSheetId="6" hidden="1">{#N/A,#N/A,TRUE,"Cover";#N/A,#N/A,TRUE,"Contents"}</definedName>
    <definedName name="wrn.Cover." localSheetId="4" hidden="1">{#N/A,#N/A,TRUE,"Cover";#N/A,#N/A,TRUE,"Contents"}</definedName>
    <definedName name="wrn.Cover." hidden="1">{#N/A,#N/A,TRUE,"Cover";#N/A,#N/A,TRUE,"Contents"}</definedName>
    <definedName name="wrn.CoverContents." localSheetId="2" hidden="1">{#N/A,#N/A,FALSE,"Cover";#N/A,#N/A,FALSE,"Contents"}</definedName>
    <definedName name="wrn.CoverContents." localSheetId="6" hidden="1">{#N/A,#N/A,FALSE,"Cover";#N/A,#N/A,FALSE,"Contents"}</definedName>
    <definedName name="wrn.CoverContents." localSheetId="4" hidden="1">{#N/A,#N/A,FALSE,"Cover";#N/A,#N/A,FALSE,"Contents"}</definedName>
    <definedName name="wrn.CoverContents." hidden="1">{#N/A,#N/A,FALSE,"Cover";#N/A,#N/A,FALSE,"Contents"}</definedName>
    <definedName name="wrn.Distributed._.Decon._.Notebook." localSheetId="2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6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4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El._.Paso._.Offshore." localSheetId="2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6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4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PrintHistory." localSheetId="2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6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4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Other." localSheetId="2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6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4" hidden="1">{#N/A,#N/A,FALSE,"Cover";#N/A,#N/A,FALSE,"ProjectSelector";#N/A,#N/A,FALSE,"ProjectTable";#N/A,#N/A,FALSE,"SanGorgonio";#N/A,#N/A,FALSE,"Tehachapi";#N/A,#N/A,FALSE,"Results";#N/A,#N/A,FALSE,"ReplaceForecast"}</definedName>
    <definedName name="wrn.PrintOther." hidden="1">{#N/A,#N/A,FALSE,"Cover";#N/A,#N/A,FALSE,"ProjectSelector";#N/A,#N/A,FALSE,"ProjectTable";#N/A,#N/A,FALSE,"SanGorgonio";#N/A,#N/A,FALSE,"Tehachapi";#N/A,#N/A,FALSE,"Results";#N/A,#N/A,FALSE,"ReplaceForecast"}</definedName>
    <definedName name="wrn.Resource._.Dictionary._.Notebook." localSheetId="2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6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4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Section1." localSheetId="2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6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4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Summaries." localSheetId="2" hidden="1">{#N/A,#N/A,TRUE,"Section1";#N/A,#N/A,TRUE,"SumF";#N/A,#N/A,TRUE,"FigExchange";#N/A,#N/A,TRUE,"Escalation";#N/A,#N/A,TRUE,"GraphEscalate";#N/A,#N/A,TRUE,"Scenarios"}</definedName>
    <definedName name="wrn.Section1Summaries." localSheetId="6" hidden="1">{#N/A,#N/A,TRUE,"Section1";#N/A,#N/A,TRUE,"SumF";#N/A,#N/A,TRUE,"FigExchange";#N/A,#N/A,TRUE,"Escalation";#N/A,#N/A,TRUE,"GraphEscalate";#N/A,#N/A,TRUE,"Scenarios"}</definedName>
    <definedName name="wrn.Section1Summaries." localSheetId="4" hidden="1">{#N/A,#N/A,TRUE,"Section1";#N/A,#N/A,TRUE,"SumF";#N/A,#N/A,TRUE,"FigExchange";#N/A,#N/A,TRUE,"Escalation";#N/A,#N/A,TRUE,"GraphEscalate";#N/A,#N/A,TRUE,"Scenarios"}</definedName>
    <definedName name="wrn.Section1Summaries." hidden="1">{#N/A,#N/A,TRUE,"Section1";#N/A,#N/A,TRUE,"SumF";#N/A,#N/A,TRUE,"FigExchange";#N/A,#N/A,TRUE,"Escalation";#N/A,#N/A,TRUE,"GraphEscalate";#N/A,#N/A,TRUE,"Scenarios"}</definedName>
    <definedName name="wrn.Section2." localSheetId="2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6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4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TotalProjectCost." localSheetId="2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6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4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hidden="1">{#N/A,#N/A,TRUE,"Section2";#N/A,#N/A,TRUE,"TPCestimate";#N/A,#N/A,TRUE,"SumTPC";#N/A,#N/A,TRUE,"ConstrLoan";#N/A,#N/A,TRUE,"FigBalance";#N/A,#N/A,TRUE,"DEV27air";#N/A,#N/A,TRUE,"Graph27air";#N/A,#N/A,TRUE,"PreOp"}</definedName>
    <definedName name="wrn.Section3." localSheetId="2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6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4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PowerPlantCompany." localSheetId="2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6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4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4." localSheetId="2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6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4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Revenue." localSheetId="2" hidden="1">{#N/A,#N/A,TRUE,"Section4";#N/A,#N/A,TRUE,"PPAtable";#N/A,#N/A,TRUE,"RFPtable";#N/A,#N/A,TRUE,"RevCap";#N/A,#N/A,TRUE,"RevOther";#N/A,#N/A,TRUE,"RevGas";#N/A,#N/A,TRUE,"GraphRev"}</definedName>
    <definedName name="wrn.Section4Revenue." localSheetId="6" hidden="1">{#N/A,#N/A,TRUE,"Section4";#N/A,#N/A,TRUE,"PPAtable";#N/A,#N/A,TRUE,"RFPtable";#N/A,#N/A,TRUE,"RevCap";#N/A,#N/A,TRUE,"RevOther";#N/A,#N/A,TRUE,"RevGas";#N/A,#N/A,TRUE,"GraphRev"}</definedName>
    <definedName name="wrn.Section4Revenue." localSheetId="4" hidden="1">{#N/A,#N/A,TRUE,"Section4";#N/A,#N/A,TRUE,"PPAtable";#N/A,#N/A,TRUE,"RFPtable";#N/A,#N/A,TRUE,"RevCap";#N/A,#N/A,TRUE,"RevOther";#N/A,#N/A,TRUE,"RevGas";#N/A,#N/A,TRUE,"GraphRev"}</definedName>
    <definedName name="wrn.Section4Revenue." hidden="1">{#N/A,#N/A,TRUE,"Section4";#N/A,#N/A,TRUE,"PPAtable";#N/A,#N/A,TRUE,"RFPtable";#N/A,#N/A,TRUE,"RevCap";#N/A,#N/A,TRUE,"RevOther";#N/A,#N/A,TRUE,"RevGas";#N/A,#N/A,TRUE,"GraphRev"}</definedName>
    <definedName name="wrn.Section5." localSheetId="2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6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4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Expenses." localSheetId="2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6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4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6Equipment." localSheetId="2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6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4" hidden="1">{#N/A,#N/A,TRUE,"Section6";#N/A,#N/A,TRUE,"OHcycles";#N/A,#N/A,TRUE,"OHtiming";#N/A,#N/A,TRUE,"OHcosts";#N/A,#N/A,TRUE,"GTdegradation";#N/A,#N/A,TRUE,"GTperformance";#N/A,#N/A,TRUE,"GraphEquip"}</definedName>
    <definedName name="wrn.Section6Equipment." hidden="1">{#N/A,#N/A,TRUE,"Section6";#N/A,#N/A,TRUE,"OHcycles";#N/A,#N/A,TRUE,"OHtiming";#N/A,#N/A,TRUE,"OHcosts";#N/A,#N/A,TRUE,"GTdegradation";#N/A,#N/A,TRUE,"GTperformance";#N/A,#N/A,TRUE,"GraphEquip"}</definedName>
    <definedName name="wrn.Section7DebtService." localSheetId="2" hidden="1">{#N/A,#N/A,TRUE,"Section7";#N/A,#N/A,TRUE,"DebtService";#N/A,#N/A,TRUE,"LoanSchedules";#N/A,#N/A,TRUE,"GraphDebt"}</definedName>
    <definedName name="wrn.Section7DebtService." localSheetId="6" hidden="1">{#N/A,#N/A,TRUE,"Section7";#N/A,#N/A,TRUE,"DebtService";#N/A,#N/A,TRUE,"LoanSchedules";#N/A,#N/A,TRUE,"GraphDebt"}</definedName>
    <definedName name="wrn.Section7DebtService." localSheetId="4" hidden="1">{#N/A,#N/A,TRUE,"Section7";#N/A,#N/A,TRUE,"DebtService";#N/A,#N/A,TRUE,"LoanSchedules";#N/A,#N/A,TRUE,"GraphDebt"}</definedName>
    <definedName name="wrn.Section7DebtService." hidden="1">{#N/A,#N/A,TRUE,"Section7";#N/A,#N/A,TRUE,"DebtService";#N/A,#N/A,TRUE,"LoanSchedules";#N/A,#N/A,TRUE,"GraphDebt"}</definedName>
    <definedName name="wrn.SponsorSection." localSheetId="2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6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4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ummary." localSheetId="2" hidden="1">{"Table A",#N/A,FALSE,"Summary";"Table D",#N/A,FALSE,"Summary";"Table E",#N/A,FALSE,"Summary"}</definedName>
    <definedName name="wrn.Summary." localSheetId="6" hidden="1">{"Table A",#N/A,FALSE,"Summary";"Table D",#N/A,FALSE,"Summary";"Table E",#N/A,FALSE,"Summary"}</definedName>
    <definedName name="wrn.Summary." localSheetId="4" hidden="1">{"Table A",#N/A,FALSE,"Summary";"Table D",#N/A,FALSE,"Summary";"Table E",#N/A,FALSE,"Summary"}</definedName>
    <definedName name="wrn.Summary." hidden="1">{"Table A",#N/A,FALSE,"Summary";"Table D",#N/A,FALSE,"Summary";"Table E",#N/A,FALSE,"Summary"}</definedName>
    <definedName name="wrn.Total._.Summary." localSheetId="2" hidden="1">{"Total Summary",#N/A,FALSE,"Summary"}</definedName>
    <definedName name="wrn.Total._.Summary." localSheetId="6" hidden="1">{"Total Summary",#N/A,FALSE,"Summary"}</definedName>
    <definedName name="wrn.Total._.Summary." localSheetId="4" hidden="1">{"Total Summary",#N/A,FALSE,"Summary"}</definedName>
    <definedName name="wrn.Total._.Summary." hidden="1">{"Total Summary",#N/A,FALSE,"Summary"}</definedName>
    <definedName name="YearList">#REF!</definedName>
    <definedName name="YearProxyLis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8" l="1"/>
  <c r="D7" i="8" l="1"/>
  <c r="D6" i="8"/>
  <c r="D8" i="8" s="1"/>
  <c r="H80" i="7"/>
  <c r="H77" i="7"/>
  <c r="G77" i="7"/>
  <c r="H74" i="7"/>
  <c r="H81" i="7" s="1"/>
  <c r="H72" i="7"/>
  <c r="H64" i="7"/>
  <c r="H57" i="7"/>
  <c r="H55" i="7"/>
  <c r="I34" i="7"/>
  <c r="H34" i="7"/>
  <c r="H43" i="7" s="1"/>
  <c r="H44" i="7" s="1"/>
  <c r="G14" i="7" s="1"/>
  <c r="A31" i="7"/>
  <c r="A32" i="7" s="1"/>
  <c r="G13" i="7"/>
  <c r="G64" i="7" l="1"/>
  <c r="A33" i="7"/>
  <c r="H59" i="7"/>
  <c r="H78" i="7" s="1"/>
  <c r="G11" i="7" s="1"/>
  <c r="H65" i="7"/>
  <c r="H66" i="7"/>
  <c r="H79" i="7" s="1"/>
  <c r="G12" i="7" s="1"/>
  <c r="G55" i="7"/>
  <c r="G10" i="7"/>
  <c r="G15" i="7" s="1"/>
  <c r="D14" i="8" s="1"/>
  <c r="D15" i="8" s="1"/>
  <c r="A34" i="7" l="1"/>
  <c r="A41" i="7" s="1"/>
  <c r="A42" i="7" s="1"/>
  <c r="A43" i="7" s="1"/>
  <c r="B48" i="7"/>
  <c r="G80" i="7"/>
  <c r="H83" i="7"/>
  <c r="A44" i="7" l="1"/>
  <c r="A55" i="7" s="1"/>
  <c r="G44" i="7"/>
  <c r="A56" i="7" l="1"/>
  <c r="A57" i="7" s="1"/>
  <c r="G59" i="7"/>
  <c r="G65" i="7" l="1"/>
  <c r="A58" i="7"/>
  <c r="A59" i="7" s="1"/>
  <c r="A64" i="7" l="1"/>
  <c r="G78" i="7"/>
  <c r="A65" i="7" l="1"/>
  <c r="A66" i="7" s="1"/>
  <c r="A67" i="7" l="1"/>
  <c r="A68" i="7" s="1"/>
  <c r="A69" i="7" s="1"/>
  <c r="A70" i="7" s="1"/>
  <c r="G79" i="7"/>
  <c r="G66" i="7"/>
  <c r="A71" i="7" l="1"/>
  <c r="A72" i="7" s="1"/>
  <c r="A73" i="7" l="1"/>
  <c r="A74" i="7" s="1"/>
  <c r="G72" i="7"/>
  <c r="G81" i="7" l="1"/>
  <c r="A77" i="7"/>
  <c r="A78" i="7" s="1"/>
  <c r="A79" i="7" s="1"/>
  <c r="A80" i="7" s="1"/>
  <c r="A81" i="7" s="1"/>
  <c r="A82" i="7" s="1"/>
  <c r="A83" i="7" s="1"/>
  <c r="G74" i="7"/>
  <c r="H81" i="6" l="1"/>
  <c r="H78" i="6"/>
  <c r="H75" i="6"/>
  <c r="H82" i="6" s="1"/>
  <c r="H73" i="6"/>
  <c r="H66" i="6"/>
  <c r="H65" i="6"/>
  <c r="H58" i="6"/>
  <c r="H56" i="6"/>
  <c r="I35" i="6"/>
  <c r="H44" i="6" s="1"/>
  <c r="H45" i="6" s="1"/>
  <c r="H88" i="6" s="1"/>
  <c r="H35" i="6"/>
  <c r="A15" i="6"/>
  <c r="A16" i="6" s="1"/>
  <c r="A17" i="6" s="1"/>
  <c r="A18" i="6" s="1"/>
  <c r="A19" i="6" s="1"/>
  <c r="A31" i="6" s="1"/>
  <c r="H187" i="5"/>
  <c r="K51" i="5" s="1"/>
  <c r="H186" i="5"/>
  <c r="H185" i="5"/>
  <c r="K49" i="5" s="1"/>
  <c r="H184" i="5"/>
  <c r="H183" i="5"/>
  <c r="K47" i="5" s="1"/>
  <c r="H182" i="5"/>
  <c r="H181" i="5"/>
  <c r="K45" i="5" s="1"/>
  <c r="G180" i="5"/>
  <c r="H180" i="5"/>
  <c r="K39" i="5" s="1"/>
  <c r="K138" i="5"/>
  <c r="K110" i="5"/>
  <c r="K104" i="5"/>
  <c r="K86" i="5"/>
  <c r="K85" i="5"/>
  <c r="K50" i="5"/>
  <c r="K48" i="5"/>
  <c r="K46" i="5"/>
  <c r="K44" i="5" s="1"/>
  <c r="K52" i="5" s="1"/>
  <c r="K54" i="5" s="1"/>
  <c r="K56" i="5" s="1"/>
  <c r="K41" i="5"/>
  <c r="K58" i="5" s="1"/>
  <c r="K131" i="5" s="1"/>
  <c r="K24" i="5"/>
  <c r="K17" i="5"/>
  <c r="K18" i="5"/>
  <c r="A10" i="5"/>
  <c r="A11" i="5" s="1"/>
  <c r="A12" i="5" s="1"/>
  <c r="A15" i="5" s="1"/>
  <c r="D7" i="4"/>
  <c r="D12" i="3"/>
  <c r="D14" i="3" s="1"/>
  <c r="D8" i="3"/>
  <c r="F7" i="3"/>
  <c r="F6" i="3"/>
  <c r="E5" i="3"/>
  <c r="F4" i="3"/>
  <c r="E13" i="2"/>
  <c r="E14" i="2" s="1"/>
  <c r="E15" i="2" l="1"/>
  <c r="A16" i="5"/>
  <c r="A17" i="5" s="1"/>
  <c r="A18" i="5" s="1"/>
  <c r="A21" i="5" s="1"/>
  <c r="G78" i="6"/>
  <c r="A32" i="6"/>
  <c r="F8" i="3"/>
  <c r="F5" i="3"/>
  <c r="D17" i="3" s="1"/>
  <c r="D19" i="3" s="1"/>
  <c r="E8" i="3"/>
  <c r="F12" i="2"/>
  <c r="K34" i="5"/>
  <c r="H60" i="6"/>
  <c r="H79" i="6" s="1"/>
  <c r="H84" i="6" s="1"/>
  <c r="H89" i="6" s="1"/>
  <c r="K75" i="5"/>
  <c r="K82" i="5" s="1"/>
  <c r="K92" i="5" s="1"/>
  <c r="H67" i="6"/>
  <c r="H80" i="6" s="1"/>
  <c r="H92" i="6" l="1"/>
  <c r="I18" i="5"/>
  <c r="A22" i="5"/>
  <c r="A23" i="5" s="1"/>
  <c r="A24" i="5" s="1"/>
  <c r="A26" i="5" s="1"/>
  <c r="I24" i="5"/>
  <c r="I34" i="5"/>
  <c r="K81" i="5"/>
  <c r="G56" i="6"/>
  <c r="A33" i="6"/>
  <c r="G12" i="2"/>
  <c r="H12" i="2"/>
  <c r="F13" i="2" s="1"/>
  <c r="E16" i="2"/>
  <c r="E17" i="2" l="1"/>
  <c r="G65" i="6"/>
  <c r="A34" i="6"/>
  <c r="G13" i="2"/>
  <c r="H13" i="2" s="1"/>
  <c r="F14" i="2" s="1"/>
  <c r="K80" i="5"/>
  <c r="K91" i="5"/>
  <c r="K95" i="5" s="1"/>
  <c r="K112" i="5" s="1"/>
  <c r="K134" i="5" s="1"/>
  <c r="A28" i="5"/>
  <c r="A30" i="5" s="1"/>
  <c r="A31" i="5" s="1"/>
  <c r="A32" i="5" s="1"/>
  <c r="A34" i="5" s="1"/>
  <c r="H94" i="6"/>
  <c r="G14" i="2" l="1"/>
  <c r="H14" i="2" s="1"/>
  <c r="F15" i="2" s="1"/>
  <c r="A35" i="6"/>
  <c r="G81" i="6"/>
  <c r="B49" i="6"/>
  <c r="K83" i="5"/>
  <c r="K90" i="5"/>
  <c r="K93" i="5" s="1"/>
  <c r="K97" i="5" s="1"/>
  <c r="K133" i="5" s="1"/>
  <c r="K139" i="5" s="1"/>
  <c r="I35" i="5"/>
  <c r="I117" i="5"/>
  <c r="A39" i="5"/>
  <c r="E18" i="2"/>
  <c r="G15" i="2" l="1"/>
  <c r="H15" i="2" s="1"/>
  <c r="F16" i="2" s="1"/>
  <c r="E19" i="2"/>
  <c r="A40" i="5"/>
  <c r="A41" i="5" s="1"/>
  <c r="K144" i="5"/>
  <c r="K149" i="5" s="1"/>
  <c r="K155" i="5" s="1"/>
  <c r="K158" i="5" s="1"/>
  <c r="K160" i="5" s="1"/>
  <c r="B100" i="6"/>
  <c r="A42" i="6"/>
  <c r="A43" i="6" s="1"/>
  <c r="M159" i="5" l="1"/>
  <c r="M161" i="5" s="1"/>
  <c r="D6" i="4"/>
  <c r="D8" i="4" s="1"/>
  <c r="G16" i="2"/>
  <c r="H16" i="2"/>
  <c r="F17" i="2" s="1"/>
  <c r="E20" i="2"/>
  <c r="A44" i="6"/>
  <c r="B99" i="6"/>
  <c r="A43" i="5"/>
  <c r="A44" i="5" s="1"/>
  <c r="I41" i="5"/>
  <c r="G17" i="2" l="1"/>
  <c r="H17" i="2" s="1"/>
  <c r="F18" i="2" s="1"/>
  <c r="A45" i="6"/>
  <c r="G45" i="6"/>
  <c r="E21" i="2"/>
  <c r="A45" i="5"/>
  <c r="G18" i="2" l="1"/>
  <c r="H18" i="2"/>
  <c r="F19" i="2" s="1"/>
  <c r="A56" i="6"/>
  <c r="G88" i="6"/>
  <c r="A46" i="5"/>
  <c r="A47" i="5" s="1"/>
  <c r="A48" i="5" s="1"/>
  <c r="I44" i="5"/>
  <c r="E22" i="2"/>
  <c r="A57" i="6" l="1"/>
  <c r="A58" i="6" s="1"/>
  <c r="G60" i="6"/>
  <c r="G19" i="2"/>
  <c r="H19" i="2"/>
  <c r="F20" i="2" s="1"/>
  <c r="E23" i="2"/>
  <c r="A49" i="5"/>
  <c r="A50" i="5" s="1"/>
  <c r="A51" i="5" s="1"/>
  <c r="A52" i="5" s="1"/>
  <c r="A53" i="5" l="1"/>
  <c r="A54" i="5" s="1"/>
  <c r="I52" i="5"/>
  <c r="G20" i="2"/>
  <c r="H20" i="2" s="1"/>
  <c r="F21" i="2" s="1"/>
  <c r="E24" i="2"/>
  <c r="G66" i="6"/>
  <c r="A59" i="6"/>
  <c r="A60" i="6" s="1"/>
  <c r="G21" i="2" l="1"/>
  <c r="H21" i="2"/>
  <c r="F22" i="2" s="1"/>
  <c r="A55" i="5"/>
  <c r="A56" i="5" s="1"/>
  <c r="I56" i="5"/>
  <c r="A65" i="6"/>
  <c r="G79" i="6"/>
  <c r="I54" i="5"/>
  <c r="A58" i="5" l="1"/>
  <c r="I58" i="5"/>
  <c r="G22" i="2"/>
  <c r="H22" i="2" s="1"/>
  <c r="F23" i="2" s="1"/>
  <c r="A66" i="6"/>
  <c r="A67" i="6" s="1"/>
  <c r="G23" i="2" l="1"/>
  <c r="H23" i="2"/>
  <c r="H24" i="2" s="1"/>
  <c r="H25" i="2" s="1"/>
  <c r="G80" i="6"/>
  <c r="A68" i="6"/>
  <c r="A69" i="6" s="1"/>
  <c r="A70" i="6" s="1"/>
  <c r="A71" i="6" s="1"/>
  <c r="G67" i="6"/>
  <c r="A63" i="5"/>
  <c r="I131" i="5"/>
  <c r="G73" i="6" l="1"/>
  <c r="A72" i="6"/>
  <c r="A73" i="6" s="1"/>
  <c r="A64" i="5"/>
  <c r="A65" i="5" s="1"/>
  <c r="A68" i="5" l="1"/>
  <c r="I85" i="5"/>
  <c r="A74" i="6"/>
  <c r="A75" i="6" s="1"/>
  <c r="G82" i="6" l="1"/>
  <c r="A78" i="6"/>
  <c r="A79" i="6" s="1"/>
  <c r="A80" i="6" s="1"/>
  <c r="A81" i="6" s="1"/>
  <c r="A82" i="6" s="1"/>
  <c r="A83" i="6" s="1"/>
  <c r="A84" i="6" s="1"/>
  <c r="G75" i="6"/>
  <c r="A69" i="5"/>
  <c r="A70" i="5" s="1"/>
  <c r="G89" i="6" l="1"/>
  <c r="A88" i="6"/>
  <c r="A73" i="5"/>
  <c r="I86" i="5"/>
  <c r="A75" i="5" l="1"/>
  <c r="I82" i="5"/>
  <c r="I75" i="5"/>
  <c r="B102" i="6"/>
  <c r="A89" i="6"/>
  <c r="A90" i="6" s="1"/>
  <c r="A91" i="6" s="1"/>
  <c r="A92" i="6" s="1"/>
  <c r="G92" i="6"/>
  <c r="A93" i="6" l="1"/>
  <c r="A94" i="6" s="1"/>
  <c r="G94" i="6"/>
  <c r="A80" i="5"/>
  <c r="I81" i="5"/>
  <c r="A81" i="5" l="1"/>
  <c r="I90" i="5"/>
  <c r="A82" i="5" l="1"/>
  <c r="I80" i="5"/>
  <c r="I91" i="5"/>
  <c r="I83" i="5"/>
  <c r="A85" i="5" l="1"/>
  <c r="A86" i="5" s="1"/>
  <c r="A87" i="5" s="1"/>
  <c r="A90" i="5" s="1"/>
  <c r="A91" i="5" l="1"/>
  <c r="I92" i="5"/>
  <c r="A92" i="5" l="1"/>
  <c r="A93" i="5" s="1"/>
  <c r="A95" i="5" l="1"/>
  <c r="I97" i="5"/>
  <c r="I95" i="5"/>
  <c r="I93" i="5"/>
  <c r="I118" i="5" l="1"/>
  <c r="A97" i="5"/>
  <c r="I133" i="5" l="1"/>
  <c r="A102" i="5"/>
  <c r="A103" i="5" l="1"/>
  <c r="A104" i="5" s="1"/>
  <c r="I119" i="5" l="1"/>
  <c r="A107" i="5"/>
  <c r="I104" i="5"/>
  <c r="A108" i="5" l="1"/>
  <c r="A109" i="5" s="1"/>
  <c r="A110" i="5" s="1"/>
  <c r="A112" i="5" l="1"/>
  <c r="I120" i="5"/>
  <c r="I110" i="5"/>
  <c r="I134" i="5" l="1"/>
  <c r="A114" i="5"/>
  <c r="I112" i="5" l="1"/>
  <c r="A126" i="5"/>
  <c r="I139" i="5" l="1"/>
  <c r="A127" i="5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9" i="5" s="1"/>
  <c r="A141" i="5" l="1"/>
  <c r="A142" i="5" s="1"/>
  <c r="A144" i="5" s="1"/>
  <c r="I144" i="5"/>
  <c r="I17" i="5"/>
  <c r="I149" i="5" l="1"/>
  <c r="A149" i="5"/>
  <c r="A150" i="5" l="1"/>
  <c r="A151" i="5" s="1"/>
  <c r="A153" i="5" s="1"/>
  <c r="A155" i="5" s="1"/>
  <c r="I158" i="5" l="1"/>
  <c r="A158" i="5"/>
  <c r="I155" i="5"/>
  <c r="A159" i="5" l="1"/>
  <c r="A160" i="5" s="1"/>
  <c r="I160" i="5" l="1"/>
  <c r="F6" i="1" l="1"/>
  <c r="F5" i="1"/>
  <c r="F4" i="1"/>
  <c r="D11" i="1" s="1"/>
  <c r="D13" i="1" s="1"/>
  <c r="D16" i="1" l="1"/>
  <c r="D18" i="1" s="1"/>
  <c r="D20" i="1" s="1"/>
  <c r="D22" i="1" s="1"/>
  <c r="E8" i="1" l="1"/>
  <c r="D8" i="1"/>
  <c r="B16" i="1"/>
  <c r="F8" i="1" l="1"/>
  <c r="F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E5" authorId="0" shapeId="0" xr:uid="{A5E0B114-CA5C-4AD0-B02F-0D70C5ECD430}">
      <text>
        <r>
          <rPr>
            <b/>
            <sz val="9"/>
            <color indexed="81"/>
            <rFont val="Tahoma"/>
            <family val="2"/>
          </rPr>
          <t>Changed from $0 to $246,620 due to additional EPRI related wholesale exclusions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H83" authorId="0" shapeId="0" xr:uid="{CE73CC7C-1392-4559-839A-8A63A42F7A4E}">
      <text>
        <r>
          <rPr>
            <b/>
            <sz val="9"/>
            <color indexed="81"/>
            <rFont val="Tahoma"/>
            <family val="2"/>
          </rPr>
          <t>Changed from $0 to -$14,758 due to additional EPRI related wholesale exclusions.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Berton Hansen</author>
  </authors>
  <commentList>
    <comment ref="H41" authorId="0" shapeId="0" xr:uid="{1D4851B0-C76C-49CE-83B9-BE754978056E}">
      <text>
        <r>
          <rPr>
            <sz val="8"/>
            <color indexed="81"/>
            <rFont val="Tahoma"/>
            <family val="2"/>
          </rPr>
          <t>TO2025 Annual Update Sch 2, Line 16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2" authorId="0" shapeId="0" xr:uid="{AD4BF220-9496-4EAF-89CC-C888B94A1ED6}">
      <text>
        <r>
          <rPr>
            <sz val="8"/>
            <color indexed="81"/>
            <rFont val="Tahoma"/>
            <family val="2"/>
          </rPr>
          <t>T02025 Prior Year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0" authorId="0" shapeId="0" xr:uid="{6BE14944-B97D-4C6B-AEF8-AB80F1DE8E0F}">
      <text>
        <r>
          <rPr>
            <sz val="9"/>
            <color indexed="81"/>
            <rFont val="Tahoma"/>
            <family val="2"/>
          </rPr>
          <t>Inputs set to $0, not relevant to this calculation</t>
        </r>
      </text>
    </comment>
  </commentList>
</comments>
</file>

<file path=xl/sharedStrings.xml><?xml version="1.0" encoding="utf-8"?>
<sst xmlns="http://schemas.openxmlformats.org/spreadsheetml/2006/main" count="619" uniqueCount="420">
  <si>
    <t>EEI</t>
  </si>
  <si>
    <t>EPRI</t>
  </si>
  <si>
    <t>Total</t>
  </si>
  <si>
    <t>FERC Acct 560</t>
  </si>
  <si>
    <t>FERC Acct 921</t>
  </si>
  <si>
    <t>FERC Acct 930</t>
  </si>
  <si>
    <t>EPRI &amp; EEI Dues Recording to FERC Account 560</t>
  </si>
  <si>
    <t>Total EPRI &amp; EEI in FERC Account 560</t>
  </si>
  <si>
    <t>A</t>
  </si>
  <si>
    <t>ISO Allocator (Schedule 19)</t>
  </si>
  <si>
    <t>B</t>
  </si>
  <si>
    <t>Amount Allocated to ISO Transmission Through Schedule 19</t>
  </si>
  <si>
    <t>C=A*B</t>
  </si>
  <si>
    <t>EPRI &amp; EEI Dues Recording to FERC Account 560 - Exclusion From Wholesale Rates</t>
  </si>
  <si>
    <t>D=A</t>
  </si>
  <si>
    <t>Labor Allocator</t>
  </si>
  <si>
    <t>E</t>
  </si>
  <si>
    <t>Amount excluded from wholesale rates through Schedule 25, Line 31</t>
  </si>
  <si>
    <t>F=D*E</t>
  </si>
  <si>
    <t>Remaining amount to be excluded thought Schedule 25, Line 37</t>
  </si>
  <si>
    <t>G=C-F</t>
  </si>
  <si>
    <t>Total amount excluded from wholesale rates</t>
  </si>
  <si>
    <t>H=C=F+G</t>
  </si>
  <si>
    <t>FERC Acct 923</t>
  </si>
  <si>
    <t>Total (Input to Schedule 25, Lines 27 &amp; 28)</t>
  </si>
  <si>
    <t>EPRI/EEI Expenses Reflected in Formula Rate Subject to Exclusion From Wholesale Rates</t>
  </si>
  <si>
    <t>Wholesale Prior Period True Up Adjustment</t>
  </si>
  <si>
    <t>Wholesale Prior Period Adjustment for Revised 2022 True Up TRR</t>
  </si>
  <si>
    <t>Cumulative</t>
  </si>
  <si>
    <t>Excess (-) or</t>
  </si>
  <si>
    <t>Shortfall (+)</t>
  </si>
  <si>
    <t>Monthly</t>
  </si>
  <si>
    <t>in Revenue</t>
  </si>
  <si>
    <t>Interest</t>
  </si>
  <si>
    <t>True Up</t>
  </si>
  <si>
    <t>wo Interest for</t>
  </si>
  <si>
    <t>for Current</t>
  </si>
  <si>
    <t>Month</t>
  </si>
  <si>
    <t>Year</t>
  </si>
  <si>
    <t>Rate</t>
  </si>
  <si>
    <t>TRR Adjustment</t>
  </si>
  <si>
    <t>Current Month</t>
  </si>
  <si>
    <t>with Interest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</si>
  <si>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</si>
  <si>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</si>
  <si>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</si>
  <si>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</si>
  <si>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</si>
  <si>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</si>
  <si>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</si>
  <si>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</si>
  <si>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</si>
  <si>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</si>
  <si>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</si>
  <si>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</si>
  <si>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 xml:space="preserve">Subtotal One-Time Adj: </t>
  </si>
  <si>
    <t>Total One-Time Adj with Interest:</t>
  </si>
  <si>
    <t>EPRI and EEI Expense in TO2024 Annual Update</t>
  </si>
  <si>
    <t>EPRI/EEI Expenses Reflected in Formula Rate</t>
  </si>
  <si>
    <t>Total Amount Excluded From Wholesale Rates in TO2024</t>
  </si>
  <si>
    <t>EPRI Dues</t>
  </si>
  <si>
    <t>Amount Excluded in TO2024 (see Schedule 25, line 31)</t>
  </si>
  <si>
    <t>Additional EPRI Participation Not Reflected in TO2024- Exclusion from Wholesale Rates</t>
  </si>
  <si>
    <t>Total EPRI Participation Exclusion</t>
  </si>
  <si>
    <t>H</t>
  </si>
  <si>
    <t>I = E</t>
  </si>
  <si>
    <t>Amount Not Reflected In TO2024</t>
  </si>
  <si>
    <t>J = H * I</t>
  </si>
  <si>
    <t xml:space="preserve">One Time Adjustment for Revised 2022 Wholesale TRR </t>
  </si>
  <si>
    <t>Description</t>
  </si>
  <si>
    <t>Amount</t>
  </si>
  <si>
    <t>Source</t>
  </si>
  <si>
    <t>Revised TO2024 Wholesale TRR in TO2025 Posting</t>
  </si>
  <si>
    <t>TO2025 Draft Annual Posting - WP Schedule 25 - EPRI &amp; EEI Prior Period Adj, Page 6, Line 89</t>
  </si>
  <si>
    <t>TO2024 Wholesale TRR in TO2024 Annual Update</t>
  </si>
  <si>
    <t>TO2024 Annual Update Filing, Schedule 1, Line 89</t>
  </si>
  <si>
    <t>Variance*</t>
  </si>
  <si>
    <t>* Variance Includes Adjustment for:</t>
  </si>
  <si>
    <t xml:space="preserve">(1) 2022 Wholesale EPRI sponsorship adjustment </t>
  </si>
  <si>
    <t>Southern California Edison Company</t>
  </si>
  <si>
    <t>Cells shaded yellow are input cells</t>
  </si>
  <si>
    <t>Formula Transmission Rate</t>
  </si>
  <si>
    <t xml:space="preserve">FERC Form 1 Reference </t>
  </si>
  <si>
    <t xml:space="preserve">Line </t>
  </si>
  <si>
    <t>Notes</t>
  </si>
  <si>
    <t>or Instruction</t>
  </si>
  <si>
    <t>Value</t>
  </si>
  <si>
    <t>RATE BASE</t>
  </si>
  <si>
    <t>ISO Transmission Plant</t>
  </si>
  <si>
    <t>General Plant + Electric Miscellaneous Intangible Plant</t>
  </si>
  <si>
    <t>Transmission Plant Held for Future Use</t>
  </si>
  <si>
    <t>Abandoned Plant</t>
  </si>
  <si>
    <t>Working Capital amounts</t>
  </si>
  <si>
    <t>Materials and Supplies</t>
  </si>
  <si>
    <t>Prepayments</t>
  </si>
  <si>
    <t>Cash Working Capital</t>
  </si>
  <si>
    <t>Working Capital</t>
  </si>
  <si>
    <t>Accumulated Depreciation Reserve Balances</t>
  </si>
  <si>
    <t xml:space="preserve">Transmission Depreciation Reserve - ISO </t>
  </si>
  <si>
    <t>Negative amount</t>
  </si>
  <si>
    <t xml:space="preserve">Distribution Depreciation Reserve - ISO </t>
  </si>
  <si>
    <t>General + Intangible Plant Depreciation Reserve</t>
  </si>
  <si>
    <t>Accumulated Depreciation Reserve</t>
  </si>
  <si>
    <t>Accum Net ADIT (Liab)/Asset and Net (Excess)/Deficient ADIT Amounts</t>
  </si>
  <si>
    <t>CWIP Plant</t>
  </si>
  <si>
    <t>Other Regulatory Assets/Liabilities</t>
  </si>
  <si>
    <t>Unfunded Reserves</t>
  </si>
  <si>
    <t>Network Upgrade Credits</t>
  </si>
  <si>
    <t>Rate Base</t>
  </si>
  <si>
    <t>OTHER TAXES</t>
  </si>
  <si>
    <t>Sub-Total Local Taxes</t>
  </si>
  <si>
    <t>Note 6</t>
  </si>
  <si>
    <t>Transmission Plant Allocation Factor</t>
  </si>
  <si>
    <t>Property Taxes</t>
  </si>
  <si>
    <t xml:space="preserve"> </t>
  </si>
  <si>
    <t>Payroll Taxes Expense</t>
  </si>
  <si>
    <t>FICA</t>
  </si>
  <si>
    <t>Fed Ins Cont Amt -- Current</t>
  </si>
  <si>
    <t>FICA/OASDI Emp Incntv.</t>
  </si>
  <si>
    <t>FICA/HIT Emp Incntv.</t>
  </si>
  <si>
    <t>CA SUI Current</t>
  </si>
  <si>
    <t>Fed Unemp Tax Act- Current</t>
  </si>
  <si>
    <t>CADI Vol Plan Assess</t>
  </si>
  <si>
    <t>SF Pyrl Exp Tx - SCE</t>
  </si>
  <si>
    <t>Total Electric Payroll Tax Expense</t>
  </si>
  <si>
    <t>Capitalized Overhead portion of Electric Payroll Tax Expense</t>
  </si>
  <si>
    <t>Remaining Electric Payroll Tax Expense to Allocate</t>
  </si>
  <si>
    <t>Transmission Wages and Salaries Allocation Factor</t>
  </si>
  <si>
    <t>Other Taxes</t>
  </si>
  <si>
    <t>Note 1</t>
  </si>
  <si>
    <t>RETURN AND CAPITALIZATION CALCULATIONS</t>
  </si>
  <si>
    <t>Debt</t>
  </si>
  <si>
    <t>Long Term Debt Amount</t>
  </si>
  <si>
    <t>Cost of Long Term Debt</t>
  </si>
  <si>
    <t>Long Term Debt Cost Percentage</t>
  </si>
  <si>
    <t>Preferred Stock</t>
  </si>
  <si>
    <t>Preferred Stock Amount</t>
  </si>
  <si>
    <t>Cost of Preferred Stock</t>
  </si>
  <si>
    <t>Preferred Stock Cost Percentage</t>
  </si>
  <si>
    <t>Equity</t>
  </si>
  <si>
    <t>Common Stock Equity Amount</t>
  </si>
  <si>
    <t>Total Capital</t>
  </si>
  <si>
    <t>44a</t>
  </si>
  <si>
    <t xml:space="preserve">Minimum Common Stock Capital Percentage (Docket No. ER19-1553) </t>
  </si>
  <si>
    <t>Capital Percentages</t>
  </si>
  <si>
    <t>Long Term Debt Capital Percentage</t>
  </si>
  <si>
    <t>Preferred Stock Capital Percentage</t>
  </si>
  <si>
    <t>Common Stock Capital Percentage</t>
  </si>
  <si>
    <t>Annual Cost of Capital Components</t>
  </si>
  <si>
    <t>Return on Common Equity</t>
  </si>
  <si>
    <t>Note 2</t>
  </si>
  <si>
    <t>SCE Return on Equity</t>
  </si>
  <si>
    <t>Calculation of Cost of Capital Rate</t>
  </si>
  <si>
    <t>Weighted Cost of Long Term Debt</t>
  </si>
  <si>
    <t>Weighted Cost of Preferred Stock</t>
  </si>
  <si>
    <t>Weighted Cost of Common Stock</t>
  </si>
  <si>
    <t>Cost of Capital Rate</t>
  </si>
  <si>
    <t xml:space="preserve">Equity Rate of Return Including Common and Preferred Stock </t>
  </si>
  <si>
    <t>Used for Tax calculation</t>
  </si>
  <si>
    <t>Return on Capital: Rate Base times Cost of Capital Rate</t>
  </si>
  <si>
    <t>INCOME TAXES</t>
  </si>
  <si>
    <t>Federal Income Tax Rate</t>
  </si>
  <si>
    <t>State Income Tax Rate</t>
  </si>
  <si>
    <t>Composite Tax Rate</t>
  </si>
  <si>
    <t>= F + [S * (1 - F)]</t>
  </si>
  <si>
    <t>Calculation of Credits and Other:</t>
  </si>
  <si>
    <t>Amortization of Net (Excess)/Deficient Deferred Tax Liability Asset</t>
  </si>
  <si>
    <t>Negative of 9-ADIT-2, Line 500, Column 7</t>
  </si>
  <si>
    <t>Investment Tax Credit Flowed Through</t>
  </si>
  <si>
    <t>Note 3</t>
  </si>
  <si>
    <t>South Georgia Income Tax Adjustment</t>
  </si>
  <si>
    <t>Credits and Other</t>
  </si>
  <si>
    <t>Income Taxes:</t>
  </si>
  <si>
    <t>Income Taxes = [((RB * ER) + D) * (CTR/(1 – CTR))]  + CO/(1 – CTR)</t>
  </si>
  <si>
    <t>Where:</t>
  </si>
  <si>
    <t>RB = Rate Base</t>
  </si>
  <si>
    <t>ER = Equity Rate of Return Including Common and Preferred Stock</t>
  </si>
  <si>
    <t>CTR = Composite Tax Rate</t>
  </si>
  <si>
    <t>CO = Credits and Other</t>
  </si>
  <si>
    <t>D = Book Depreciation of AFUDC Equity Book Basis</t>
  </si>
  <si>
    <t>Workpaper:</t>
  </si>
  <si>
    <t>WP Schedule 1</t>
  </si>
  <si>
    <t>PRIOR YEAR TRANSMISSION REVENUE REQUIREMENT</t>
  </si>
  <si>
    <t>Component of Prior Year TRR:</t>
  </si>
  <si>
    <t>O&amp;M Expense</t>
  </si>
  <si>
    <t>A&amp;G Expense</t>
  </si>
  <si>
    <t>Network Upgrade Interest Expense</t>
  </si>
  <si>
    <t>Depreciation Expense</t>
  </si>
  <si>
    <t>Abandoned Plant Amortization Expense</t>
  </si>
  <si>
    <t>Revenue Credits</t>
  </si>
  <si>
    <t>Return on Capital</t>
  </si>
  <si>
    <t>Income Taxes</t>
  </si>
  <si>
    <t>Gains and Losses on Trans. Plant Held for Future Use -- Land</t>
  </si>
  <si>
    <t>Gain negative, loss positive</t>
  </si>
  <si>
    <t>Amortization and Regulatory Debits/Credits</t>
  </si>
  <si>
    <t>Prior Year Incentive Adder</t>
  </si>
  <si>
    <t>77a</t>
  </si>
  <si>
    <t>Prior Year Incentive Adder Reversal</t>
  </si>
  <si>
    <t>Note 5</t>
  </si>
  <si>
    <t>Negative of Line 77</t>
  </si>
  <si>
    <t>Total without FF&amp;U</t>
  </si>
  <si>
    <t>Franchise Fees Expense</t>
  </si>
  <si>
    <t>Uncollectibles Expense</t>
  </si>
  <si>
    <t>Prior Year TRR</t>
  </si>
  <si>
    <t>TOTAL BASE TRANSMISSION REVENUE REQUIREMENT</t>
  </si>
  <si>
    <t>Calculation of Base Transmission Revenue Requirement</t>
  </si>
  <si>
    <t>Incremental Forecast Period TRR</t>
  </si>
  <si>
    <t>True Up Adjustment</t>
  </si>
  <si>
    <t>84a</t>
  </si>
  <si>
    <t>O&amp;M Services Formula Revenue</t>
  </si>
  <si>
    <t xml:space="preserve">Cost Adjustment </t>
  </si>
  <si>
    <t>Note 4</t>
  </si>
  <si>
    <t>Base Transmission Revenue Requirement (Retail)</t>
  </si>
  <si>
    <t>For Retail Purposes</t>
  </si>
  <si>
    <t>Wholesale Base Transmission Revenue Requirement</t>
  </si>
  <si>
    <t xml:space="preserve">Change In </t>
  </si>
  <si>
    <t xml:space="preserve">Base TRR (Retail) </t>
  </si>
  <si>
    <t>TO2024 Wholesale Base TRR</t>
  </si>
  <si>
    <t>Wholesale Difference to the Base TRR</t>
  </si>
  <si>
    <t>TO2024 Annual Update, Schedule 1, Line 89</t>
  </si>
  <si>
    <t>Notes:</t>
  </si>
  <si>
    <t xml:space="preserve">1) Any amount of "Sub-Total Local Taxes" or "Payroll Taxes Expense" may be excluded if appropriate with the provision of a workpaper showing the </t>
  </si>
  <si>
    <t>reason for the exclusion and the amount of the exclusion.</t>
  </si>
  <si>
    <t xml:space="preserve">2) No change in Return on Common Equity will be made absent a Section 205 filing at the Commission. </t>
  </si>
  <si>
    <t>Additional EPRI Participation Wholesale Exclusion</t>
  </si>
  <si>
    <t>Does not include any project-specific ROE adders.  See Schedule 15 at Lines 31-39.</t>
  </si>
  <si>
    <t>In the event that the Return on Common Equity is revised from the initial value, enter cite to Commission Order approving the revised ROE on following line.</t>
  </si>
  <si>
    <t>Order approving revised ROE:</t>
  </si>
  <si>
    <t>Docket No. ER19-1553</t>
  </si>
  <si>
    <r>
      <t>3) No change in the South Georgia Income Tax Adjustment "Credits and Other" term</t>
    </r>
    <r>
      <rPr>
        <sz val="10"/>
        <rFont val="Arial"/>
        <family val="2"/>
      </rPr>
      <t xml:space="preserve"> will be made absent </t>
    </r>
  </si>
  <si>
    <t xml:space="preserve">a filing at the Commission.  Investment Tax Credit Flowed Through amount shall be negative $520,000 through the Prior Year of 2018, </t>
  </si>
  <si>
    <t>negative $183,000 for the Prior Year of 2019, and $0 thereafter.</t>
  </si>
  <si>
    <t>4) Cost Adjustment may be included as provided in the Tariff protocols.</t>
  </si>
  <si>
    <t>5) Prior Year Incentive Adder Reversal backs out the revenue requirement associated with any project-specific Incentive Adders</t>
  </si>
  <si>
    <t>(Line 77).  Applicable pursuant to settlement under ER19-1553.</t>
  </si>
  <si>
    <t>6) "Sub Total Local Taxes" on Line 19 and Payroll Taxes on Lines 24-30 include O&amp;M Services Formula Revenues as follows, pursuant to Schedule 35, Note 2.</t>
  </si>
  <si>
    <t>O&amp;M</t>
  </si>
  <si>
    <t>FERC</t>
  </si>
  <si>
    <t>Services</t>
  </si>
  <si>
    <t>Form 1</t>
  </si>
  <si>
    <t>FERC Form 1 References</t>
  </si>
  <si>
    <t>Revenue</t>
  </si>
  <si>
    <t>Item</t>
  </si>
  <si>
    <t>Reference</t>
  </si>
  <si>
    <t>Line 19:</t>
  </si>
  <si>
    <t>FF1 263, Rows 39-47, Column l</t>
  </si>
  <si>
    <t>Schedule 35, Line 52, C 4</t>
  </si>
  <si>
    <t>Line 24:</t>
  </si>
  <si>
    <t>FF1 263, Row 5, Column l</t>
  </si>
  <si>
    <t>Schedule 35, Line 54, C 4</t>
  </si>
  <si>
    <t>Line 25:</t>
  </si>
  <si>
    <t>FF1 263, Row 6, Column l</t>
  </si>
  <si>
    <t>Schedule 35, Line 55, C 4</t>
  </si>
  <si>
    <t>Line 26:</t>
  </si>
  <si>
    <t>FF1 263, Row 7, Column l</t>
  </si>
  <si>
    <t>Schedule 35, Line 56, C 4</t>
  </si>
  <si>
    <t>Line 27:</t>
  </si>
  <si>
    <t xml:space="preserve">FF1 263, Row 8, Column l </t>
  </si>
  <si>
    <t>Schedule 35, Line 57, C 4</t>
  </si>
  <si>
    <t>Line 28:</t>
  </si>
  <si>
    <t>FF1 263, Row 15, Column l</t>
  </si>
  <si>
    <t>Schedule 35, Line 58, C 4</t>
  </si>
  <si>
    <t>Line 29:</t>
  </si>
  <si>
    <t>FF1 263, Row 13, Column l</t>
  </si>
  <si>
    <t>Schedule 35, Line 59, C 4</t>
  </si>
  <si>
    <t>Line 30:</t>
  </si>
  <si>
    <t>FF1 263, Row 12, Column l</t>
  </si>
  <si>
    <t>Schedule 35, Line 60, C 4</t>
  </si>
  <si>
    <t>Calculation of Wholesale Difference to the Base TRR</t>
  </si>
  <si>
    <t>WP Schedule 25 Wholesale Difference</t>
  </si>
  <si>
    <t>Inputs are shaded yellow</t>
  </si>
  <si>
    <t xml:space="preserve">The Wholesale Difference to the Base TRR represents the amount by which the Wholesale Base TRR differs as </t>
  </si>
  <si>
    <t>compared to the Retail Base TRR.  This difference is attributable to differences in the following six items,</t>
  </si>
  <si>
    <r>
      <t xml:space="preserve">as approved by Commission Order 86 FERC </t>
    </r>
    <r>
      <rPr>
        <sz val="10"/>
        <color theme="1"/>
        <rFont val="Calibri"/>
        <family val="2"/>
      </rPr>
      <t>¶</t>
    </r>
    <r>
      <rPr>
        <sz val="10"/>
        <color theme="1"/>
        <rFont val="Arial"/>
        <family val="2"/>
      </rPr>
      <t xml:space="preserve"> 63,014 in Docket No. ER97-2355.</t>
    </r>
  </si>
  <si>
    <t>These six items may affect the Base TRR by affecting Rate Base, or affecting an annual expense (amortization).</t>
  </si>
  <si>
    <t>If the annual amortization affects Income Taxes, there is an additional annual Income Tax Effect.  The table</t>
  </si>
  <si>
    <t>summarizes these impacts for each item:</t>
  </si>
  <si>
    <t xml:space="preserve">Expense </t>
  </si>
  <si>
    <t>(Amortization)</t>
  </si>
  <si>
    <t>Expense</t>
  </si>
  <si>
    <t>Line</t>
  </si>
  <si>
    <t>Difference</t>
  </si>
  <si>
    <t>Tax Impact</t>
  </si>
  <si>
    <t>a) Depreciation</t>
  </si>
  <si>
    <t>Yes</t>
  </si>
  <si>
    <t>No</t>
  </si>
  <si>
    <t>b) Taxes Deferred -Make Up Adjustment (South Georgia)</t>
  </si>
  <si>
    <t>c) Excess Deferred Taxes</t>
  </si>
  <si>
    <t>d) Taxes Deferred - Acct. 282 ACRS/MACRS</t>
  </si>
  <si>
    <t>e) Uncollectibles Expense</t>
  </si>
  <si>
    <t>f) EPRI and EEI Dues</t>
  </si>
  <si>
    <t>1) Calculation of Wholesale Rate Base Difference and Wholesale Rate Base Adjustment</t>
  </si>
  <si>
    <t>a) Quantification of the Initial 2010 Wholesale Rate Base Difference and annual change</t>
  </si>
  <si>
    <t>The difference between Retail and Wholesale Rate Base is attributable to the following four items,</t>
  </si>
  <si>
    <t>with the Initial Prior Year 2010 Rate Base differences and annual changes as follows:</t>
  </si>
  <si>
    <t>Col 1</t>
  </si>
  <si>
    <t>Col 2</t>
  </si>
  <si>
    <t>2010 Rate Base</t>
  </si>
  <si>
    <t>Annual</t>
  </si>
  <si>
    <t>Data</t>
  </si>
  <si>
    <t>(Wholesale</t>
  </si>
  <si>
    <t>Change</t>
  </si>
  <si>
    <t>less Retail)</t>
  </si>
  <si>
    <t>1) Accumulated Depreciation</t>
  </si>
  <si>
    <t>Fixed values</t>
  </si>
  <si>
    <t>2) Taxes Deferred - Make Up Adjustment</t>
  </si>
  <si>
    <t>3) Excess Deferred Taxes</t>
  </si>
  <si>
    <t>4) Taxes Deferred - Acct. 282 ACRS/MACRS</t>
  </si>
  <si>
    <t>Totals:</t>
  </si>
  <si>
    <t>b) Quantification of the Wholesale Rate Base Adjustment</t>
  </si>
  <si>
    <t>The Wholesale Rate Base Adjustment represents the impact on the Wholesale Base TRR relative to the Retail Base TRR of</t>
  </si>
  <si>
    <t>the Wholesale Rate Base Difference for the Prior Year.</t>
  </si>
  <si>
    <t>Notes/Instructions</t>
  </si>
  <si>
    <t>Fixed Charge Rate</t>
  </si>
  <si>
    <t>Prior Year</t>
  </si>
  <si>
    <t>Wholesale Rate Base Difference for Prior Year</t>
  </si>
  <si>
    <t>Wholesale Rate Base Adjustment</t>
  </si>
  <si>
    <t>2) Calculation of Wholesale Expense Difference</t>
  </si>
  <si>
    <t>It represents the effect on expenses (Wholesale less Retail) of amortizing the associated balances each year.</t>
  </si>
  <si>
    <t>If an annual amortization amount affects Income Taxes, the expense difference must be grossed up for income taxes.</t>
  </si>
  <si>
    <t>a) Calculation of the Wholesale South Georgia Income Tax Adjustment to the TRR</t>
  </si>
  <si>
    <t>South Georgia Amortization</t>
  </si>
  <si>
    <t>Composite Tax Rate ("CTR")</t>
  </si>
  <si>
    <t>Tax Gross Up Factor</t>
  </si>
  <si>
    <t>(1/(1-CTR))</t>
  </si>
  <si>
    <t>Wholesale South Georgia</t>
  </si>
  <si>
    <t>Income Tax Adjustment to the TRR:</t>
  </si>
  <si>
    <t>b) Calculation of "Excess Deferred Taxes" Grossed Up for Income Taxes</t>
  </si>
  <si>
    <t>Annual Amort. of "Excess Deferred Taxes":</t>
  </si>
  <si>
    <t>Excess Deferred Taxes Grossed Up for Income Taxes:</t>
  </si>
  <si>
    <t>c) Calculation of EPRI and EEI Dues Exclusion</t>
  </si>
  <si>
    <t>SCE Records</t>
  </si>
  <si>
    <t>EEI Dues</t>
  </si>
  <si>
    <t>Sum of EPRI and EEI Dues</t>
  </si>
  <si>
    <t>EPRI and EEI Dues Exclusion</t>
  </si>
  <si>
    <t>d) Total Expense Difference</t>
  </si>
  <si>
    <t>1) Wholesale Depreciation Difference</t>
  </si>
  <si>
    <t>5) EPRI and EEI Dues Exclusion</t>
  </si>
  <si>
    <t>6) Additional Expense Difference</t>
  </si>
  <si>
    <t>Total Expense Difference:</t>
  </si>
  <si>
    <t>3) Calculation of the Wholesale Difference to the Base TRR</t>
  </si>
  <si>
    <t>Expense Difference</t>
  </si>
  <si>
    <t>Uncollectibles Expense -- Prior Year TRR</t>
  </si>
  <si>
    <t>Uncollectibles Expense -- IFPTRR</t>
  </si>
  <si>
    <t>Subtotal:</t>
  </si>
  <si>
    <t>Franchise Fee Exclusion</t>
  </si>
  <si>
    <t>Wholesale Difference to the Base TRR:</t>
  </si>
  <si>
    <t>Notes/Instructions:</t>
  </si>
  <si>
    <t>1) Fixed Charge Rate of capital and income tax costs associated with $1 of Rate Base</t>
  </si>
  <si>
    <t>is defined elsewhere in this formula as "AFCRCWIP".</t>
  </si>
  <si>
    <t xml:space="preserve">5) Only exclude if not already excluded in Schedule 20.  </t>
  </si>
  <si>
    <t>6) If appropriate, additional expenses may be excluded from the Wholesale Base TRR</t>
  </si>
  <si>
    <t>Workpaper to determine the Wholesale Adjustment for TO2025 relating to the Legacy Retail/Wholesale Differences</t>
  </si>
  <si>
    <t>See Testimony of Berton J. Hansen in ER24-1740, Page  15-16, describing the purpose of this calculation</t>
  </si>
  <si>
    <t>Wholesale Difference attributable to previous Schedule 25 amortizations (applied to the 2023 Year)</t>
  </si>
  <si>
    <t>Line 32 below</t>
  </si>
  <si>
    <t>Line 33 below</t>
  </si>
  <si>
    <t>Line 34 below</t>
  </si>
  <si>
    <t>Line 35 below</t>
  </si>
  <si>
    <t>5) Wholesale Rate Base Adjustment</t>
  </si>
  <si>
    <t>Line 15 below</t>
  </si>
  <si>
    <t>Total (to be included on Line 7 of Schedule 27):</t>
  </si>
  <si>
    <t>Sum of Above</t>
  </si>
  <si>
    <t>Calculations from Schedule 25 from Pre- ER24-1740  Filing, but with 2023 as the Prior Year:</t>
  </si>
  <si>
    <t>Only include the items that have been removed in ER24-1470 (Legacy Wholesale / Retail Differences)</t>
  </si>
  <si>
    <t>Note: do not include items that are still in the Wholesale Difference, such as EEI/EPRI</t>
  </si>
  <si>
    <t>WP-2022 TO2024 EPRI Adj wInt</t>
  </si>
  <si>
    <t>Source tab</t>
  </si>
  <si>
    <t xml:space="preserve">Prior Period One-Time Adjustment </t>
  </si>
  <si>
    <t>Additional Expense Difference to Exclusion From Wholesale Rates</t>
  </si>
  <si>
    <t>Legacy Wholesale&amp;Retail Diff</t>
  </si>
  <si>
    <t>Legacy Retail/Wholesale Differences</t>
  </si>
  <si>
    <t>Workpaper EEI &amp; EPRI</t>
  </si>
  <si>
    <t>6-PlantInService, Line 19</t>
  </si>
  <si>
    <t>6-PlantInService, Line 27</t>
  </si>
  <si>
    <t>11-PHFU, Line 8</t>
  </si>
  <si>
    <t>11-PHFU, Line 10</t>
  </si>
  <si>
    <t>12-AbandonedPlant, Line 3</t>
  </si>
  <si>
    <t>12-AbandonedPlant, Line 1</t>
  </si>
  <si>
    <t>13-WorkCap, Line 16</t>
  </si>
  <si>
    <t>13-WorkCap, Line 36</t>
  </si>
  <si>
    <t>8-AccDep, Line 13, Col. 12</t>
  </si>
  <si>
    <t>8-AccDep, Line 16, Col. 5</t>
  </si>
  <si>
    <t>8-AccDep, Line 26</t>
  </si>
  <si>
    <t>9-ADIT-1, Line 5, Col. 2</t>
  </si>
  <si>
    <t>14-IncentivePlant, L 13, Col 1</t>
  </si>
  <si>
    <t>23-RegAssets, Line 14</t>
  </si>
  <si>
    <t>23-RegAssets, Line 16</t>
  </si>
  <si>
    <t>34-UnfundedReserves, Line 6</t>
  </si>
  <si>
    <t>22-NUCs, Line 4</t>
  </si>
  <si>
    <t>22-NUCs, Line 8</t>
  </si>
  <si>
    <t>27-Allocators, Line 22</t>
  </si>
  <si>
    <t>27-Allocators, Line 9</t>
  </si>
  <si>
    <t>26-TaxRates, Line 16</t>
  </si>
  <si>
    <t>26-Tax Rates, Line 1</t>
  </si>
  <si>
    <t>26-Tax Rates, Line 8</t>
  </si>
  <si>
    <t>5-ROR-1, Line 4</t>
  </si>
  <si>
    <t>5-ROR-1, Line 11</t>
  </si>
  <si>
    <t>5-ROR-1, Line 12</t>
  </si>
  <si>
    <t>5-ROR-1, Line 16</t>
  </si>
  <si>
    <t>5-ROR-1, Line 20</t>
  </si>
  <si>
    <t>5-ROR-1, Line 21</t>
  </si>
  <si>
    <t>5-ROR-1, Line 27</t>
  </si>
  <si>
    <t>19-OandM, Line 91, Col. 6</t>
  </si>
  <si>
    <t>20-AandG, Line 23</t>
  </si>
  <si>
    <t>17-Depreciation, Line 70</t>
  </si>
  <si>
    <t>21-Revenue Credits, Line 44</t>
  </si>
  <si>
    <t>15-IncentiveAdder, Line 14</t>
  </si>
  <si>
    <t>L 78 * FF Factor (28-FFU, L 5)</t>
  </si>
  <si>
    <t>L 78 * U Factor (28-FFU, L 5)</t>
  </si>
  <si>
    <t>4) Franchise Fee Exclusion is equal to the Franchise Fee Factor on the 28-FFU Line 5</t>
  </si>
  <si>
    <t>2-IFPTRR, Line 82</t>
  </si>
  <si>
    <t>2-IFPTRR Line 16</t>
  </si>
  <si>
    <t>- 2-IFPTRR, L 80</t>
  </si>
  <si>
    <t>3-TrueUpAdjust, Line 30</t>
  </si>
  <si>
    <t>Negative of 35-Other Formula Revenue, L 80</t>
  </si>
  <si>
    <t>25-WholesaleDifference, Line 45</t>
  </si>
  <si>
    <t>1-BaseTRR L 59</t>
  </si>
  <si>
    <t>- 1-Base TRR, L 80</t>
  </si>
  <si>
    <t>Summary - Schedule 25 Wholesale 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</si>
</sst>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_);[Red]\(&quot;$&quot;#,##0\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%"/>
    <numFmt numFmtId="167" formatCode="&quot;$&quot;#,##0"/>
    <numFmt numFmtId="168" formatCode="0.00000000%"/>
    <numFmt numFmtId="169" formatCode="&quot;$&quot;#,##0;[Red]&quot;$&quot;#,##0"/>
    <numFmt numFmtId="170" formatCode="0.000%"/>
    <numFmt numFmtId="171" formatCode="0.0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9"/>
      <color indexed="81"/>
      <name val="Tahoma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0"/>
      <color indexed="13"/>
      <name val="Arial"/>
      <family val="2"/>
    </font>
    <font>
      <sz val="10"/>
      <color indexed="13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u/>
      <sz val="10"/>
      <color theme="1"/>
      <name val="Arial"/>
      <family val="2"/>
    </font>
    <font>
      <b/>
      <i/>
      <sz val="8"/>
      <name val="Arial"/>
      <family val="2"/>
    </font>
    <font>
      <sz val="10"/>
      <color theme="1"/>
      <name val="Calibri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color rgb="FFFF0000"/>
      <name val="Arial"/>
      <family val="2"/>
    </font>
    <font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sz val="8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24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2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1" applyNumberFormat="1" applyFont="1" applyAlignment="1">
      <alignment horizontal="center" vertical="center"/>
    </xf>
    <xf numFmtId="164" fontId="0" fillId="0" borderId="0" xfId="1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/>
    <xf numFmtId="164" fontId="2" fillId="0" borderId="0" xfId="1" applyNumberFormat="1" applyFont="1" applyAlignment="1">
      <alignment horizontal="center"/>
    </xf>
    <xf numFmtId="165" fontId="0" fillId="0" borderId="0" xfId="2" applyNumberFormat="1" applyFont="1" applyFill="1"/>
    <xf numFmtId="166" fontId="5" fillId="0" borderId="0" xfId="3" applyNumberFormat="1" applyFont="1" applyFill="1" applyBorder="1" applyAlignment="1">
      <alignment horizontal="right" wrapText="1"/>
    </xf>
    <xf numFmtId="0" fontId="7" fillId="0" borderId="0" xfId="0" applyFont="1"/>
    <xf numFmtId="0" fontId="1" fillId="0" borderId="0" xfId="4"/>
    <xf numFmtId="0" fontId="1" fillId="0" borderId="1" xfId="4" applyBorder="1"/>
    <xf numFmtId="0" fontId="1" fillId="0" borderId="2" xfId="4" applyBorder="1"/>
    <xf numFmtId="0" fontId="1" fillId="0" borderId="3" xfId="4" applyBorder="1"/>
    <xf numFmtId="0" fontId="7" fillId="0" borderId="0" xfId="4" applyFont="1" applyAlignment="1">
      <alignment horizontal="center"/>
    </xf>
    <xf numFmtId="0" fontId="8" fillId="0" borderId="0" xfId="4" quotePrefix="1" applyFont="1" applyAlignment="1">
      <alignment horizontal="center"/>
    </xf>
    <xf numFmtId="0" fontId="8" fillId="0" borderId="10" xfId="4" quotePrefix="1" applyFont="1" applyBorder="1" applyAlignment="1">
      <alignment horizontal="center"/>
    </xf>
    <xf numFmtId="0" fontId="1" fillId="0" borderId="11" xfId="4" applyBorder="1"/>
    <xf numFmtId="0" fontId="1" fillId="0" borderId="10" xfId="4" applyBorder="1"/>
    <xf numFmtId="0" fontId="7" fillId="0" borderId="10" xfId="4" applyFont="1" applyBorder="1" applyAlignment="1">
      <alignment horizontal="center"/>
    </xf>
    <xf numFmtId="0" fontId="2" fillId="0" borderId="11" xfId="4" applyFont="1" applyBorder="1"/>
    <xf numFmtId="0" fontId="2" fillId="0" borderId="0" xfId="4" applyFont="1"/>
    <xf numFmtId="0" fontId="2" fillId="0" borderId="10" xfId="4" applyFont="1" applyBorder="1" applyAlignment="1">
      <alignment horizontal="center" vertical="top" wrapText="1"/>
    </xf>
    <xf numFmtId="0" fontId="2" fillId="0" borderId="0" xfId="4" applyFont="1" applyAlignment="1">
      <alignment horizontal="center"/>
    </xf>
    <xf numFmtId="0" fontId="2" fillId="0" borderId="10" xfId="4" applyFont="1" applyBorder="1" applyAlignment="1">
      <alignment horizontal="center"/>
    </xf>
    <xf numFmtId="0" fontId="9" fillId="0" borderId="11" xfId="4" applyFont="1" applyBorder="1" applyAlignment="1">
      <alignment horizontal="center" vertical="top"/>
    </xf>
    <xf numFmtId="0" fontId="9" fillId="0" borderId="0" xfId="4" applyFont="1" applyAlignment="1">
      <alignment horizontal="center" vertical="top"/>
    </xf>
    <xf numFmtId="0" fontId="9" fillId="0" borderId="10" xfId="4" applyFont="1" applyBorder="1" applyAlignment="1">
      <alignment horizontal="center" vertical="top"/>
    </xf>
    <xf numFmtId="0" fontId="8" fillId="0" borderId="0" xfId="4" applyFont="1" applyAlignment="1">
      <alignment horizontal="center" vertical="top"/>
    </xf>
    <xf numFmtId="0" fontId="8" fillId="0" borderId="10" xfId="4" applyFont="1" applyBorder="1" applyAlignment="1">
      <alignment horizontal="center" vertical="top"/>
    </xf>
    <xf numFmtId="0" fontId="1" fillId="0" borderId="0" xfId="4" quotePrefix="1" applyAlignment="1">
      <alignment horizontal="center"/>
    </xf>
    <xf numFmtId="10" fontId="5" fillId="0" borderId="10" xfId="5" applyNumberFormat="1" applyFont="1" applyFill="1" applyBorder="1"/>
    <xf numFmtId="167" fontId="1" fillId="3" borderId="0" xfId="4" applyNumberFormat="1" applyFill="1"/>
    <xf numFmtId="167" fontId="1" fillId="0" borderId="0" xfId="4" applyNumberFormat="1" applyAlignment="1">
      <alignment horizontal="right"/>
    </xf>
    <xf numFmtId="167" fontId="1" fillId="0" borderId="10" xfId="4" applyNumberFormat="1" applyBorder="1" applyAlignment="1">
      <alignment horizontal="right"/>
    </xf>
    <xf numFmtId="0" fontId="1" fillId="0" borderId="6" xfId="4" applyBorder="1"/>
    <xf numFmtId="167" fontId="2" fillId="0" borderId="5" xfId="4" applyNumberFormat="1" applyFont="1" applyBorder="1"/>
    <xf numFmtId="0" fontId="2" fillId="0" borderId="5" xfId="4" applyFont="1" applyBorder="1"/>
    <xf numFmtId="0" fontId="2" fillId="0" borderId="5" xfId="4" applyFont="1" applyBorder="1" applyAlignment="1">
      <alignment horizontal="right"/>
    </xf>
    <xf numFmtId="167" fontId="2" fillId="0" borderId="6" xfId="4" applyNumberFormat="1" applyFont="1" applyBorder="1"/>
    <xf numFmtId="167" fontId="10" fillId="2" borderId="9" xfId="4" applyNumberFormat="1" applyFont="1" applyFill="1" applyBorder="1"/>
    <xf numFmtId="164" fontId="0" fillId="0" borderId="12" xfId="1" applyNumberFormat="1" applyFont="1" applyFill="1" applyBorder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164" fontId="11" fillId="0" borderId="0" xfId="1" applyNumberFormat="1" applyFont="1" applyFill="1" applyAlignment="1">
      <alignment horizontal="center"/>
    </xf>
    <xf numFmtId="164" fontId="11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6" fontId="5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164" fontId="5" fillId="0" borderId="0" xfId="1" applyNumberFormat="1" applyFont="1" applyFill="1" applyBorder="1" applyAlignment="1">
      <alignment horizontal="right" wrapText="1"/>
    </xf>
    <xf numFmtId="166" fontId="12" fillId="0" borderId="0" xfId="3" applyNumberFormat="1" applyFont="1" applyFill="1" applyBorder="1" applyAlignment="1">
      <alignment horizontal="right" wrapText="1"/>
    </xf>
    <xf numFmtId="164" fontId="7" fillId="0" borderId="0" xfId="0" applyNumberFormat="1" applyFont="1"/>
    <xf numFmtId="10" fontId="5" fillId="0" borderId="0" xfId="3" applyNumberFormat="1" applyFont="1" applyFill="1" applyBorder="1" applyAlignment="1">
      <alignment horizontal="right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164" fontId="6" fillId="0" borderId="0" xfId="0" applyNumberFormat="1" applyFont="1"/>
    <xf numFmtId="0" fontId="3" fillId="0" borderId="0" xfId="7"/>
    <xf numFmtId="0" fontId="2" fillId="2" borderId="13" xfId="6" applyFont="1" applyFill="1" applyBorder="1" applyAlignment="1">
      <alignment horizontal="center"/>
    </xf>
    <xf numFmtId="167" fontId="1" fillId="0" borderId="17" xfId="6" applyNumberFormat="1" applyBorder="1" applyAlignment="1">
      <alignment horizontal="center"/>
    </xf>
    <xf numFmtId="6" fontId="1" fillId="0" borderId="0" xfId="6" applyNumberFormat="1"/>
    <xf numFmtId="167" fontId="2" fillId="2" borderId="20" xfId="6" applyNumberFormat="1" applyFont="1" applyFill="1" applyBorder="1" applyAlignment="1">
      <alignment horizontal="center"/>
    </xf>
    <xf numFmtId="0" fontId="1" fillId="0" borderId="0" xfId="6"/>
    <xf numFmtId="0" fontId="11" fillId="0" borderId="0" xfId="6" applyFont="1"/>
    <xf numFmtId="0" fontId="14" fillId="0" borderId="0" xfId="8" applyFont="1"/>
    <xf numFmtId="0" fontId="3" fillId="0" borderId="0" xfId="8"/>
    <xf numFmtId="0" fontId="3" fillId="3" borderId="0" xfId="8" applyFill="1"/>
    <xf numFmtId="0" fontId="14" fillId="0" borderId="0" xfId="8" applyFont="1" applyAlignment="1">
      <alignment horizontal="center"/>
    </xf>
    <xf numFmtId="0" fontId="14" fillId="3" borderId="0" xfId="8" quotePrefix="1" applyFont="1" applyFill="1" applyAlignment="1">
      <alignment horizontal="center"/>
    </xf>
    <xf numFmtId="0" fontId="15" fillId="0" borderId="0" xfId="8" applyFont="1" applyAlignment="1">
      <alignment horizontal="left"/>
    </xf>
    <xf numFmtId="0" fontId="15" fillId="0" borderId="0" xfId="8" applyFont="1" applyAlignment="1">
      <alignment horizontal="center"/>
    </xf>
    <xf numFmtId="0" fontId="16" fillId="4" borderId="0" xfId="8" applyFont="1" applyFill="1"/>
    <xf numFmtId="0" fontId="17" fillId="4" borderId="0" xfId="8" applyFont="1" applyFill="1"/>
    <xf numFmtId="0" fontId="3" fillId="4" borderId="0" xfId="8" applyFill="1"/>
    <xf numFmtId="0" fontId="3" fillId="0" borderId="0" xfId="8" applyAlignment="1">
      <alignment horizontal="left"/>
    </xf>
    <xf numFmtId="167" fontId="3" fillId="0" borderId="0" xfId="8" applyNumberFormat="1"/>
    <xf numFmtId="0" fontId="18" fillId="0" borderId="0" xfId="8" applyFont="1"/>
    <xf numFmtId="0" fontId="3" fillId="0" borderId="0" xfId="8" applyAlignment="1">
      <alignment horizontal="left" indent="1"/>
    </xf>
    <xf numFmtId="167" fontId="18" fillId="0" borderId="0" xfId="8" applyNumberFormat="1" applyFont="1"/>
    <xf numFmtId="0" fontId="18" fillId="0" borderId="0" xfId="8" applyFont="1" applyAlignment="1">
      <alignment horizontal="left"/>
    </xf>
    <xf numFmtId="0" fontId="14" fillId="0" borderId="0" xfId="9" applyFont="1" applyAlignment="1">
      <alignment horizontal="left"/>
    </xf>
    <xf numFmtId="0" fontId="3" fillId="0" borderId="0" xfId="9" applyAlignment="1">
      <alignment horizontal="left" indent="1"/>
    </xf>
    <xf numFmtId="166" fontId="3" fillId="0" borderId="0" xfId="8" applyNumberFormat="1"/>
    <xf numFmtId="0" fontId="3" fillId="0" borderId="0" xfId="8" applyAlignment="1">
      <alignment horizontal="left" indent="2"/>
    </xf>
    <xf numFmtId="167" fontId="19" fillId="0" borderId="0" xfId="8" applyNumberFormat="1" applyFont="1"/>
    <xf numFmtId="0" fontId="3" fillId="0" borderId="0" xfId="8" applyAlignment="1">
      <alignment horizontal="center"/>
    </xf>
    <xf numFmtId="3" fontId="3" fillId="0" borderId="0" xfId="8" applyNumberFormat="1"/>
    <xf numFmtId="10" fontId="3" fillId="0" borderId="0" xfId="8" applyNumberFormat="1"/>
    <xf numFmtId="166" fontId="18" fillId="0" borderId="0" xfId="8" applyNumberFormat="1" applyFont="1"/>
    <xf numFmtId="10" fontId="19" fillId="0" borderId="0" xfId="8" applyNumberFormat="1" applyFont="1"/>
    <xf numFmtId="0" fontId="3" fillId="0" borderId="0" xfId="8" quotePrefix="1" applyAlignment="1">
      <alignment horizontal="left" indent="1"/>
    </xf>
    <xf numFmtId="168" fontId="3" fillId="0" borderId="0" xfId="8" applyNumberFormat="1"/>
    <xf numFmtId="0" fontId="16" fillId="5" borderId="0" xfId="8" applyFont="1" applyFill="1"/>
    <xf numFmtId="0" fontId="3" fillId="0" borderId="0" xfId="8" quotePrefix="1"/>
    <xf numFmtId="0" fontId="3" fillId="0" borderId="0" xfId="8" applyAlignment="1">
      <alignment horizontal="right"/>
    </xf>
    <xf numFmtId="167" fontId="3" fillId="3" borderId="0" xfId="8" applyNumberFormat="1" applyFill="1"/>
    <xf numFmtId="0" fontId="20" fillId="0" borderId="0" xfId="8" applyFont="1" applyAlignment="1">
      <alignment horizontal="center"/>
    </xf>
    <xf numFmtId="0" fontId="3" fillId="0" borderId="0" xfId="10"/>
    <xf numFmtId="0" fontId="21" fillId="0" borderId="0" xfId="8" applyFont="1"/>
    <xf numFmtId="3" fontId="21" fillId="0" borderId="0" xfId="8" applyNumberFormat="1" applyFont="1"/>
    <xf numFmtId="167" fontId="22" fillId="3" borderId="0" xfId="8" applyNumberFormat="1" applyFont="1" applyFill="1"/>
    <xf numFmtId="0" fontId="14" fillId="6" borderId="21" xfId="8" applyFont="1" applyFill="1" applyBorder="1" applyAlignment="1">
      <alignment horizontal="center"/>
    </xf>
    <xf numFmtId="0" fontId="14" fillId="6" borderId="22" xfId="8" applyFont="1" applyFill="1" applyBorder="1" applyAlignment="1">
      <alignment horizontal="center" wrapText="1"/>
    </xf>
    <xf numFmtId="167" fontId="18" fillId="6" borderId="0" xfId="8" applyNumberFormat="1" applyFont="1" applyFill="1"/>
    <xf numFmtId="167" fontId="3" fillId="6" borderId="22" xfId="8" applyNumberFormat="1" applyFill="1" applyBorder="1"/>
    <xf numFmtId="167" fontId="3" fillId="6" borderId="0" xfId="8" applyNumberFormat="1" applyFill="1"/>
    <xf numFmtId="169" fontId="18" fillId="6" borderId="22" xfId="8" applyNumberFormat="1" applyFont="1" applyFill="1" applyBorder="1"/>
    <xf numFmtId="0" fontId="3" fillId="0" borderId="0" xfId="8" applyAlignment="1">
      <alignment horizontal="center" vertical="center" wrapText="1"/>
    </xf>
    <xf numFmtId="167" fontId="19" fillId="6" borderId="23" xfId="8" applyNumberFormat="1" applyFont="1" applyFill="1" applyBorder="1"/>
    <xf numFmtId="0" fontId="15" fillId="0" borderId="0" xfId="8" applyFont="1"/>
    <xf numFmtId="167" fontId="0" fillId="0" borderId="0" xfId="11" applyNumberFormat="1" applyFont="1"/>
    <xf numFmtId="0" fontId="3" fillId="0" borderId="0" xfId="8" applyAlignment="1">
      <alignment horizontal="center" wrapText="1"/>
    </xf>
    <xf numFmtId="0" fontId="21" fillId="0" borderId="0" xfId="8" applyFont="1" applyAlignment="1">
      <alignment horizontal="left"/>
    </xf>
    <xf numFmtId="167" fontId="3" fillId="0" borderId="0" xfId="8" applyNumberFormat="1" applyAlignment="1">
      <alignment horizontal="right" indent="1"/>
    </xf>
    <xf numFmtId="167" fontId="3" fillId="7" borderId="0" xfId="8" applyNumberFormat="1" applyFill="1"/>
    <xf numFmtId="0" fontId="23" fillId="0" borderId="0" xfId="8" applyFont="1" applyAlignment="1">
      <alignment horizontal="left"/>
    </xf>
    <xf numFmtId="0" fontId="23" fillId="0" borderId="0" xfId="8" applyFont="1"/>
    <xf numFmtId="0" fontId="23" fillId="0" borderId="0" xfId="8" applyFont="1" applyAlignment="1">
      <alignment horizontal="center"/>
    </xf>
    <xf numFmtId="0" fontId="19" fillId="0" borderId="0" xfId="0" applyFont="1"/>
    <xf numFmtId="0" fontId="19" fillId="0" borderId="0" xfId="8" applyFont="1"/>
    <xf numFmtId="0" fontId="14" fillId="0" borderId="0" xfId="8" applyFont="1" applyAlignment="1">
      <alignment horizontal="right"/>
    </xf>
    <xf numFmtId="0" fontId="19" fillId="3" borderId="0" xfId="8" applyFont="1" applyFill="1" applyAlignment="1">
      <alignment horizontal="left"/>
    </xf>
    <xf numFmtId="0" fontId="19" fillId="3" borderId="0" xfId="8" applyFont="1" applyFill="1"/>
    <xf numFmtId="0" fontId="19" fillId="7" borderId="0" xfId="8" applyFont="1" applyFill="1"/>
    <xf numFmtId="0" fontId="25" fillId="0" borderId="0" xfId="0" applyFont="1" applyAlignment="1">
      <alignment horizontal="center"/>
    </xf>
    <xf numFmtId="0" fontId="25" fillId="0" borderId="0" xfId="8" applyFont="1" applyAlignment="1">
      <alignment horizontal="center"/>
    </xf>
    <xf numFmtId="0" fontId="2" fillId="0" borderId="0" xfId="8" applyFont="1" applyAlignment="1">
      <alignment horizontal="center"/>
    </xf>
    <xf numFmtId="0" fontId="26" fillId="0" borderId="0" xfId="0" applyFont="1" applyAlignment="1">
      <alignment horizontal="center"/>
    </xf>
    <xf numFmtId="0" fontId="26" fillId="0" borderId="0" xfId="8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8" applyFont="1" applyAlignment="1">
      <alignment horizontal="center"/>
    </xf>
    <xf numFmtId="0" fontId="19" fillId="0" borderId="0" xfId="8" applyFont="1" applyAlignment="1">
      <alignment horizontal="left" indent="2"/>
    </xf>
    <xf numFmtId="0" fontId="25" fillId="0" borderId="0" xfId="8" applyFont="1"/>
    <xf numFmtId="0" fontId="25" fillId="0" borderId="0" xfId="8" applyFont="1" applyAlignment="1">
      <alignment horizontal="left" indent="1"/>
    </xf>
    <xf numFmtId="0" fontId="3" fillId="0" borderId="0" xfId="8" applyAlignment="1">
      <alignment horizontal="left" indent="3"/>
    </xf>
    <xf numFmtId="0" fontId="19" fillId="0" borderId="0" xfId="8" applyFont="1" applyAlignment="1">
      <alignment horizontal="left" indent="1"/>
    </xf>
    <xf numFmtId="0" fontId="15" fillId="0" borderId="0" xfId="0" quotePrefix="1" applyFont="1" applyAlignment="1">
      <alignment horizontal="center"/>
    </xf>
    <xf numFmtId="0" fontId="15" fillId="0" borderId="0" xfId="8" quotePrefix="1" applyFont="1" applyAlignment="1">
      <alignment horizontal="center"/>
    </xf>
    <xf numFmtId="0" fontId="25" fillId="0" borderId="0" xfId="0" quotePrefix="1" applyFont="1" applyAlignment="1">
      <alignment horizontal="center"/>
    </xf>
    <xf numFmtId="0" fontId="25" fillId="0" borderId="0" xfId="8" quotePrefix="1" applyFont="1" applyAlignment="1">
      <alignment horizontal="center"/>
    </xf>
    <xf numFmtId="0" fontId="14" fillId="0" borderId="0" xfId="9" applyFont="1" applyAlignment="1">
      <alignment horizontal="center"/>
    </xf>
    <xf numFmtId="0" fontId="26" fillId="0" borderId="0" xfId="0" quotePrefix="1" applyFont="1" applyAlignment="1">
      <alignment horizontal="center"/>
    </xf>
    <xf numFmtId="0" fontId="15" fillId="0" borderId="0" xfId="9" applyFont="1" applyAlignment="1">
      <alignment horizontal="center"/>
    </xf>
    <xf numFmtId="0" fontId="26" fillId="0" borderId="0" xfId="8" quotePrefix="1" applyFont="1" applyAlignment="1">
      <alignment horizontal="center"/>
    </xf>
    <xf numFmtId="0" fontId="9" fillId="0" borderId="0" xfId="8" applyFont="1" applyAlignment="1">
      <alignment horizontal="center"/>
    </xf>
    <xf numFmtId="167" fontId="19" fillId="0" borderId="0" xfId="0" applyNumberFormat="1" applyFont="1"/>
    <xf numFmtId="167" fontId="22" fillId="0" borderId="0" xfId="0" applyNumberFormat="1" applyFont="1"/>
    <xf numFmtId="167" fontId="22" fillId="0" borderId="0" xfId="8" applyNumberFormat="1" applyFont="1"/>
    <xf numFmtId="0" fontId="19" fillId="0" borderId="0" xfId="8" applyFont="1" applyAlignment="1">
      <alignment horizontal="right"/>
    </xf>
    <xf numFmtId="0" fontId="15" fillId="0" borderId="0" xfId="0" applyFont="1" applyAlignment="1">
      <alignment horizontal="center"/>
    </xf>
    <xf numFmtId="0" fontId="19" fillId="0" borderId="0" xfId="8" quotePrefix="1" applyFont="1"/>
    <xf numFmtId="0" fontId="26" fillId="0" borderId="0" xfId="8" applyFont="1" applyAlignment="1">
      <alignment horizontal="left"/>
    </xf>
    <xf numFmtId="10" fontId="19" fillId="0" borderId="0" xfId="0" applyNumberFormat="1" applyFont="1"/>
    <xf numFmtId="1" fontId="19" fillId="0" borderId="0" xfId="0" applyNumberFormat="1" applyFont="1"/>
    <xf numFmtId="1" fontId="19" fillId="3" borderId="0" xfId="8" applyNumberFormat="1" applyFont="1" applyFill="1"/>
    <xf numFmtId="0" fontId="14" fillId="0" borderId="0" xfId="8" applyFont="1" applyAlignment="1">
      <alignment horizontal="left" indent="1"/>
    </xf>
    <xf numFmtId="170" fontId="19" fillId="0" borderId="0" xfId="0" applyNumberFormat="1" applyFont="1"/>
    <xf numFmtId="170" fontId="19" fillId="0" borderId="0" xfId="8" applyNumberFormat="1" applyFont="1"/>
    <xf numFmtId="171" fontId="19" fillId="0" borderId="0" xfId="0" applyNumberFormat="1" applyFont="1"/>
    <xf numFmtId="171" fontId="19" fillId="0" borderId="0" xfId="8" applyNumberFormat="1" applyFont="1"/>
    <xf numFmtId="167" fontId="0" fillId="0" borderId="0" xfId="0" applyNumberFormat="1"/>
    <xf numFmtId="167" fontId="18" fillId="3" borderId="0" xfId="8" applyNumberFormat="1" applyFont="1" applyFill="1"/>
    <xf numFmtId="167" fontId="18" fillId="0" borderId="0" xfId="0" applyNumberFormat="1" applyFont="1"/>
    <xf numFmtId="167" fontId="3" fillId="0" borderId="0" xfId="0" applyNumberFormat="1" applyFont="1"/>
    <xf numFmtId="166" fontId="18" fillId="0" borderId="0" xfId="0" applyNumberFormat="1" applyFont="1"/>
    <xf numFmtId="167" fontId="19" fillId="3" borderId="12" xfId="8" applyNumberFormat="1" applyFont="1" applyFill="1" applyBorder="1"/>
    <xf numFmtId="167" fontId="19" fillId="6" borderId="0" xfId="8" applyNumberFormat="1" applyFont="1" applyFill="1"/>
    <xf numFmtId="0" fontId="25" fillId="0" borderId="0" xfId="8" applyFont="1" applyAlignment="1">
      <alignment horizontal="left"/>
    </xf>
    <xf numFmtId="0" fontId="19" fillId="0" borderId="0" xfId="8" applyFont="1" applyAlignment="1">
      <alignment horizontal="left"/>
    </xf>
    <xf numFmtId="167" fontId="22" fillId="6" borderId="0" xfId="8" applyNumberFormat="1" applyFont="1" applyFill="1"/>
    <xf numFmtId="0" fontId="27" fillId="0" borderId="0" xfId="8" applyFont="1" applyAlignment="1">
      <alignment horizontal="right"/>
    </xf>
    <xf numFmtId="0" fontId="9" fillId="0" borderId="0" xfId="0" applyFont="1"/>
    <xf numFmtId="0" fontId="19" fillId="0" borderId="0" xfId="0" applyFont="1" applyAlignment="1">
      <alignment horizontal="left" indent="2"/>
    </xf>
    <xf numFmtId="167" fontId="0" fillId="0" borderId="0" xfId="0" applyNumberFormat="1" applyAlignment="1">
      <alignment horizontal="right" indent="1"/>
    </xf>
    <xf numFmtId="0" fontId="0" fillId="0" borderId="0" xfId="0" applyAlignment="1">
      <alignment horizontal="left" indent="1"/>
    </xf>
    <xf numFmtId="167" fontId="11" fillId="0" borderId="0" xfId="0" applyNumberFormat="1" applyFont="1" applyAlignment="1">
      <alignment horizontal="right" indent="1"/>
    </xf>
    <xf numFmtId="0" fontId="0" fillId="0" borderId="0" xfId="0" applyAlignment="1">
      <alignment horizontal="right"/>
    </xf>
    <xf numFmtId="167" fontId="19" fillId="8" borderId="0" xfId="0" applyNumberFormat="1" applyFont="1" applyFill="1" applyAlignment="1">
      <alignment horizontal="right" indent="1"/>
    </xf>
    <xf numFmtId="0" fontId="29" fillId="9" borderId="0" xfId="0" applyFont="1" applyFill="1"/>
    <xf numFmtId="0" fontId="0" fillId="9" borderId="0" xfId="0" applyFill="1"/>
    <xf numFmtId="0" fontId="25" fillId="0" borderId="0" xfId="0" applyFont="1"/>
    <xf numFmtId="0" fontId="3" fillId="0" borderId="0" xfId="0" applyFont="1" applyAlignment="1">
      <alignment horizontal="left" indent="2"/>
    </xf>
    <xf numFmtId="0" fontId="25" fillId="0" borderId="0" xfId="0" applyFont="1" applyAlignment="1">
      <alignment horizontal="left" indent="1"/>
    </xf>
    <xf numFmtId="0" fontId="3" fillId="0" borderId="0" xfId="0" applyFont="1" applyAlignment="1">
      <alignment horizontal="left" indent="3"/>
    </xf>
    <xf numFmtId="0" fontId="19" fillId="0" borderId="0" xfId="0" applyFont="1" applyAlignment="1">
      <alignment horizontal="left" indent="1"/>
    </xf>
    <xf numFmtId="0" fontId="14" fillId="0" borderId="0" xfId="7" applyFont="1" applyAlignment="1">
      <alignment horizontal="center"/>
    </xf>
    <xf numFmtId="0" fontId="15" fillId="0" borderId="0" xfId="0" applyFont="1"/>
    <xf numFmtId="0" fontId="15" fillId="0" borderId="0" xfId="7" applyFont="1" applyAlignment="1">
      <alignment horizontal="center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3" fillId="0" borderId="0" xfId="0" applyFont="1" applyAlignment="1">
      <alignment horizontal="left" indent="1"/>
    </xf>
    <xf numFmtId="0" fontId="19" fillId="0" borderId="0" xfId="0" applyFont="1" applyAlignment="1">
      <alignment horizontal="right"/>
    </xf>
    <xf numFmtId="0" fontId="19" fillId="0" borderId="0" xfId="0" quotePrefix="1" applyFont="1"/>
    <xf numFmtId="0" fontId="26" fillId="0" borderId="0" xfId="0" applyFont="1" applyAlignment="1">
      <alignment horizontal="left"/>
    </xf>
    <xf numFmtId="166" fontId="19" fillId="0" borderId="0" xfId="0" applyNumberFormat="1" applyFont="1"/>
    <xf numFmtId="1" fontId="19" fillId="3" borderId="0" xfId="0" applyNumberFormat="1" applyFont="1" applyFill="1"/>
    <xf numFmtId="0" fontId="14" fillId="0" borderId="0" xfId="0" applyFont="1" applyAlignment="1">
      <alignment horizontal="left" indent="1"/>
    </xf>
    <xf numFmtId="0" fontId="3" fillId="0" borderId="0" xfId="0" quotePrefix="1" applyFont="1" applyAlignment="1">
      <alignment horizontal="left" indent="1"/>
    </xf>
    <xf numFmtId="0" fontId="15" fillId="0" borderId="0" xfId="0" applyFont="1" applyAlignment="1">
      <alignment horizontal="left"/>
    </xf>
    <xf numFmtId="167" fontId="0" fillId="3" borderId="0" xfId="0" applyNumberFormat="1" applyFill="1"/>
    <xf numFmtId="167" fontId="18" fillId="3" borderId="0" xfId="0" applyNumberFormat="1" applyFont="1" applyFill="1"/>
    <xf numFmtId="167" fontId="3" fillId="10" borderId="0" xfId="0" applyNumberFormat="1" applyFont="1" applyFill="1"/>
    <xf numFmtId="167" fontId="19" fillId="3" borderId="0" xfId="0" applyNumberFormat="1" applyFont="1" applyFill="1"/>
    <xf numFmtId="164" fontId="0" fillId="0" borderId="0" xfId="1" applyNumberFormat="1" applyFont="1"/>
    <xf numFmtId="164" fontId="0" fillId="0" borderId="0" xfId="1" applyNumberFormat="1" applyFont="1" applyAlignment="1">
      <alignment vertical="center"/>
    </xf>
    <xf numFmtId="164" fontId="0" fillId="0" borderId="24" xfId="1" applyNumberFormat="1" applyFont="1" applyBorder="1" applyAlignment="1">
      <alignment vertical="center"/>
    </xf>
    <xf numFmtId="164" fontId="0" fillId="3" borderId="0" xfId="1" applyNumberFormat="1" applyFont="1" applyFill="1"/>
    <xf numFmtId="164" fontId="0" fillId="3" borderId="24" xfId="1" applyNumberFormat="1" applyFont="1" applyFill="1" applyBorder="1"/>
    <xf numFmtId="164" fontId="0" fillId="3" borderId="0" xfId="0" applyNumberFormat="1" applyFill="1"/>
    <xf numFmtId="0" fontId="0" fillId="0" borderId="0" xfId="0" applyAlignment="1">
      <alignment horizontal="left"/>
    </xf>
    <xf numFmtId="0" fontId="2" fillId="2" borderId="1" xfId="4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/>
    </xf>
    <xf numFmtId="0" fontId="2" fillId="2" borderId="3" xfId="4" applyFont="1" applyFill="1" applyBorder="1" applyAlignment="1">
      <alignment horizontal="center" vertical="center"/>
    </xf>
    <xf numFmtId="0" fontId="2" fillId="2" borderId="4" xfId="4" applyFont="1" applyFill="1" applyBorder="1" applyAlignment="1">
      <alignment horizontal="center" vertical="center"/>
    </xf>
    <xf numFmtId="0" fontId="2" fillId="2" borderId="5" xfId="4" applyFont="1" applyFill="1" applyBorder="1" applyAlignment="1">
      <alignment horizontal="center" vertical="center"/>
    </xf>
    <xf numFmtId="0" fontId="2" fillId="2" borderId="6" xfId="4" applyFont="1" applyFill="1" applyBorder="1" applyAlignment="1">
      <alignment horizontal="center" vertical="center"/>
    </xf>
    <xf numFmtId="0" fontId="2" fillId="2" borderId="7" xfId="4" applyFont="1" applyFill="1" applyBorder="1" applyAlignment="1">
      <alignment horizontal="center"/>
    </xf>
    <xf numFmtId="0" fontId="2" fillId="2" borderId="8" xfId="4" applyFont="1" applyFill="1" applyBorder="1" applyAlignment="1">
      <alignment horizontal="center"/>
    </xf>
    <xf numFmtId="0" fontId="2" fillId="2" borderId="9" xfId="4" applyFont="1" applyFill="1" applyBorder="1" applyAlignment="1">
      <alignment horizontal="center"/>
    </xf>
    <xf numFmtId="0" fontId="10" fillId="2" borderId="7" xfId="4" applyFont="1" applyFill="1" applyBorder="1" applyAlignment="1">
      <alignment horizontal="right"/>
    </xf>
    <xf numFmtId="0" fontId="10" fillId="2" borderId="8" xfId="4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0" fontId="2" fillId="2" borderId="18" xfId="6" applyFont="1" applyFill="1" applyBorder="1" applyAlignment="1">
      <alignment horizontal="right"/>
    </xf>
    <xf numFmtId="0" fontId="2" fillId="2" borderId="19" xfId="6" applyFont="1" applyFill="1" applyBorder="1" applyAlignment="1">
      <alignment horizontal="right"/>
    </xf>
    <xf numFmtId="0" fontId="1" fillId="2" borderId="13" xfId="6" applyFill="1" applyBorder="1" applyAlignment="1">
      <alignment horizontal="left"/>
    </xf>
    <xf numFmtId="0" fontId="1" fillId="0" borderId="0" xfId="6" applyAlignment="1">
      <alignment horizontal="left" wrapText="1"/>
    </xf>
    <xf numFmtId="0" fontId="10" fillId="2" borderId="13" xfId="6" applyFont="1" applyFill="1" applyBorder="1" applyAlignment="1">
      <alignment horizontal="center" vertical="center" wrapText="1"/>
    </xf>
    <xf numFmtId="0" fontId="2" fillId="2" borderId="13" xfId="6" quotePrefix="1" applyFont="1" applyFill="1" applyBorder="1" applyAlignment="1">
      <alignment horizontal="center"/>
    </xf>
    <xf numFmtId="0" fontId="2" fillId="2" borderId="13" xfId="6" applyFont="1" applyFill="1" applyBorder="1" applyAlignment="1">
      <alignment horizontal="center"/>
    </xf>
    <xf numFmtId="0" fontId="1" fillId="0" borderId="14" xfId="6" applyBorder="1" applyAlignment="1">
      <alignment horizontal="left" wrapText="1"/>
    </xf>
    <xf numFmtId="0" fontId="1" fillId="0" borderId="15" xfId="6" applyBorder="1" applyAlignment="1">
      <alignment horizontal="left" wrapText="1"/>
    </xf>
    <xf numFmtId="0" fontId="1" fillId="0" borderId="16" xfId="6" applyBorder="1" applyAlignment="1">
      <alignment horizontal="left" wrapText="1"/>
    </xf>
    <xf numFmtId="0" fontId="5" fillId="0" borderId="13" xfId="6" applyFont="1" applyBorder="1" applyAlignment="1">
      <alignment wrapText="1"/>
    </xf>
  </cellXfs>
  <cellStyles count="12">
    <cellStyle name="Comma" xfId="1" builtinId="3"/>
    <cellStyle name="Comma 14" xfId="11" xr:uid="{45AD4600-791B-40D2-B17C-E48229C16AE1}"/>
    <cellStyle name="Normal" xfId="0" builtinId="0"/>
    <cellStyle name="Normal 10" xfId="8" xr:uid="{17801602-D05E-44C7-B5B0-7AB3AE161349}"/>
    <cellStyle name="Normal 17" xfId="4" xr:uid="{94826A90-D1DD-47C0-9DC2-43D763AFC989}"/>
    <cellStyle name="Normal 17 3 3" xfId="6" xr:uid="{80A4E2F1-CEE7-4123-BF78-EFC7B0385805}"/>
    <cellStyle name="Normal 2" xfId="7" xr:uid="{C405C92C-11FF-4955-BCDD-A725642C0EE6}"/>
    <cellStyle name="Normal 2 2 2" xfId="9" xr:uid="{D71CF2B2-6FD1-410B-A28B-E789B701ADA8}"/>
    <cellStyle name="Normal 7" xfId="10" xr:uid="{9C903E2B-4D38-49B4-885A-2A8E965D479A}"/>
    <cellStyle name="Percent" xfId="2" builtinId="5"/>
    <cellStyle name="Percent 3" xfId="3" xr:uid="{00000000-0005-0000-0000-000003000000}"/>
    <cellStyle name="Percent 7" xfId="5" xr:uid="{120BECE5-2E83-434C-9A92-A7B3A8CCC1CE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A948F-5422-4DF5-91BF-1F95773699AC}">
  <sheetPr>
    <pageSetUpPr fitToPage="1"/>
  </sheetPr>
  <dimension ref="A1:F15"/>
  <sheetViews>
    <sheetView tabSelected="1" zoomScaleNormal="100" workbookViewId="0">
      <selection activeCell="C20" sqref="C20"/>
    </sheetView>
  </sheetViews>
  <sheetFormatPr defaultRowHeight="14.5" x14ac:dyDescent="0.35"/>
  <cols>
    <col min="1" max="1" width="13" customWidth="1"/>
    <col min="2" max="2" width="11.26953125" customWidth="1"/>
    <col min="3" max="3" width="15" customWidth="1"/>
    <col min="4" max="4" width="14.26953125" bestFit="1" customWidth="1"/>
    <col min="5" max="5" width="5" customWidth="1"/>
  </cols>
  <sheetData>
    <row r="1" spans="1:6" x14ac:dyDescent="0.35">
      <c r="A1" s="2" t="s">
        <v>419</v>
      </c>
    </row>
    <row r="4" spans="1:6" x14ac:dyDescent="0.35">
      <c r="A4" s="1">
        <v>1</v>
      </c>
      <c r="B4" s="2" t="s">
        <v>25</v>
      </c>
    </row>
    <row r="5" spans="1:6" x14ac:dyDescent="0.35">
      <c r="A5" s="1"/>
      <c r="F5" s="51" t="s">
        <v>367</v>
      </c>
    </row>
    <row r="6" spans="1:6" x14ac:dyDescent="0.35">
      <c r="A6" s="1"/>
      <c r="C6" s="221" t="s">
        <v>0</v>
      </c>
      <c r="D6" s="218">
        <f>'Workpaper EEI &amp; EPRI'!D8</f>
        <v>43758</v>
      </c>
      <c r="F6" t="s">
        <v>372</v>
      </c>
    </row>
    <row r="7" spans="1:6" x14ac:dyDescent="0.35">
      <c r="A7" s="1"/>
      <c r="C7" s="221" t="s">
        <v>1</v>
      </c>
      <c r="D7" s="219">
        <f>'Workpaper EEI &amp; EPRI'!E8</f>
        <v>944532.15999999992</v>
      </c>
      <c r="F7" t="s">
        <v>372</v>
      </c>
    </row>
    <row r="8" spans="1:6" x14ac:dyDescent="0.35">
      <c r="A8" s="1"/>
      <c r="C8" s="221" t="s">
        <v>2</v>
      </c>
      <c r="D8" s="215">
        <f>SUM(D6:D7)</f>
        <v>988290.15999999992</v>
      </c>
    </row>
    <row r="9" spans="1:6" x14ac:dyDescent="0.35">
      <c r="A9" s="1"/>
    </row>
    <row r="10" spans="1:6" x14ac:dyDescent="0.35">
      <c r="A10" s="1">
        <v>2</v>
      </c>
      <c r="B10" s="2" t="s">
        <v>369</v>
      </c>
    </row>
    <row r="11" spans="1:6" x14ac:dyDescent="0.35">
      <c r="A11" s="1"/>
      <c r="B11" s="2"/>
    </row>
    <row r="12" spans="1:6" x14ac:dyDescent="0.35">
      <c r="A12" s="1"/>
      <c r="F12" s="51" t="s">
        <v>367</v>
      </c>
    </row>
    <row r="13" spans="1:6" ht="15" customHeight="1" x14ac:dyDescent="0.35">
      <c r="C13" s="188" t="s">
        <v>368</v>
      </c>
      <c r="D13" s="216">
        <f>-'WP-2022 TO2024 EPRI Adj wInt'!H25</f>
        <v>15204.449317724571</v>
      </c>
      <c r="F13" t="s">
        <v>366</v>
      </c>
    </row>
    <row r="14" spans="1:6" x14ac:dyDescent="0.35">
      <c r="B14" s="6"/>
      <c r="C14" s="188" t="s">
        <v>371</v>
      </c>
      <c r="D14" s="217">
        <f>-'Legacy Wholesale&amp;Retail Diff'!G15</f>
        <v>1876735.8391946349</v>
      </c>
      <c r="F14" t="s">
        <v>370</v>
      </c>
    </row>
    <row r="15" spans="1:6" x14ac:dyDescent="0.35">
      <c r="D15" s="220">
        <f>SUM(D13:D14)</f>
        <v>1891940.2885123596</v>
      </c>
    </row>
  </sheetData>
  <pageMargins left="0.7" right="0.7" top="0.75" bottom="0.75" header="0.3" footer="0.3"/>
  <pageSetup scale="97" orientation="portrait" horizontalDpi="1200" verticalDpi="1200" r:id="rId1"/>
  <headerFooter>
    <oddHeader>&amp;RTO2025 Annual Update
Attachment 4
WP- Schedule 25 Wholesale Difference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27"/>
  <sheetViews>
    <sheetView view="pageLayout" zoomScaleNormal="100" workbookViewId="0">
      <selection activeCell="C20" sqref="C20"/>
    </sheetView>
  </sheetViews>
  <sheetFormatPr defaultRowHeight="14.5" x14ac:dyDescent="0.35"/>
  <cols>
    <col min="1" max="1" width="6" customWidth="1"/>
    <col min="2" max="2" width="58.453125" customWidth="1"/>
    <col min="3" max="3" width="9.7265625" style="3" customWidth="1"/>
    <col min="4" max="4" width="12.7265625" bestFit="1" customWidth="1"/>
    <col min="5" max="5" width="11.54296875" bestFit="1" customWidth="1"/>
    <col min="6" max="6" width="12.54296875" bestFit="1" customWidth="1"/>
  </cols>
  <sheetData>
    <row r="2" spans="1:6" x14ac:dyDescent="0.35">
      <c r="A2" s="1">
        <v>1</v>
      </c>
      <c r="B2" s="18" t="s">
        <v>25</v>
      </c>
      <c r="C2" s="1"/>
    </row>
    <row r="3" spans="1:6" x14ac:dyDescent="0.35">
      <c r="A3" s="1"/>
      <c r="D3" s="1" t="s">
        <v>0</v>
      </c>
      <c r="E3" s="1" t="s">
        <v>1</v>
      </c>
      <c r="F3" s="1" t="s">
        <v>2</v>
      </c>
    </row>
    <row r="4" spans="1:6" x14ac:dyDescent="0.35">
      <c r="A4" s="1"/>
      <c r="B4" t="s">
        <v>3</v>
      </c>
      <c r="D4" s="9">
        <v>0</v>
      </c>
      <c r="E4" s="9">
        <v>0</v>
      </c>
      <c r="F4" s="10">
        <f>SUM(D4:E4)</f>
        <v>0</v>
      </c>
    </row>
    <row r="5" spans="1:6" x14ac:dyDescent="0.35">
      <c r="A5" s="1"/>
      <c r="B5" t="s">
        <v>4</v>
      </c>
      <c r="D5" s="9">
        <v>43758</v>
      </c>
      <c r="E5" s="9">
        <v>291620</v>
      </c>
      <c r="F5" s="10">
        <f>SUM(D5:E5)</f>
        <v>335378</v>
      </c>
    </row>
    <row r="6" spans="1:6" x14ac:dyDescent="0.35">
      <c r="A6" s="1"/>
      <c r="B6" t="s">
        <v>23</v>
      </c>
      <c r="D6" s="9">
        <v>0</v>
      </c>
      <c r="E6" s="9">
        <v>0</v>
      </c>
      <c r="F6" s="10">
        <f>SUM(D6:E6)</f>
        <v>0</v>
      </c>
    </row>
    <row r="7" spans="1:6" x14ac:dyDescent="0.35">
      <c r="A7" s="1"/>
      <c r="B7" t="s">
        <v>5</v>
      </c>
      <c r="D7" s="9">
        <v>0</v>
      </c>
      <c r="E7" s="9">
        <v>652912.15999999992</v>
      </c>
      <c r="F7" s="10">
        <f t="shared" ref="F7" si="0">SUM(D7:E7)</f>
        <v>652912.15999999992</v>
      </c>
    </row>
    <row r="8" spans="1:6" x14ac:dyDescent="0.35">
      <c r="A8" s="1"/>
      <c r="B8" s="2" t="s">
        <v>24</v>
      </c>
      <c r="C8" s="1"/>
      <c r="D8" s="15">
        <f>SUM(D4:D7)</f>
        <v>43758</v>
      </c>
      <c r="E8" s="15">
        <f>SUM(E4:E7)</f>
        <v>944532.15999999992</v>
      </c>
      <c r="F8" s="11">
        <f>SUM(D8:E8)</f>
        <v>988290.15999999992</v>
      </c>
    </row>
    <row r="9" spans="1:6" x14ac:dyDescent="0.35">
      <c r="A9" s="1"/>
    </row>
    <row r="10" spans="1:6" x14ac:dyDescent="0.35">
      <c r="A10" s="1">
        <v>2</v>
      </c>
      <c r="B10" s="2" t="s">
        <v>6</v>
      </c>
      <c r="C10" s="1"/>
    </row>
    <row r="11" spans="1:6" x14ac:dyDescent="0.35">
      <c r="A11" s="1"/>
      <c r="B11" t="s">
        <v>7</v>
      </c>
      <c r="C11" s="3" t="s">
        <v>8</v>
      </c>
      <c r="D11" s="4">
        <f>F4</f>
        <v>0</v>
      </c>
    </row>
    <row r="12" spans="1:6" x14ac:dyDescent="0.35">
      <c r="A12" s="1"/>
      <c r="B12" t="s">
        <v>9</v>
      </c>
      <c r="C12" s="3" t="s">
        <v>10</v>
      </c>
      <c r="D12" s="16">
        <v>0.4035703833772315</v>
      </c>
    </row>
    <row r="13" spans="1:6" x14ac:dyDescent="0.35">
      <c r="A13" s="1"/>
      <c r="B13" t="s">
        <v>11</v>
      </c>
      <c r="C13" s="3" t="s">
        <v>12</v>
      </c>
      <c r="D13" s="4">
        <f>D11*D12</f>
        <v>0</v>
      </c>
    </row>
    <row r="14" spans="1:6" x14ac:dyDescent="0.35">
      <c r="A14" s="1"/>
    </row>
    <row r="15" spans="1:6" x14ac:dyDescent="0.35">
      <c r="A15" s="1">
        <v>3</v>
      </c>
      <c r="B15" s="2" t="s">
        <v>13</v>
      </c>
      <c r="C15" s="1"/>
    </row>
    <row r="16" spans="1:6" x14ac:dyDescent="0.35">
      <c r="B16" t="str">
        <f>B11</f>
        <v>Total EPRI &amp; EEI in FERC Account 560</v>
      </c>
      <c r="C16" s="3" t="s">
        <v>14</v>
      </c>
      <c r="D16" s="4">
        <f>D11</f>
        <v>0</v>
      </c>
    </row>
    <row r="17" spans="1:4" x14ac:dyDescent="0.35">
      <c r="B17" t="s">
        <v>15</v>
      </c>
      <c r="C17" s="3" t="s">
        <v>16</v>
      </c>
      <c r="D17" s="17">
        <v>5.8811663225218191E-2</v>
      </c>
    </row>
    <row r="18" spans="1:4" ht="29" x14ac:dyDescent="0.35">
      <c r="B18" s="6" t="s">
        <v>17</v>
      </c>
      <c r="C18" s="7" t="s">
        <v>18</v>
      </c>
      <c r="D18" s="8">
        <f>D16*D17</f>
        <v>0</v>
      </c>
    </row>
    <row r="19" spans="1:4" x14ac:dyDescent="0.35">
      <c r="D19" s="4"/>
    </row>
    <row r="20" spans="1:4" x14ac:dyDescent="0.35">
      <c r="B20" s="6" t="s">
        <v>19</v>
      </c>
      <c r="C20" s="7" t="s">
        <v>20</v>
      </c>
      <c r="D20" s="4">
        <f>D13-D18</f>
        <v>0</v>
      </c>
    </row>
    <row r="22" spans="1:4" x14ac:dyDescent="0.35">
      <c r="B22" s="12" t="s">
        <v>21</v>
      </c>
      <c r="C22" s="13" t="s">
        <v>22</v>
      </c>
      <c r="D22" s="14">
        <f>D20+D18</f>
        <v>0</v>
      </c>
    </row>
    <row r="24" spans="1:4" x14ac:dyDescent="0.35">
      <c r="A24" s="1"/>
      <c r="B24" s="2"/>
      <c r="C24" s="1"/>
    </row>
    <row r="25" spans="1:4" x14ac:dyDescent="0.35">
      <c r="A25" s="1"/>
      <c r="D25" s="4"/>
    </row>
    <row r="26" spans="1:4" x14ac:dyDescent="0.35">
      <c r="A26" s="1"/>
      <c r="D26" s="5"/>
    </row>
    <row r="27" spans="1:4" x14ac:dyDescent="0.35">
      <c r="A27" s="1"/>
      <c r="D27" s="4"/>
    </row>
  </sheetData>
  <phoneticPr fontId="4" type="noConversion"/>
  <pageMargins left="0.7" right="0.7" top="1.1977777777777778" bottom="0.75" header="0.3" footer="0.3"/>
  <pageSetup scale="82" orientation="portrait" r:id="rId1"/>
  <headerFooter>
    <oddHeader>&amp;RTO2025 Annual Update
Attachment 4
WP- Schedule 25 EPRI and EEI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5A4C2-65A6-4417-AEA0-DBC272A8BBBE}">
  <sheetPr>
    <pageSetUpPr fitToPage="1"/>
  </sheetPr>
  <dimension ref="B2:H35"/>
  <sheetViews>
    <sheetView view="pageLayout" topLeftCell="A2" zoomScaleNormal="100" zoomScaleSheetLayoutView="80" workbookViewId="0">
      <selection activeCell="C20" sqref="C20"/>
    </sheetView>
  </sheetViews>
  <sheetFormatPr defaultColWidth="9.1796875" defaultRowHeight="14.5" x14ac:dyDescent="0.35"/>
  <cols>
    <col min="1" max="1" width="3.26953125" style="19" customWidth="1"/>
    <col min="2" max="2" width="11.54296875" style="19" customWidth="1"/>
    <col min="3" max="3" width="9.1796875" style="19"/>
    <col min="4" max="4" width="8.26953125" style="19" bestFit="1" customWidth="1"/>
    <col min="5" max="5" width="14.54296875" style="19" bestFit="1" customWidth="1"/>
    <col min="6" max="6" width="13.54296875" style="19" bestFit="1" customWidth="1"/>
    <col min="7" max="7" width="11.54296875" style="19" customWidth="1"/>
    <col min="8" max="8" width="11.81640625" style="19" bestFit="1" customWidth="1"/>
    <col min="9" max="9" width="1.81640625" style="19" customWidth="1"/>
    <col min="10" max="16384" width="9.1796875" style="19"/>
  </cols>
  <sheetData>
    <row r="2" spans="2:8" ht="15" thickBot="1" x14ac:dyDescent="0.4"/>
    <row r="3" spans="2:8" x14ac:dyDescent="0.35">
      <c r="B3" s="222" t="s">
        <v>26</v>
      </c>
      <c r="C3" s="223"/>
      <c r="D3" s="223"/>
      <c r="E3" s="223"/>
      <c r="F3" s="223"/>
      <c r="G3" s="223"/>
      <c r="H3" s="224"/>
    </row>
    <row r="4" spans="2:8" ht="15" thickBot="1" x14ac:dyDescent="0.4">
      <c r="B4" s="225"/>
      <c r="C4" s="226"/>
      <c r="D4" s="226"/>
      <c r="E4" s="226"/>
      <c r="F4" s="226"/>
      <c r="G4" s="226"/>
      <c r="H4" s="227"/>
    </row>
    <row r="5" spans="2:8" ht="32.25" customHeight="1" thickBot="1" x14ac:dyDescent="0.4">
      <c r="B5" s="228" t="s">
        <v>27</v>
      </c>
      <c r="C5" s="229"/>
      <c r="D5" s="229"/>
      <c r="E5" s="229"/>
      <c r="F5" s="229"/>
      <c r="G5" s="229"/>
      <c r="H5" s="230"/>
    </row>
    <row r="6" spans="2:8" ht="15" customHeight="1" x14ac:dyDescent="0.35">
      <c r="B6" s="20"/>
      <c r="C6" s="21"/>
      <c r="D6" s="22"/>
      <c r="F6" s="23" t="s">
        <v>28</v>
      </c>
      <c r="G6" s="24"/>
      <c r="H6" s="25"/>
    </row>
    <row r="7" spans="2:8" ht="15" customHeight="1" x14ac:dyDescent="0.35">
      <c r="B7" s="26"/>
      <c r="D7" s="27"/>
      <c r="F7" s="23" t="s">
        <v>29</v>
      </c>
      <c r="H7" s="28" t="s">
        <v>28</v>
      </c>
    </row>
    <row r="8" spans="2:8" ht="15" customHeight="1" x14ac:dyDescent="0.35">
      <c r="B8" s="26"/>
      <c r="D8" s="27"/>
      <c r="F8" s="23" t="s">
        <v>30</v>
      </c>
      <c r="H8" s="28" t="s">
        <v>29</v>
      </c>
    </row>
    <row r="9" spans="2:8" ht="15" customHeight="1" x14ac:dyDescent="0.35">
      <c r="B9" s="29"/>
      <c r="C9" s="30"/>
      <c r="D9" s="31" t="s">
        <v>31</v>
      </c>
      <c r="E9" s="23" t="s">
        <v>31</v>
      </c>
      <c r="F9" s="23" t="s">
        <v>32</v>
      </c>
      <c r="G9" s="32" t="s">
        <v>33</v>
      </c>
      <c r="H9" s="28" t="s">
        <v>30</v>
      </c>
    </row>
    <row r="10" spans="2:8" ht="15" customHeight="1" x14ac:dyDescent="0.35">
      <c r="B10" s="29"/>
      <c r="C10" s="30"/>
      <c r="D10" s="33" t="s">
        <v>33</v>
      </c>
      <c r="E10" s="23" t="s">
        <v>34</v>
      </c>
      <c r="F10" s="23" t="s">
        <v>35</v>
      </c>
      <c r="G10" s="23" t="s">
        <v>36</v>
      </c>
      <c r="H10" s="28" t="s">
        <v>32</v>
      </c>
    </row>
    <row r="11" spans="2:8" ht="15.75" customHeight="1" x14ac:dyDescent="0.35">
      <c r="B11" s="34" t="s">
        <v>37</v>
      </c>
      <c r="C11" s="35" t="s">
        <v>38</v>
      </c>
      <c r="D11" s="36" t="s">
        <v>39</v>
      </c>
      <c r="E11" s="37" t="s">
        <v>40</v>
      </c>
      <c r="F11" s="37" t="s">
        <v>41</v>
      </c>
      <c r="G11" s="37" t="s">
        <v>37</v>
      </c>
      <c r="H11" s="38" t="s">
        <v>42</v>
      </c>
    </row>
    <row r="12" spans="2:8" x14ac:dyDescent="0.35">
      <c r="B12" s="26" t="s">
        <v>43</v>
      </c>
      <c r="C12" s="39">
        <v>2022</v>
      </c>
      <c r="D12" s="40">
        <v>2.7000000000000001E-3</v>
      </c>
      <c r="E12" s="41">
        <v>-1241.38050629695</v>
      </c>
      <c r="F12" s="42">
        <f>E12</f>
        <v>-1241.38050629695</v>
      </c>
      <c r="G12" s="42">
        <f>(((F12))/2)*$D12</f>
        <v>-1.6758636835008827</v>
      </c>
      <c r="H12" s="43">
        <f>F12+G12</f>
        <v>-1243.0563699804509</v>
      </c>
    </row>
    <row r="13" spans="2:8" x14ac:dyDescent="0.35">
      <c r="B13" s="26" t="s">
        <v>44</v>
      </c>
      <c r="C13" s="39">
        <v>2022</v>
      </c>
      <c r="D13" s="40">
        <v>2.7000000000000001E-3</v>
      </c>
      <c r="E13" s="41">
        <f>E12</f>
        <v>-1241.38050629695</v>
      </c>
      <c r="F13" s="42">
        <f t="shared" ref="F13:F23" si="0">E13+H12</f>
        <v>-2484.4368762774011</v>
      </c>
      <c r="G13" s="42">
        <f t="shared" ref="G13:G23" si="1">(((F13+H12))/2)*$D13</f>
        <v>-5.0321158824481005</v>
      </c>
      <c r="H13" s="43">
        <f t="shared" ref="H13:H23" si="2">F13+G13</f>
        <v>-2489.4689921598492</v>
      </c>
    </row>
    <row r="14" spans="2:8" x14ac:dyDescent="0.35">
      <c r="B14" s="26" t="s">
        <v>45</v>
      </c>
      <c r="C14" s="39">
        <v>2022</v>
      </c>
      <c r="D14" s="40">
        <v>2.7000000000000001E-3</v>
      </c>
      <c r="E14" s="41">
        <f t="shared" ref="E14:E23" si="3">E13</f>
        <v>-1241.38050629695</v>
      </c>
      <c r="F14" s="42">
        <f t="shared" si="0"/>
        <v>-3730.8494984567992</v>
      </c>
      <c r="G14" s="42">
        <f t="shared" si="1"/>
        <v>-8.3974299623324757</v>
      </c>
      <c r="H14" s="43">
        <f t="shared" si="2"/>
        <v>-3739.2469284191316</v>
      </c>
    </row>
    <row r="15" spans="2:8" x14ac:dyDescent="0.35">
      <c r="B15" s="26" t="s">
        <v>46</v>
      </c>
      <c r="C15" s="39">
        <v>2022</v>
      </c>
      <c r="D15" s="40">
        <v>2.7000000000000001E-3</v>
      </c>
      <c r="E15" s="41">
        <f t="shared" si="3"/>
        <v>-1241.38050629695</v>
      </c>
      <c r="F15" s="42">
        <f t="shared" si="0"/>
        <v>-4980.6274347160816</v>
      </c>
      <c r="G15" s="42">
        <f t="shared" si="1"/>
        <v>-11.771830390232539</v>
      </c>
      <c r="H15" s="43">
        <f t="shared" si="2"/>
        <v>-4992.3992651063145</v>
      </c>
    </row>
    <row r="16" spans="2:8" x14ac:dyDescent="0.35">
      <c r="B16" s="26" t="s">
        <v>47</v>
      </c>
      <c r="C16" s="39">
        <v>2022</v>
      </c>
      <c r="D16" s="40">
        <v>2.7000000000000001E-3</v>
      </c>
      <c r="E16" s="41">
        <f t="shared" si="3"/>
        <v>-1241.38050629695</v>
      </c>
      <c r="F16" s="42">
        <f t="shared" si="0"/>
        <v>-6233.779771403264</v>
      </c>
      <c r="G16" s="42">
        <f t="shared" si="1"/>
        <v>-15.155341699287932</v>
      </c>
      <c r="H16" s="43">
        <f t="shared" si="2"/>
        <v>-6248.9351131025524</v>
      </c>
    </row>
    <row r="17" spans="2:8" x14ac:dyDescent="0.35">
      <c r="B17" s="26" t="s">
        <v>48</v>
      </c>
      <c r="C17" s="39">
        <v>2022</v>
      </c>
      <c r="D17" s="40">
        <v>2.7000000000000001E-3</v>
      </c>
      <c r="E17" s="41">
        <f t="shared" si="3"/>
        <v>-1241.38050629695</v>
      </c>
      <c r="F17" s="42">
        <f t="shared" si="0"/>
        <v>-7490.3156193995019</v>
      </c>
      <c r="G17" s="42">
        <f t="shared" si="1"/>
        <v>-18.547988488877774</v>
      </c>
      <c r="H17" s="43">
        <f t="shared" si="2"/>
        <v>-7508.8636078883801</v>
      </c>
    </row>
    <row r="18" spans="2:8" x14ac:dyDescent="0.35">
      <c r="B18" s="26" t="s">
        <v>49</v>
      </c>
      <c r="C18" s="39">
        <v>2022</v>
      </c>
      <c r="D18" s="40">
        <v>3.0000000000000001E-3</v>
      </c>
      <c r="E18" s="41">
        <f t="shared" si="3"/>
        <v>-1241.38050629695</v>
      </c>
      <c r="F18" s="42">
        <f t="shared" si="0"/>
        <v>-8750.2441141853305</v>
      </c>
      <c r="G18" s="42">
        <f t="shared" si="1"/>
        <v>-24.388661583110565</v>
      </c>
      <c r="H18" s="43">
        <f t="shared" si="2"/>
        <v>-8774.6327757684412</v>
      </c>
    </row>
    <row r="19" spans="2:8" x14ac:dyDescent="0.35">
      <c r="B19" s="26" t="s">
        <v>50</v>
      </c>
      <c r="C19" s="39">
        <v>2022</v>
      </c>
      <c r="D19" s="40">
        <v>3.0000000000000001E-3</v>
      </c>
      <c r="E19" s="41">
        <f t="shared" si="3"/>
        <v>-1241.38050629695</v>
      </c>
      <c r="F19" s="42">
        <f t="shared" si="0"/>
        <v>-10016.013282065391</v>
      </c>
      <c r="G19" s="42">
        <f t="shared" si="1"/>
        <v>-28.185969086750745</v>
      </c>
      <c r="H19" s="43">
        <f t="shared" si="2"/>
        <v>-10044.199251152142</v>
      </c>
    </row>
    <row r="20" spans="2:8" x14ac:dyDescent="0.35">
      <c r="B20" s="26" t="s">
        <v>51</v>
      </c>
      <c r="C20" s="39">
        <v>2022</v>
      </c>
      <c r="D20" s="40">
        <v>3.0000000000000001E-3</v>
      </c>
      <c r="E20" s="41">
        <f t="shared" si="3"/>
        <v>-1241.38050629695</v>
      </c>
      <c r="F20" s="42">
        <f t="shared" si="0"/>
        <v>-11285.579757449092</v>
      </c>
      <c r="G20" s="42">
        <f t="shared" si="1"/>
        <v>-31.99466851290185</v>
      </c>
      <c r="H20" s="43">
        <f t="shared" si="2"/>
        <v>-11317.574425961993</v>
      </c>
    </row>
    <row r="21" spans="2:8" x14ac:dyDescent="0.35">
      <c r="B21" s="26" t="s">
        <v>52</v>
      </c>
      <c r="C21" s="39">
        <v>2022</v>
      </c>
      <c r="D21" s="40">
        <v>4.1000000000000003E-3</v>
      </c>
      <c r="E21" s="41">
        <f t="shared" si="3"/>
        <v>-1241.38050629695</v>
      </c>
      <c r="F21" s="42">
        <f t="shared" si="0"/>
        <v>-12558.954932258943</v>
      </c>
      <c r="G21" s="42">
        <f t="shared" si="1"/>
        <v>-48.946885184352922</v>
      </c>
      <c r="H21" s="43">
        <f t="shared" si="2"/>
        <v>-12607.901817443295</v>
      </c>
    </row>
    <row r="22" spans="2:8" x14ac:dyDescent="0.35">
      <c r="B22" s="26" t="s">
        <v>53</v>
      </c>
      <c r="C22" s="39">
        <v>2022</v>
      </c>
      <c r="D22" s="40">
        <v>4.1000000000000003E-3</v>
      </c>
      <c r="E22" s="41">
        <f t="shared" si="3"/>
        <v>-1241.38050629695</v>
      </c>
      <c r="F22" s="42">
        <f t="shared" si="0"/>
        <v>-13849.282323740244</v>
      </c>
      <c r="G22" s="42">
        <f t="shared" si="1"/>
        <v>-54.237227489426267</v>
      </c>
      <c r="H22" s="43">
        <f t="shared" si="2"/>
        <v>-13903.51955122967</v>
      </c>
    </row>
    <row r="23" spans="2:8" x14ac:dyDescent="0.35">
      <c r="B23" s="26" t="s">
        <v>54</v>
      </c>
      <c r="C23" s="39">
        <v>2022</v>
      </c>
      <c r="D23" s="40">
        <v>4.1000000000000003E-3</v>
      </c>
      <c r="E23" s="41">
        <f t="shared" si="3"/>
        <v>-1241.38050629695</v>
      </c>
      <c r="F23" s="42">
        <f t="shared" si="0"/>
        <v>-15144.90005752662</v>
      </c>
      <c r="G23" s="42">
        <f t="shared" si="1"/>
        <v>-59.549260197950396</v>
      </c>
      <c r="H23" s="43">
        <f t="shared" si="2"/>
        <v>-15204.449317724571</v>
      </c>
    </row>
    <row r="24" spans="2:8" ht="15" thickBot="1" x14ac:dyDescent="0.4">
      <c r="B24" s="26"/>
      <c r="D24" s="44"/>
      <c r="E24" s="45">
        <f>SUM(E12:E23)</f>
        <v>-14896.566075563396</v>
      </c>
      <c r="F24" s="46"/>
      <c r="G24" s="47" t="s">
        <v>55</v>
      </c>
      <c r="H24" s="48">
        <f>H23</f>
        <v>-15204.449317724571</v>
      </c>
    </row>
    <row r="25" spans="2:8" ht="26.25" customHeight="1" thickBot="1" x14ac:dyDescent="0.4">
      <c r="B25" s="231" t="s">
        <v>56</v>
      </c>
      <c r="C25" s="232"/>
      <c r="D25" s="232"/>
      <c r="E25" s="232"/>
      <c r="F25" s="232"/>
      <c r="G25" s="232"/>
      <c r="H25" s="49">
        <f>H24</f>
        <v>-15204.449317724571</v>
      </c>
    </row>
    <row r="29" spans="2:8" x14ac:dyDescent="0.35">
      <c r="B29" s="30"/>
    </row>
    <row r="35" spans="2:2" x14ac:dyDescent="0.35">
      <c r="B35" s="30"/>
    </row>
  </sheetData>
  <mergeCells count="3">
    <mergeCell ref="B3:H4"/>
    <mergeCell ref="B5:H5"/>
    <mergeCell ref="B25:G25"/>
  </mergeCells>
  <printOptions horizontalCentered="1"/>
  <pageMargins left="0.7" right="0.7" top="0.75" bottom="0.75" header="0.3" footer="0.3"/>
  <pageSetup orientation="landscape" cellComments="asDisplayed" r:id="rId1"/>
  <headerFooter>
    <oddHeader>&amp;RTO2025 Annual Update
Attachment 4
WP-Schedule 25-EPRI and EEI Prior Period Adj
Page &amp;P of &amp;N</oddHead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2D736-222A-421B-9F7E-C6BC17AA59E9}">
  <sheetPr>
    <pageSetUpPr fitToPage="1"/>
  </sheetPr>
  <dimension ref="A1:G38"/>
  <sheetViews>
    <sheetView view="pageLayout" zoomScaleNormal="100" zoomScaleSheetLayoutView="140" workbookViewId="0">
      <selection activeCell="C20" sqref="C20"/>
    </sheetView>
  </sheetViews>
  <sheetFormatPr defaultRowHeight="14.5" x14ac:dyDescent="0.35"/>
  <cols>
    <col min="1" max="1" width="6" customWidth="1"/>
    <col min="2" max="2" width="60.453125" customWidth="1"/>
    <col min="3" max="3" width="9.7265625" style="3" customWidth="1"/>
    <col min="4" max="4" width="14.81640625" bestFit="1" customWidth="1"/>
    <col min="5" max="5" width="10.1796875" bestFit="1" customWidth="1"/>
    <col min="6" max="6" width="12.54296875" bestFit="1" customWidth="1"/>
  </cols>
  <sheetData>
    <row r="1" spans="1:7" ht="15.5" x14ac:dyDescent="0.35">
      <c r="A1" s="233" t="s">
        <v>57</v>
      </c>
      <c r="B1" s="233"/>
      <c r="C1" s="233"/>
      <c r="D1" s="233"/>
      <c r="E1" s="233"/>
      <c r="F1" s="233"/>
      <c r="G1" s="233"/>
    </row>
    <row r="2" spans="1:7" x14ac:dyDescent="0.35">
      <c r="A2" s="1">
        <v>1</v>
      </c>
      <c r="B2" s="2" t="s">
        <v>58</v>
      </c>
      <c r="C2" s="1"/>
    </row>
    <row r="3" spans="1:7" x14ac:dyDescent="0.35">
      <c r="A3" s="1"/>
      <c r="D3" s="1" t="s">
        <v>0</v>
      </c>
      <c r="E3" s="1" t="s">
        <v>1</v>
      </c>
      <c r="F3" s="1" t="s">
        <v>2</v>
      </c>
    </row>
    <row r="4" spans="1:7" ht="15" thickBot="1" x14ac:dyDescent="0.4">
      <c r="A4" s="1"/>
      <c r="B4" t="s">
        <v>3</v>
      </c>
      <c r="D4" s="9">
        <v>0</v>
      </c>
      <c r="E4" s="9">
        <v>0</v>
      </c>
      <c r="F4" s="10">
        <f>SUM(D4:E4)</f>
        <v>0</v>
      </c>
    </row>
    <row r="5" spans="1:7" ht="15" thickBot="1" x14ac:dyDescent="0.4">
      <c r="A5" s="1"/>
      <c r="B5" t="s">
        <v>4</v>
      </c>
      <c r="D5" s="9">
        <v>0</v>
      </c>
      <c r="E5" s="50">
        <f>221620+25000</f>
        <v>246620</v>
      </c>
      <c r="F5" s="10">
        <f>SUM(D5:E5)</f>
        <v>246620</v>
      </c>
    </row>
    <row r="6" spans="1:7" x14ac:dyDescent="0.35">
      <c r="A6" s="1"/>
      <c r="B6" t="s">
        <v>23</v>
      </c>
      <c r="D6" s="9">
        <v>0</v>
      </c>
      <c r="E6" s="9">
        <v>0</v>
      </c>
      <c r="F6" s="10">
        <f>SUM(D6:E6)</f>
        <v>0</v>
      </c>
    </row>
    <row r="7" spans="1:7" x14ac:dyDescent="0.35">
      <c r="A7" s="1"/>
      <c r="B7" s="51" t="s">
        <v>5</v>
      </c>
      <c r="C7" s="52"/>
      <c r="D7" s="53">
        <v>0</v>
      </c>
      <c r="E7" s="53">
        <v>17136.7013942087</v>
      </c>
      <c r="F7" s="54">
        <f t="shared" ref="F7" si="0">SUM(D7:E7)</f>
        <v>17136.7013942087</v>
      </c>
    </row>
    <row r="8" spans="1:7" x14ac:dyDescent="0.35">
      <c r="A8" s="1"/>
      <c r="B8" s="2" t="s">
        <v>24</v>
      </c>
      <c r="C8" s="1"/>
      <c r="D8" s="11">
        <f>SUM(D4:D7)</f>
        <v>0</v>
      </c>
      <c r="E8" s="11">
        <f>SUM(E4:E7)</f>
        <v>263756.70139420871</v>
      </c>
      <c r="F8" s="11">
        <f>SUM(D8:E8)</f>
        <v>263756.70139420871</v>
      </c>
    </row>
    <row r="9" spans="1:7" x14ac:dyDescent="0.35">
      <c r="A9" s="1"/>
    </row>
    <row r="10" spans="1:7" x14ac:dyDescent="0.35">
      <c r="A10" s="1"/>
      <c r="B10" s="2"/>
      <c r="C10" s="1"/>
    </row>
    <row r="11" spans="1:7" x14ac:dyDescent="0.35">
      <c r="A11" s="55">
        <v>2</v>
      </c>
      <c r="B11" s="18" t="s">
        <v>59</v>
      </c>
      <c r="C11" s="56"/>
      <c r="D11" s="57"/>
    </row>
    <row r="12" spans="1:7" x14ac:dyDescent="0.35">
      <c r="A12" s="55"/>
      <c r="B12" s="57" t="s">
        <v>60</v>
      </c>
      <c r="C12" s="56" t="s">
        <v>8</v>
      </c>
      <c r="D12" s="58">
        <f>E7</f>
        <v>17136.7013942087</v>
      </c>
    </row>
    <row r="13" spans="1:7" x14ac:dyDescent="0.35">
      <c r="A13" s="55"/>
      <c r="B13" s="57" t="s">
        <v>15</v>
      </c>
      <c r="C13" s="56" t="s">
        <v>10</v>
      </c>
      <c r="D13" s="59">
        <v>5.9842511582503061E-2</v>
      </c>
    </row>
    <row r="14" spans="1:7" x14ac:dyDescent="0.35">
      <c r="A14" s="55"/>
      <c r="B14" s="18" t="s">
        <v>61</v>
      </c>
      <c r="C14" s="56" t="s">
        <v>12</v>
      </c>
      <c r="D14" s="58">
        <f>D12*D13</f>
        <v>1025.5032516688304</v>
      </c>
    </row>
    <row r="15" spans="1:7" x14ac:dyDescent="0.35">
      <c r="A15" s="57"/>
      <c r="B15" s="60"/>
      <c r="C15" s="61"/>
      <c r="D15" s="58"/>
    </row>
    <row r="16" spans="1:7" x14ac:dyDescent="0.35">
      <c r="A16" s="55">
        <v>3</v>
      </c>
      <c r="B16" s="18" t="s">
        <v>62</v>
      </c>
      <c r="C16" s="56"/>
      <c r="D16" s="17"/>
    </row>
    <row r="17" spans="1:4" x14ac:dyDescent="0.35">
      <c r="A17" s="55"/>
      <c r="B17" s="57" t="s">
        <v>63</v>
      </c>
      <c r="C17" s="56" t="s">
        <v>64</v>
      </c>
      <c r="D17" s="62">
        <f>F5</f>
        <v>246620</v>
      </c>
    </row>
    <row r="18" spans="1:4" x14ac:dyDescent="0.35">
      <c r="A18" s="55"/>
      <c r="B18" s="57" t="s">
        <v>15</v>
      </c>
      <c r="C18" s="56" t="s">
        <v>65</v>
      </c>
      <c r="D18" s="63">
        <v>5.9842511582503061E-2</v>
      </c>
    </row>
    <row r="19" spans="1:4" x14ac:dyDescent="0.35">
      <c r="A19" s="57"/>
      <c r="B19" s="18" t="s">
        <v>66</v>
      </c>
      <c r="C19" s="55" t="s">
        <v>67</v>
      </c>
      <c r="D19" s="64">
        <f>D17*D18</f>
        <v>14758.360206476906</v>
      </c>
    </row>
    <row r="20" spans="1:4" x14ac:dyDescent="0.35">
      <c r="B20" s="60"/>
      <c r="C20" s="61"/>
      <c r="D20" s="58"/>
    </row>
    <row r="31" spans="1:4" x14ac:dyDescent="0.35">
      <c r="A31" s="1"/>
      <c r="D31" s="65"/>
    </row>
    <row r="33" spans="1:4" x14ac:dyDescent="0.35">
      <c r="B33" s="66"/>
      <c r="C33" s="67"/>
      <c r="D33" s="68"/>
    </row>
    <row r="35" spans="1:4" x14ac:dyDescent="0.35">
      <c r="A35" s="1"/>
      <c r="B35" s="2"/>
      <c r="C35" s="1"/>
    </row>
    <row r="36" spans="1:4" x14ac:dyDescent="0.35">
      <c r="A36" s="1"/>
      <c r="D36" s="4"/>
    </row>
    <row r="37" spans="1:4" x14ac:dyDescent="0.35">
      <c r="A37" s="1"/>
      <c r="D37" s="5"/>
    </row>
    <row r="38" spans="1:4" x14ac:dyDescent="0.35">
      <c r="A38" s="1"/>
      <c r="D38" s="4"/>
    </row>
  </sheetData>
  <mergeCells count="1">
    <mergeCell ref="A1:G1"/>
  </mergeCells>
  <pageMargins left="0.7" right="0.7" top="1.1977777777777801" bottom="0.75" header="0.3" footer="0.3"/>
  <pageSetup scale="87" orientation="landscape" cellComments="asDisplayed" r:id="rId1"/>
  <headerFooter>
    <oddHeader>&amp;RTO2025 Annual Update
Attachment 4
WP-Schedule 25-EPRI and EEI Prior Period Adj
Page &amp;P of &amp;N</oddHeader>
    <oddFooter>&amp;R&amp;A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4BCFE-C6EC-40D9-B5DD-5FF037F65036}">
  <dimension ref="A3:J12"/>
  <sheetViews>
    <sheetView view="pageLayout" zoomScaleNormal="100" workbookViewId="0">
      <selection activeCell="C20" sqref="C20"/>
    </sheetView>
  </sheetViews>
  <sheetFormatPr defaultColWidth="8.7265625" defaultRowHeight="12.5" x14ac:dyDescent="0.25"/>
  <cols>
    <col min="1" max="2" width="8.7265625" style="69"/>
    <col min="3" max="3" width="11.1796875" style="69" customWidth="1"/>
    <col min="4" max="4" width="13.54296875" style="69" bestFit="1" customWidth="1"/>
    <col min="5" max="9" width="8.7265625" style="69"/>
    <col min="10" max="10" width="12.453125" style="69" bestFit="1" customWidth="1"/>
    <col min="11" max="16384" width="8.7265625" style="69"/>
  </cols>
  <sheetData>
    <row r="3" spans="1:10" x14ac:dyDescent="0.25">
      <c r="A3" s="238" t="s">
        <v>68</v>
      </c>
      <c r="B3" s="238"/>
      <c r="C3" s="238"/>
      <c r="D3" s="238"/>
      <c r="E3" s="238"/>
      <c r="F3" s="238"/>
      <c r="G3" s="238"/>
    </row>
    <row r="4" spans="1:10" x14ac:dyDescent="0.25">
      <c r="A4" s="238"/>
      <c r="B4" s="238"/>
      <c r="C4" s="238"/>
      <c r="D4" s="238"/>
      <c r="E4" s="238"/>
      <c r="F4" s="238"/>
      <c r="G4" s="238"/>
    </row>
    <row r="5" spans="1:10" ht="14.5" x14ac:dyDescent="0.35">
      <c r="A5" s="239" t="s">
        <v>69</v>
      </c>
      <c r="B5" s="239"/>
      <c r="C5" s="239"/>
      <c r="D5" s="70" t="s">
        <v>70</v>
      </c>
      <c r="E5" s="240" t="s">
        <v>71</v>
      </c>
      <c r="F5" s="240"/>
      <c r="G5" s="240"/>
    </row>
    <row r="6" spans="1:10" ht="59.15" customHeight="1" x14ac:dyDescent="0.35">
      <c r="A6" s="241" t="s">
        <v>72</v>
      </c>
      <c r="B6" s="242"/>
      <c r="C6" s="243"/>
      <c r="D6" s="71">
        <f>'WP-2022 TO2024 Sch 1-BaseTRR'!K160</f>
        <v>1111254818.3509665</v>
      </c>
      <c r="E6" s="244" t="s">
        <v>73</v>
      </c>
      <c r="F6" s="244"/>
      <c r="G6" s="244"/>
    </row>
    <row r="7" spans="1:10" ht="51.65" customHeight="1" x14ac:dyDescent="0.35">
      <c r="A7" s="241" t="s">
        <v>74</v>
      </c>
      <c r="B7" s="242"/>
      <c r="C7" s="243"/>
      <c r="D7" s="71">
        <f>'WP-2022 TO2024 Sch 1-BaseTRR'!M160</f>
        <v>1111269714.917042</v>
      </c>
      <c r="E7" s="241" t="s">
        <v>75</v>
      </c>
      <c r="F7" s="242"/>
      <c r="G7" s="243"/>
      <c r="J7" s="72"/>
    </row>
    <row r="8" spans="1:10" ht="14.5" x14ac:dyDescent="0.35">
      <c r="A8" s="234" t="s">
        <v>76</v>
      </c>
      <c r="B8" s="234"/>
      <c r="C8" s="235"/>
      <c r="D8" s="73">
        <f>D6-D7</f>
        <v>-14896.566075563431</v>
      </c>
      <c r="E8" s="236"/>
      <c r="F8" s="236"/>
      <c r="G8" s="236"/>
    </row>
    <row r="9" spans="1:10" ht="14.5" x14ac:dyDescent="0.35">
      <c r="A9" s="74"/>
      <c r="B9" s="74"/>
      <c r="C9" s="74"/>
      <c r="D9" s="74"/>
      <c r="E9" s="74"/>
      <c r="F9" s="74"/>
      <c r="G9" s="74"/>
    </row>
    <row r="10" spans="1:10" ht="14.5" x14ac:dyDescent="0.35">
      <c r="A10" s="74"/>
      <c r="B10" s="74"/>
      <c r="C10" s="74"/>
      <c r="D10" s="74"/>
      <c r="F10" s="74"/>
      <c r="G10" s="74"/>
    </row>
    <row r="11" spans="1:10" ht="14.5" x14ac:dyDescent="0.35">
      <c r="A11" s="75" t="s">
        <v>77</v>
      </c>
      <c r="B11" s="74"/>
      <c r="C11" s="74"/>
      <c r="D11" s="74"/>
      <c r="E11" s="74"/>
      <c r="F11" s="74"/>
      <c r="G11" s="74"/>
    </row>
    <row r="12" spans="1:10" ht="14.5" x14ac:dyDescent="0.35">
      <c r="A12" s="237" t="s">
        <v>78</v>
      </c>
      <c r="B12" s="237"/>
      <c r="C12" s="237"/>
      <c r="D12" s="237"/>
      <c r="E12" s="237"/>
      <c r="F12" s="237"/>
      <c r="G12" s="237"/>
    </row>
  </sheetData>
  <mergeCells count="10">
    <mergeCell ref="A8:C8"/>
    <mergeCell ref="E8:G8"/>
    <mergeCell ref="A12:G12"/>
    <mergeCell ref="A3:G4"/>
    <mergeCell ref="A5:C5"/>
    <mergeCell ref="E5:G5"/>
    <mergeCell ref="A6:C6"/>
    <mergeCell ref="E6:G6"/>
    <mergeCell ref="A7:C7"/>
    <mergeCell ref="E7:G7"/>
  </mergeCells>
  <pageMargins left="0.7" right="0.7" top="0.75" bottom="0.75" header="0.3" footer="0.3"/>
  <pageSetup orientation="portrait" horizontalDpi="1200" verticalDpi="1200" r:id="rId1"/>
  <headerFooter>
    <oddHeader>&amp;RTO2025 Annual Update
Attachment 4
WP-Schedule 25-EPRI and EEI Prior Period Adj
Page &amp;P of &amp;N</oddHeader>
    <oddFooter>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4330E-CE37-4382-BDD1-801BB074D51C}">
  <dimension ref="A1:P198"/>
  <sheetViews>
    <sheetView view="pageLayout" topLeftCell="A115" zoomScaleNormal="100" zoomScaleSheetLayoutView="117" workbookViewId="0">
      <selection activeCell="C20" sqref="C20"/>
    </sheetView>
  </sheetViews>
  <sheetFormatPr defaultColWidth="8.7265625" defaultRowHeight="12.5" x14ac:dyDescent="0.25"/>
  <cols>
    <col min="1" max="1" width="4.54296875" style="77" customWidth="1"/>
    <col min="2" max="2" width="7.7265625" style="77" customWidth="1"/>
    <col min="3" max="3" width="8.7265625" style="77"/>
    <col min="4" max="4" width="10.453125" style="77" customWidth="1"/>
    <col min="5" max="5" width="8.7265625" style="77"/>
    <col min="6" max="6" width="11.7265625" style="77" customWidth="1"/>
    <col min="7" max="7" width="13.54296875" style="77" customWidth="1"/>
    <col min="8" max="8" width="22.7265625" style="77" customWidth="1"/>
    <col min="9" max="9" width="29.453125" style="77" customWidth="1"/>
    <col min="10" max="10" width="2.54296875" style="77" customWidth="1"/>
    <col min="11" max="11" width="23.1796875" style="77" customWidth="1"/>
    <col min="12" max="12" width="2.54296875" style="77" customWidth="1"/>
    <col min="13" max="13" width="22.1796875" style="77" customWidth="1"/>
    <col min="14" max="14" width="23.453125" style="77" customWidth="1"/>
    <col min="15" max="15" width="15" style="77" bestFit="1" customWidth="1"/>
    <col min="16" max="16" width="19.1796875" style="77" bestFit="1" customWidth="1"/>
    <col min="17" max="16384" width="8.7265625" style="77"/>
  </cols>
  <sheetData>
    <row r="1" spans="1:11" ht="13" x14ac:dyDescent="0.3">
      <c r="A1" s="76" t="s">
        <v>79</v>
      </c>
    </row>
    <row r="2" spans="1:11" x14ac:dyDescent="0.25">
      <c r="I2" s="78" t="s">
        <v>80</v>
      </c>
      <c r="J2" s="78"/>
    </row>
    <row r="3" spans="1:11" ht="13" x14ac:dyDescent="0.3">
      <c r="A3" s="76" t="s">
        <v>81</v>
      </c>
      <c r="K3" s="79"/>
    </row>
    <row r="4" spans="1:11" ht="13" x14ac:dyDescent="0.3">
      <c r="H4" s="79"/>
      <c r="I4" s="79" t="s">
        <v>82</v>
      </c>
      <c r="K4" s="80">
        <v>2022</v>
      </c>
    </row>
    <row r="5" spans="1:11" ht="13" x14ac:dyDescent="0.3">
      <c r="A5" s="81" t="s">
        <v>83</v>
      </c>
      <c r="H5" s="82" t="s">
        <v>84</v>
      </c>
      <c r="I5" s="82" t="s">
        <v>85</v>
      </c>
      <c r="K5" s="82" t="s">
        <v>86</v>
      </c>
    </row>
    <row r="7" spans="1:11" ht="13" x14ac:dyDescent="0.3">
      <c r="A7" s="83" t="s">
        <v>87</v>
      </c>
      <c r="B7" s="84"/>
      <c r="C7" s="84"/>
      <c r="D7" s="84"/>
      <c r="E7" s="84"/>
      <c r="F7" s="84"/>
      <c r="G7" s="84"/>
      <c r="H7" s="85"/>
      <c r="I7" s="85"/>
      <c r="J7" s="85"/>
      <c r="K7" s="85"/>
    </row>
    <row r="9" spans="1:11" ht="13" x14ac:dyDescent="0.3">
      <c r="A9" s="79">
        <v>1</v>
      </c>
      <c r="B9" s="86" t="s">
        <v>88</v>
      </c>
      <c r="I9" s="77" t="s">
        <v>373</v>
      </c>
      <c r="K9" s="87">
        <v>10923385779.162935</v>
      </c>
    </row>
    <row r="10" spans="1:11" ht="13" x14ac:dyDescent="0.3">
      <c r="A10" s="79">
        <f>A9+1</f>
        <v>2</v>
      </c>
      <c r="B10" s="86" t="s">
        <v>89</v>
      </c>
      <c r="I10" s="77" t="s">
        <v>374</v>
      </c>
      <c r="K10" s="87">
        <v>364085577.752482</v>
      </c>
    </row>
    <row r="11" spans="1:11" ht="13" x14ac:dyDescent="0.3">
      <c r="A11" s="79">
        <f>A10+1</f>
        <v>3</v>
      </c>
      <c r="B11" s="86" t="s">
        <v>90</v>
      </c>
      <c r="I11" s="77" t="s">
        <v>375</v>
      </c>
      <c r="K11" s="87">
        <v>9132043</v>
      </c>
    </row>
    <row r="12" spans="1:11" ht="13" x14ac:dyDescent="0.3">
      <c r="A12" s="79">
        <f>A11+1</f>
        <v>4</v>
      </c>
      <c r="B12" s="86" t="s">
        <v>91</v>
      </c>
      <c r="I12" s="77" t="s">
        <v>377</v>
      </c>
      <c r="K12" s="87">
        <v>0</v>
      </c>
    </row>
    <row r="13" spans="1:11" ht="13" x14ac:dyDescent="0.3">
      <c r="A13" s="79"/>
      <c r="B13" s="86"/>
      <c r="K13" s="87"/>
    </row>
    <row r="14" spans="1:11" ht="13" x14ac:dyDescent="0.3">
      <c r="A14" s="79"/>
      <c r="B14" s="88" t="s">
        <v>92</v>
      </c>
      <c r="K14" s="87"/>
    </row>
    <row r="15" spans="1:11" ht="13" x14ac:dyDescent="0.3">
      <c r="A15" s="79">
        <f>A12+1</f>
        <v>5</v>
      </c>
      <c r="B15" s="89" t="s">
        <v>93</v>
      </c>
      <c r="I15" s="77" t="s">
        <v>379</v>
      </c>
      <c r="K15" s="87">
        <v>26972331.782717928</v>
      </c>
    </row>
    <row r="16" spans="1:11" ht="13" x14ac:dyDescent="0.3">
      <c r="A16" s="79">
        <f>A15+1</f>
        <v>6</v>
      </c>
      <c r="B16" s="89" t="s">
        <v>94</v>
      </c>
      <c r="I16" s="77" t="s">
        <v>380</v>
      </c>
      <c r="K16" s="87">
        <v>16985961.914313655</v>
      </c>
    </row>
    <row r="17" spans="1:11" ht="13" x14ac:dyDescent="0.3">
      <c r="A17" s="79">
        <f>A16+1</f>
        <v>7</v>
      </c>
      <c r="B17" s="89" t="s">
        <v>95</v>
      </c>
      <c r="I17" s="77" t="str">
        <f>"(Line "&amp;A126&amp;" + Line "&amp;A127&amp;") / 8"</f>
        <v>(Line 66 + Line 67) / 8</v>
      </c>
      <c r="K17" s="90">
        <f>(K126+K127)/8</f>
        <v>31207783.131480061</v>
      </c>
    </row>
    <row r="18" spans="1:11" ht="13" x14ac:dyDescent="0.3">
      <c r="A18" s="79">
        <f>A17+1</f>
        <v>8</v>
      </c>
      <c r="B18" s="89" t="s">
        <v>96</v>
      </c>
      <c r="I18" s="77" t="str">
        <f>"Line "&amp;A15&amp;" + Line "&amp;A16&amp;" + Line "&amp;A17&amp;""</f>
        <v>Line 5 + Line 6 + Line 7</v>
      </c>
      <c r="K18" s="87">
        <f>SUM(K15:K17)</f>
        <v>75166076.828511655</v>
      </c>
    </row>
    <row r="19" spans="1:11" ht="13" x14ac:dyDescent="0.3">
      <c r="A19" s="79"/>
      <c r="B19" s="89"/>
      <c r="K19" s="87"/>
    </row>
    <row r="20" spans="1:11" ht="13" x14ac:dyDescent="0.3">
      <c r="A20" s="79"/>
      <c r="B20" s="91" t="s">
        <v>97</v>
      </c>
      <c r="K20" s="87"/>
    </row>
    <row r="21" spans="1:11" ht="13" x14ac:dyDescent="0.3">
      <c r="A21" s="79">
        <f>A18+1</f>
        <v>9</v>
      </c>
      <c r="B21" s="89" t="s">
        <v>98</v>
      </c>
      <c r="H21" s="77" t="s">
        <v>99</v>
      </c>
      <c r="I21" s="77" t="s">
        <v>381</v>
      </c>
      <c r="K21" s="87">
        <v>-2428578405.12362</v>
      </c>
    </row>
    <row r="22" spans="1:11" ht="13" x14ac:dyDescent="0.3">
      <c r="A22" s="79">
        <f>A21+1</f>
        <v>10</v>
      </c>
      <c r="B22" s="89" t="s">
        <v>100</v>
      </c>
      <c r="H22" s="77" t="s">
        <v>99</v>
      </c>
      <c r="I22" s="77" t="s">
        <v>382</v>
      </c>
      <c r="K22" s="87">
        <v>0</v>
      </c>
    </row>
    <row r="23" spans="1:11" ht="13" x14ac:dyDescent="0.3">
      <c r="A23" s="79">
        <f>A22+1</f>
        <v>11</v>
      </c>
      <c r="B23" s="89" t="s">
        <v>101</v>
      </c>
      <c r="C23" s="92"/>
      <c r="H23" s="77" t="s">
        <v>99</v>
      </c>
      <c r="I23" s="77" t="s">
        <v>383</v>
      </c>
      <c r="K23" s="90">
        <v>-131616564.05344036</v>
      </c>
    </row>
    <row r="24" spans="1:11" ht="13" x14ac:dyDescent="0.3">
      <c r="A24" s="79">
        <f>A23+1</f>
        <v>12</v>
      </c>
      <c r="B24" s="93" t="s">
        <v>102</v>
      </c>
      <c r="C24" s="92"/>
      <c r="I24" s="77" t="str">
        <f>"Line "&amp;A21&amp;" + Line "&amp;A22&amp;" + Line "&amp;A23&amp;""</f>
        <v>Line 9 + Line 10 + Line 11</v>
      </c>
      <c r="K24" s="87">
        <f>SUM(K21:K23)</f>
        <v>-2560194969.1770606</v>
      </c>
    </row>
    <row r="25" spans="1:11" x14ac:dyDescent="0.25">
      <c r="K25" s="87"/>
    </row>
    <row r="26" spans="1:11" ht="13" x14ac:dyDescent="0.3">
      <c r="A26" s="79">
        <f>A24+1</f>
        <v>13</v>
      </c>
      <c r="B26" s="86" t="s">
        <v>103</v>
      </c>
      <c r="I26" s="77" t="s">
        <v>384</v>
      </c>
      <c r="K26" s="87">
        <v>-1435064626.6339588</v>
      </c>
    </row>
    <row r="27" spans="1:11" ht="13" x14ac:dyDescent="0.3">
      <c r="A27" s="79"/>
      <c r="B27" s="86"/>
    </row>
    <row r="28" spans="1:11" ht="13" x14ac:dyDescent="0.3">
      <c r="A28" s="79">
        <f>A26+1</f>
        <v>14</v>
      </c>
      <c r="B28" s="86" t="s">
        <v>104</v>
      </c>
      <c r="I28" s="77" t="s">
        <v>385</v>
      </c>
      <c r="K28" s="87">
        <v>285206915.12</v>
      </c>
    </row>
    <row r="29" spans="1:11" ht="13" x14ac:dyDescent="0.3">
      <c r="A29" s="79"/>
      <c r="B29" s="86"/>
      <c r="K29" s="87"/>
    </row>
    <row r="30" spans="1:11" ht="13" x14ac:dyDescent="0.3">
      <c r="A30" s="79">
        <f>A28+1</f>
        <v>15</v>
      </c>
      <c r="B30" s="86" t="s">
        <v>105</v>
      </c>
      <c r="I30" s="77" t="s">
        <v>386</v>
      </c>
      <c r="K30" s="87">
        <v>0</v>
      </c>
    </row>
    <row r="31" spans="1:11" ht="13" x14ac:dyDescent="0.3">
      <c r="A31" s="79">
        <f t="shared" ref="A31:A32" si="0">A30+1</f>
        <v>16</v>
      </c>
      <c r="B31" s="86" t="s">
        <v>106</v>
      </c>
      <c r="I31" s="77" t="s">
        <v>388</v>
      </c>
      <c r="K31" s="87">
        <v>-71842009.477484107</v>
      </c>
    </row>
    <row r="32" spans="1:11" ht="13" x14ac:dyDescent="0.3">
      <c r="A32" s="79">
        <f t="shared" si="0"/>
        <v>17</v>
      </c>
      <c r="B32" s="86" t="s">
        <v>107</v>
      </c>
      <c r="H32" s="77" t="s">
        <v>99</v>
      </c>
      <c r="I32" s="77" t="s">
        <v>389</v>
      </c>
      <c r="K32" s="87">
        <v>-37405734.116853178</v>
      </c>
    </row>
    <row r="33" spans="1:11" ht="13" x14ac:dyDescent="0.3">
      <c r="A33" s="79"/>
      <c r="B33" s="86"/>
    </row>
    <row r="34" spans="1:11" ht="13" x14ac:dyDescent="0.3">
      <c r="A34" s="79">
        <f>A32+1</f>
        <v>18</v>
      </c>
      <c r="B34" s="77" t="s">
        <v>108</v>
      </c>
      <c r="I34" s="77" t="str">
        <f>"L"&amp;A9&amp;" + L"&amp;A10&amp;" + L"&amp;A11&amp;" + L"&amp;A12&amp;" + L"&amp;A18&amp;" + L"&amp;A24&amp;" +"</f>
        <v>L1 + L2 + L3 + L4 + L8 + L12 +</v>
      </c>
      <c r="K34" s="87">
        <f>K9+K10+K11+K12+K18+K24+K26+K28+K30+K31+K32</f>
        <v>7552469052.4585724</v>
      </c>
    </row>
    <row r="35" spans="1:11" ht="13" x14ac:dyDescent="0.3">
      <c r="A35" s="79"/>
      <c r="I35" s="86" t="str">
        <f>"L"&amp;A26&amp;" + L"&amp;A28&amp;"+ L"&amp;A30&amp;"+ L"&amp;A31&amp;" + L"&amp;A32&amp;""</f>
        <v>L13 + L14+ L15+ L16 + L17</v>
      </c>
      <c r="K35" s="87"/>
    </row>
    <row r="37" spans="1:11" ht="13" x14ac:dyDescent="0.3">
      <c r="A37" s="83" t="s">
        <v>109</v>
      </c>
      <c r="B37" s="84"/>
      <c r="C37" s="84"/>
      <c r="D37" s="84"/>
      <c r="E37" s="84"/>
      <c r="F37" s="84"/>
      <c r="G37" s="84"/>
      <c r="H37" s="85"/>
      <c r="I37" s="85"/>
      <c r="J37" s="85"/>
      <c r="K37" s="85"/>
    </row>
    <row r="39" spans="1:11" ht="13" x14ac:dyDescent="0.3">
      <c r="A39" s="79">
        <f>A34+1</f>
        <v>19</v>
      </c>
      <c r="B39" s="77" t="s">
        <v>110</v>
      </c>
      <c r="I39" s="77" t="s">
        <v>111</v>
      </c>
      <c r="K39" s="87">
        <f>H180</f>
        <v>434859266</v>
      </c>
    </row>
    <row r="40" spans="1:11" ht="13" x14ac:dyDescent="0.3">
      <c r="A40" s="79">
        <f>A39+1</f>
        <v>20</v>
      </c>
      <c r="B40" s="89" t="s">
        <v>112</v>
      </c>
      <c r="I40" s="77" t="s">
        <v>391</v>
      </c>
      <c r="K40" s="94">
        <v>0.18233907928586837</v>
      </c>
    </row>
    <row r="41" spans="1:11" ht="13" x14ac:dyDescent="0.3">
      <c r="A41" s="79">
        <f>A40+1</f>
        <v>21</v>
      </c>
      <c r="B41" s="77" t="s">
        <v>113</v>
      </c>
      <c r="I41" s="77" t="str">
        <f>"Line "&amp;A39&amp;" * Line "&amp;A40&amp;""</f>
        <v>Line 19 * Line 20</v>
      </c>
      <c r="K41" s="87">
        <f>K39*K40</f>
        <v>79291838.18136853</v>
      </c>
    </row>
    <row r="42" spans="1:11" ht="13" x14ac:dyDescent="0.3">
      <c r="A42" s="79" t="s">
        <v>114</v>
      </c>
      <c r="K42" s="94"/>
    </row>
    <row r="43" spans="1:11" ht="13" x14ac:dyDescent="0.3">
      <c r="A43" s="79">
        <f>A41+1</f>
        <v>22</v>
      </c>
      <c r="B43" s="77" t="s">
        <v>115</v>
      </c>
      <c r="K43" s="94"/>
    </row>
    <row r="44" spans="1:11" ht="13" x14ac:dyDescent="0.3">
      <c r="A44" s="79">
        <f t="shared" ref="A44:A56" si="1">A43+1</f>
        <v>23</v>
      </c>
      <c r="B44" s="89" t="s">
        <v>116</v>
      </c>
      <c r="E44" s="76"/>
      <c r="F44" s="76"/>
      <c r="G44" s="76"/>
      <c r="I44" s="77" t="str">
        <f>"Line "&amp;A45&amp;" + Line "&amp;A46&amp;"+ Line "&amp;A47&amp;""</f>
        <v>Line 24 + Line 25+ Line 26</v>
      </c>
      <c r="K44" s="87">
        <f>SUM(K45:K47)</f>
        <v>130256889.28</v>
      </c>
    </row>
    <row r="45" spans="1:11" ht="13" x14ac:dyDescent="0.3">
      <c r="A45" s="79">
        <f t="shared" si="1"/>
        <v>24</v>
      </c>
      <c r="B45" s="95" t="s">
        <v>117</v>
      </c>
      <c r="E45" s="76"/>
      <c r="F45" s="76"/>
      <c r="G45" s="76"/>
      <c r="I45" s="77" t="s">
        <v>111</v>
      </c>
      <c r="K45" s="87">
        <f t="shared" ref="K45:K51" si="2">H181</f>
        <v>129729289.01000001</v>
      </c>
    </row>
    <row r="46" spans="1:11" ht="13" x14ac:dyDescent="0.3">
      <c r="A46" s="79">
        <f t="shared" si="1"/>
        <v>25</v>
      </c>
      <c r="B46" s="95" t="s">
        <v>118</v>
      </c>
      <c r="E46" s="76"/>
      <c r="F46" s="76"/>
      <c r="G46" s="76"/>
      <c r="I46" s="77" t="s">
        <v>111</v>
      </c>
      <c r="K46" s="87">
        <f>H182</f>
        <v>427390.07</v>
      </c>
    </row>
    <row r="47" spans="1:11" ht="13" x14ac:dyDescent="0.3">
      <c r="A47" s="79">
        <f t="shared" si="1"/>
        <v>26</v>
      </c>
      <c r="B47" s="95" t="s">
        <v>119</v>
      </c>
      <c r="E47" s="76"/>
      <c r="F47" s="76"/>
      <c r="G47" s="76"/>
      <c r="I47" s="77" t="s">
        <v>111</v>
      </c>
      <c r="K47" s="87">
        <f>H183</f>
        <v>100210.2</v>
      </c>
    </row>
    <row r="48" spans="1:11" ht="13" x14ac:dyDescent="0.3">
      <c r="A48" s="79">
        <f t="shared" si="1"/>
        <v>27</v>
      </c>
      <c r="B48" s="89" t="s">
        <v>120</v>
      </c>
      <c r="I48" s="77" t="s">
        <v>111</v>
      </c>
      <c r="K48" s="87">
        <f t="shared" si="2"/>
        <v>3370028.17</v>
      </c>
    </row>
    <row r="49" spans="1:11" ht="13" x14ac:dyDescent="0.3">
      <c r="A49" s="79">
        <f t="shared" si="1"/>
        <v>28</v>
      </c>
      <c r="B49" s="89" t="s">
        <v>121</v>
      </c>
      <c r="I49" s="77" t="s">
        <v>111</v>
      </c>
      <c r="K49" s="87">
        <f t="shared" si="2"/>
        <v>893513.6</v>
      </c>
    </row>
    <row r="50" spans="1:11" ht="13" x14ac:dyDescent="0.3">
      <c r="A50" s="79">
        <f t="shared" si="1"/>
        <v>29</v>
      </c>
      <c r="B50" s="89" t="s">
        <v>122</v>
      </c>
      <c r="I50" s="77" t="s">
        <v>111</v>
      </c>
      <c r="K50" s="87">
        <f t="shared" si="2"/>
        <v>2668166.4900000002</v>
      </c>
    </row>
    <row r="51" spans="1:11" ht="13" x14ac:dyDescent="0.3">
      <c r="A51" s="79">
        <f t="shared" si="1"/>
        <v>30</v>
      </c>
      <c r="B51" s="89" t="s">
        <v>123</v>
      </c>
      <c r="I51" s="77" t="s">
        <v>111</v>
      </c>
      <c r="K51" s="87">
        <f t="shared" si="2"/>
        <v>23590.67</v>
      </c>
    </row>
    <row r="52" spans="1:11" ht="13" x14ac:dyDescent="0.3">
      <c r="A52" s="79">
        <f t="shared" si="1"/>
        <v>31</v>
      </c>
      <c r="B52" s="77" t="s">
        <v>124</v>
      </c>
      <c r="I52" s="77" t="str">
        <f>"Line "&amp;A44&amp;" + (Line "&amp;A48&amp;" to Line "&amp;A51&amp;")"</f>
        <v>Line 23 + (Line 27 to Line 30)</v>
      </c>
      <c r="K52" s="87">
        <f>K44+K48+K49+K50+K51</f>
        <v>137212188.21000001</v>
      </c>
    </row>
    <row r="53" spans="1:11" ht="13" x14ac:dyDescent="0.3">
      <c r="A53" s="79">
        <f t="shared" si="1"/>
        <v>32</v>
      </c>
      <c r="B53" s="77" t="s">
        <v>125</v>
      </c>
      <c r="I53" s="77" t="s">
        <v>393</v>
      </c>
      <c r="K53" s="96">
        <v>68606094.105000004</v>
      </c>
    </row>
    <row r="54" spans="1:11" ht="13" x14ac:dyDescent="0.3">
      <c r="A54" s="79">
        <f t="shared" si="1"/>
        <v>33</v>
      </c>
      <c r="B54" s="77" t="s">
        <v>126</v>
      </c>
      <c r="I54" s="77" t="str">
        <f>"Line "&amp;A52&amp;" - Line "&amp;A53&amp;""</f>
        <v>Line 31 - Line 32</v>
      </c>
      <c r="K54" s="87">
        <f>K52-K53</f>
        <v>68606094.105000004</v>
      </c>
    </row>
    <row r="55" spans="1:11" ht="13" x14ac:dyDescent="0.3">
      <c r="A55" s="79">
        <f>A54+1</f>
        <v>34</v>
      </c>
      <c r="B55" s="89" t="s">
        <v>127</v>
      </c>
      <c r="I55" s="77" t="s">
        <v>392</v>
      </c>
      <c r="K55" s="94">
        <v>5.9842511582503061E-2</v>
      </c>
    </row>
    <row r="56" spans="1:11" ht="13" x14ac:dyDescent="0.3">
      <c r="A56" s="79">
        <f t="shared" si="1"/>
        <v>35</v>
      </c>
      <c r="B56" s="86" t="s">
        <v>115</v>
      </c>
      <c r="I56" s="77" t="str">
        <f>"Line "&amp;A54&amp;" * Line "&amp;A55&amp;""</f>
        <v>Line 33 * Line 34</v>
      </c>
      <c r="K56" s="87">
        <f>K54*K55</f>
        <v>4105560.9811087577</v>
      </c>
    </row>
    <row r="57" spans="1:11" ht="13" x14ac:dyDescent="0.3">
      <c r="A57" s="79"/>
      <c r="K57" s="87"/>
    </row>
    <row r="58" spans="1:11" ht="13" x14ac:dyDescent="0.3">
      <c r="A58" s="79">
        <f>A56+1</f>
        <v>36</v>
      </c>
      <c r="B58" s="77" t="s">
        <v>128</v>
      </c>
      <c r="H58" s="77" t="s">
        <v>129</v>
      </c>
      <c r="I58" s="77" t="str">
        <f>"Line "&amp;A41&amp;" + Line "&amp;A56&amp;""</f>
        <v>Line 21 + Line 35</v>
      </c>
      <c r="K58" s="87">
        <f>K41+K56</f>
        <v>83397399.162477285</v>
      </c>
    </row>
    <row r="60" spans="1:11" ht="13" x14ac:dyDescent="0.3">
      <c r="A60" s="83" t="s">
        <v>130</v>
      </c>
      <c r="B60" s="84"/>
      <c r="C60" s="84"/>
      <c r="D60" s="84"/>
      <c r="E60" s="84"/>
      <c r="F60" s="84"/>
      <c r="G60" s="84"/>
      <c r="H60" s="85"/>
      <c r="I60" s="85"/>
      <c r="J60" s="85"/>
      <c r="K60" s="85"/>
    </row>
    <row r="61" spans="1:11" ht="13" x14ac:dyDescent="0.3">
      <c r="A61" s="76"/>
    </row>
    <row r="62" spans="1:11" x14ac:dyDescent="0.25">
      <c r="A62" s="97"/>
      <c r="B62" s="88" t="s">
        <v>131</v>
      </c>
    </row>
    <row r="63" spans="1:11" ht="13" x14ac:dyDescent="0.3">
      <c r="A63" s="79">
        <f>A58+1</f>
        <v>37</v>
      </c>
      <c r="B63" s="77" t="s">
        <v>132</v>
      </c>
      <c r="I63" s="77" t="s">
        <v>396</v>
      </c>
      <c r="K63" s="87">
        <v>23264170489.184616</v>
      </c>
    </row>
    <row r="64" spans="1:11" ht="13" x14ac:dyDescent="0.3">
      <c r="A64" s="79">
        <f>A63+1</f>
        <v>38</v>
      </c>
      <c r="B64" s="77" t="s">
        <v>133</v>
      </c>
      <c r="I64" s="77" t="s">
        <v>397</v>
      </c>
      <c r="K64" s="87">
        <v>899210572</v>
      </c>
    </row>
    <row r="65" spans="1:11" ht="13" x14ac:dyDescent="0.3">
      <c r="A65" s="79">
        <f>A64+1</f>
        <v>39</v>
      </c>
      <c r="B65" s="77" t="s">
        <v>134</v>
      </c>
      <c r="I65" s="77" t="s">
        <v>398</v>
      </c>
      <c r="K65" s="94">
        <v>3.8652165673305997E-2</v>
      </c>
    </row>
    <row r="66" spans="1:11" ht="13" x14ac:dyDescent="0.3">
      <c r="A66" s="79"/>
      <c r="K66" s="94"/>
    </row>
    <row r="67" spans="1:11" ht="13" x14ac:dyDescent="0.3">
      <c r="A67" s="79"/>
      <c r="B67" s="88" t="s">
        <v>135</v>
      </c>
    </row>
    <row r="68" spans="1:11" ht="13" x14ac:dyDescent="0.3">
      <c r="A68" s="79">
        <f>A65+1</f>
        <v>40</v>
      </c>
      <c r="B68" s="77" t="s">
        <v>136</v>
      </c>
      <c r="I68" s="77" t="s">
        <v>399</v>
      </c>
      <c r="K68" s="87">
        <v>1898930786.6759024</v>
      </c>
    </row>
    <row r="69" spans="1:11" ht="13" x14ac:dyDescent="0.3">
      <c r="A69" s="79">
        <f>A68+1</f>
        <v>41</v>
      </c>
      <c r="B69" s="77" t="s">
        <v>137</v>
      </c>
      <c r="I69" s="77" t="s">
        <v>400</v>
      </c>
      <c r="K69" s="87">
        <v>111107686.63840115</v>
      </c>
    </row>
    <row r="70" spans="1:11" ht="13" x14ac:dyDescent="0.3">
      <c r="A70" s="79">
        <f>A69+1</f>
        <v>42</v>
      </c>
      <c r="B70" s="77" t="s">
        <v>138</v>
      </c>
      <c r="I70" s="77" t="s">
        <v>401</v>
      </c>
      <c r="K70" s="94">
        <v>5.8510656321969633E-2</v>
      </c>
    </row>
    <row r="71" spans="1:11" ht="13" x14ac:dyDescent="0.3">
      <c r="A71" s="79"/>
      <c r="K71" s="94"/>
    </row>
    <row r="72" spans="1:11" ht="13" x14ac:dyDescent="0.3">
      <c r="A72" s="79"/>
      <c r="B72" s="88" t="s">
        <v>139</v>
      </c>
    </row>
    <row r="73" spans="1:11" ht="13" x14ac:dyDescent="0.3">
      <c r="A73" s="79">
        <f>A70+1</f>
        <v>43</v>
      </c>
      <c r="B73" s="77" t="s">
        <v>140</v>
      </c>
      <c r="I73" s="77" t="s">
        <v>402</v>
      </c>
      <c r="K73" s="87">
        <v>18318124696.711151</v>
      </c>
    </row>
    <row r="74" spans="1:11" ht="13" x14ac:dyDescent="0.3">
      <c r="A74" s="79"/>
      <c r="I74" s="98"/>
    </row>
    <row r="75" spans="1:11" ht="13" x14ac:dyDescent="0.3">
      <c r="A75" s="79">
        <f>A73+1</f>
        <v>44</v>
      </c>
      <c r="B75" s="77" t="s">
        <v>141</v>
      </c>
      <c r="I75" s="77" t="str">
        <f>"Line "&amp;A63&amp;" + Line "&amp;A68&amp;" + Line "&amp;A73&amp;""</f>
        <v>Line 37 + Line 40 + Line 43</v>
      </c>
      <c r="K75" s="87">
        <f>K63+K68+K73</f>
        <v>43481225972.571671</v>
      </c>
    </row>
    <row r="76" spans="1:11" ht="13" x14ac:dyDescent="0.3">
      <c r="A76" s="79"/>
      <c r="K76" s="87"/>
    </row>
    <row r="77" spans="1:11" ht="13" x14ac:dyDescent="0.3">
      <c r="A77" s="79" t="s">
        <v>142</v>
      </c>
      <c r="B77" s="77" t="s">
        <v>143</v>
      </c>
      <c r="K77" s="99">
        <v>0.47499999999999998</v>
      </c>
    </row>
    <row r="78" spans="1:11" ht="13" x14ac:dyDescent="0.3">
      <c r="A78" s="79"/>
      <c r="B78" s="89"/>
      <c r="K78" s="87"/>
    </row>
    <row r="79" spans="1:11" ht="13" x14ac:dyDescent="0.3">
      <c r="A79" s="79"/>
      <c r="B79" s="88" t="s">
        <v>144</v>
      </c>
    </row>
    <row r="80" spans="1:11" ht="13" x14ac:dyDescent="0.3">
      <c r="A80" s="79">
        <f>A75+1</f>
        <v>45</v>
      </c>
      <c r="B80" s="77" t="s">
        <v>145</v>
      </c>
      <c r="I80" s="77" t="str">
        <f>"100% - (Line "&amp;A81&amp;" + Line "&amp;A82&amp;")"</f>
        <v>100% - (Line 46 + Line 47)</v>
      </c>
      <c r="K80" s="94">
        <f>1-(K81+K82)</f>
        <v>0.48132757025126749</v>
      </c>
    </row>
    <row r="81" spans="1:11" ht="13" x14ac:dyDescent="0.3">
      <c r="A81" s="79">
        <f>A80+1</f>
        <v>46</v>
      </c>
      <c r="B81" s="77" t="s">
        <v>146</v>
      </c>
      <c r="I81" s="77" t="str">
        <f>"Line "&amp;A68&amp;" / Line "&amp;A75&amp;""</f>
        <v>Line 40 / Line 44</v>
      </c>
      <c r="K81" s="94">
        <f>K68/K75</f>
        <v>4.3672429748732575E-2</v>
      </c>
    </row>
    <row r="82" spans="1:11" ht="13" x14ac:dyDescent="0.3">
      <c r="A82" s="79">
        <f>A81+1</f>
        <v>47</v>
      </c>
      <c r="B82" s="77" t="s">
        <v>147</v>
      </c>
      <c r="I82" s="77" t="str">
        <f>"Max Line "&amp;A77&amp;" or (Line "&amp;A73&amp;" / Line "&amp;A75&amp;")"</f>
        <v>Max Line 44a or (Line 43 / Line 44)</v>
      </c>
      <c r="K82" s="100">
        <f>MAX((K73/K75),K77)</f>
        <v>0.47499999999999998</v>
      </c>
    </row>
    <row r="83" spans="1:11" ht="13" x14ac:dyDescent="0.3">
      <c r="A83" s="79"/>
      <c r="I83" s="77" t="str">
        <f>"Line "&amp;A80&amp;" + Line "&amp;A81&amp;"+ Line "&amp;A82&amp;""</f>
        <v>Line 45 + Line 46+ Line 47</v>
      </c>
      <c r="K83" s="94">
        <f>SUM(K80:K82)</f>
        <v>1</v>
      </c>
    </row>
    <row r="84" spans="1:11" ht="13" x14ac:dyDescent="0.3">
      <c r="A84" s="79"/>
      <c r="B84" s="88" t="s">
        <v>148</v>
      </c>
      <c r="K84" s="94"/>
    </row>
    <row r="85" spans="1:11" ht="13" x14ac:dyDescent="0.3">
      <c r="A85" s="79">
        <f>A82+1</f>
        <v>48</v>
      </c>
      <c r="B85" s="77" t="s">
        <v>134</v>
      </c>
      <c r="I85" s="77" t="str">
        <f>"Line "&amp;A65&amp;""</f>
        <v>Line 39</v>
      </c>
      <c r="K85" s="94">
        <f>K65</f>
        <v>3.8652165673305997E-2</v>
      </c>
    </row>
    <row r="86" spans="1:11" ht="13" x14ac:dyDescent="0.3">
      <c r="A86" s="79">
        <f>A85+1</f>
        <v>49</v>
      </c>
      <c r="B86" s="77" t="s">
        <v>138</v>
      </c>
      <c r="I86" s="77" t="str">
        <f>"Line "&amp;A70&amp;""</f>
        <v>Line 42</v>
      </c>
      <c r="K86" s="94">
        <f>K70</f>
        <v>5.8510656321969633E-2</v>
      </c>
    </row>
    <row r="87" spans="1:11" ht="13" x14ac:dyDescent="0.3">
      <c r="A87" s="79">
        <f>A86+1</f>
        <v>50</v>
      </c>
      <c r="B87" s="77" t="s">
        <v>149</v>
      </c>
      <c r="H87" s="77" t="s">
        <v>150</v>
      </c>
      <c r="I87" s="77" t="s">
        <v>151</v>
      </c>
      <c r="K87" s="101">
        <v>0.10299999999999999</v>
      </c>
    </row>
    <row r="88" spans="1:11" ht="13" x14ac:dyDescent="0.3">
      <c r="A88" s="79"/>
      <c r="I88" s="102"/>
      <c r="K88" s="94"/>
    </row>
    <row r="89" spans="1:11" ht="13" x14ac:dyDescent="0.3">
      <c r="A89" s="79"/>
      <c r="B89" s="88" t="s">
        <v>152</v>
      </c>
    </row>
    <row r="90" spans="1:11" ht="13" x14ac:dyDescent="0.3">
      <c r="A90" s="79">
        <f>A87+1</f>
        <v>51</v>
      </c>
      <c r="B90" s="77" t="s">
        <v>153</v>
      </c>
      <c r="I90" s="77" t="str">
        <f>"Line "&amp;A65&amp;" * Line "&amp;A80&amp;""</f>
        <v>Line 39 * Line 45</v>
      </c>
      <c r="K90" s="94">
        <f>K65*K80</f>
        <v>1.8604352988481822E-2</v>
      </c>
    </row>
    <row r="91" spans="1:11" ht="13" x14ac:dyDescent="0.3">
      <c r="A91" s="79">
        <f>A90+1</f>
        <v>52</v>
      </c>
      <c r="B91" s="77" t="s">
        <v>154</v>
      </c>
      <c r="I91" s="77" t="str">
        <f>"Line "&amp;A70&amp;" * Line "&amp;A81&amp;""</f>
        <v>Line 42 * Line 46</v>
      </c>
      <c r="K91" s="94">
        <f>K70*K81</f>
        <v>2.5553025277734545E-3</v>
      </c>
    </row>
    <row r="92" spans="1:11" ht="13" x14ac:dyDescent="0.3">
      <c r="A92" s="79">
        <f>A91+1</f>
        <v>53</v>
      </c>
      <c r="B92" s="77" t="s">
        <v>155</v>
      </c>
      <c r="I92" s="77" t="str">
        <f>"Line "&amp;A82&amp;" * Line "&amp;A87&amp;""</f>
        <v>Line 47 * Line 50</v>
      </c>
      <c r="K92" s="100">
        <f>K82*K87</f>
        <v>4.8924999999999996E-2</v>
      </c>
    </row>
    <row r="93" spans="1:11" ht="13" x14ac:dyDescent="0.3">
      <c r="A93" s="79">
        <f>A92+1</f>
        <v>54</v>
      </c>
      <c r="B93" s="89" t="s">
        <v>156</v>
      </c>
      <c r="I93" s="77" t="str">
        <f>"Line "&amp;A90&amp;" + Line "&amp;A91&amp;" + Line "&amp;A92&amp;""</f>
        <v>Line 51 + Line 52 + Line 53</v>
      </c>
      <c r="K93" s="94">
        <f>SUM(K90:K92)</f>
        <v>7.008465551625527E-2</v>
      </c>
    </row>
    <row r="94" spans="1:11" ht="13" x14ac:dyDescent="0.3">
      <c r="A94" s="79"/>
      <c r="B94" s="89"/>
      <c r="K94" s="103"/>
    </row>
    <row r="95" spans="1:11" ht="13" x14ac:dyDescent="0.3">
      <c r="A95" s="79">
        <f>A93+1</f>
        <v>55</v>
      </c>
      <c r="B95" s="86" t="s">
        <v>157</v>
      </c>
      <c r="H95" s="77" t="s">
        <v>158</v>
      </c>
      <c r="I95" s="77" t="str">
        <f>"Line "&amp;A91&amp;" + Line "&amp;A92&amp;""</f>
        <v>Line 52 + Line 53</v>
      </c>
      <c r="K95" s="94">
        <f>K91+K92</f>
        <v>5.1480302527773449E-2</v>
      </c>
    </row>
    <row r="96" spans="1:11" ht="13" x14ac:dyDescent="0.3">
      <c r="A96" s="79"/>
      <c r="K96" s="103"/>
    </row>
    <row r="97" spans="1:11" ht="13" x14ac:dyDescent="0.3">
      <c r="A97" s="79">
        <f>A95+1</f>
        <v>56</v>
      </c>
      <c r="B97" s="77" t="s">
        <v>159</v>
      </c>
      <c r="I97" s="77" t="str">
        <f>"Line "&amp;A34&amp;" * Line "&amp;A93&amp;""</f>
        <v>Line 18 * Line 54</v>
      </c>
      <c r="K97" s="87">
        <f>K34*K93</f>
        <v>529312191.83873791</v>
      </c>
    </row>
    <row r="98" spans="1:11" x14ac:dyDescent="0.25">
      <c r="A98" s="97"/>
    </row>
    <row r="100" spans="1:11" ht="13" x14ac:dyDescent="0.3">
      <c r="A100" s="104" t="s">
        <v>160</v>
      </c>
      <c r="B100" s="84"/>
      <c r="C100" s="84"/>
      <c r="D100" s="84"/>
      <c r="E100" s="84"/>
      <c r="F100" s="84"/>
      <c r="G100" s="84"/>
      <c r="H100" s="85"/>
      <c r="I100" s="85"/>
      <c r="J100" s="85"/>
      <c r="K100" s="85"/>
    </row>
    <row r="102" spans="1:11" ht="13" x14ac:dyDescent="0.3">
      <c r="A102" s="79">
        <f>A97+1</f>
        <v>57</v>
      </c>
      <c r="B102" s="77" t="s">
        <v>161</v>
      </c>
      <c r="I102" s="77" t="s">
        <v>394</v>
      </c>
      <c r="K102" s="94">
        <v>0.21</v>
      </c>
    </row>
    <row r="103" spans="1:11" ht="13" x14ac:dyDescent="0.3">
      <c r="A103" s="79">
        <f>A102+1</f>
        <v>58</v>
      </c>
      <c r="B103" s="77" t="s">
        <v>162</v>
      </c>
      <c r="I103" s="77" t="s">
        <v>395</v>
      </c>
      <c r="K103" s="94">
        <v>8.8400000000000006E-2</v>
      </c>
    </row>
    <row r="104" spans="1:11" ht="13" x14ac:dyDescent="0.3">
      <c r="A104" s="79">
        <f>A103+1</f>
        <v>59</v>
      </c>
      <c r="B104" s="77" t="s">
        <v>163</v>
      </c>
      <c r="H104" s="105" t="s">
        <v>164</v>
      </c>
      <c r="I104" s="77" t="str">
        <f>"(L"&amp;A102&amp;" + L"&amp;A103&amp;") - (L"&amp;A102&amp;" * L"&amp;A103&amp;")"</f>
        <v>(L57 + L58) - (L57 * L58)</v>
      </c>
      <c r="K104" s="94">
        <f>(K102+K103)-(K102*K103)</f>
        <v>0.27983599999999997</v>
      </c>
    </row>
    <row r="105" spans="1:11" ht="13" x14ac:dyDescent="0.3">
      <c r="A105" s="79"/>
      <c r="K105" s="94"/>
    </row>
    <row r="106" spans="1:11" ht="13" x14ac:dyDescent="0.3">
      <c r="A106" s="79"/>
      <c r="B106" s="88" t="s">
        <v>165</v>
      </c>
      <c r="K106" s="94"/>
    </row>
    <row r="107" spans="1:11" ht="13" x14ac:dyDescent="0.3">
      <c r="A107" s="79">
        <f>A104+1</f>
        <v>60</v>
      </c>
      <c r="B107" s="86" t="s">
        <v>166</v>
      </c>
      <c r="I107" s="106" t="s">
        <v>167</v>
      </c>
      <c r="K107" s="87">
        <v>-11197785</v>
      </c>
    </row>
    <row r="108" spans="1:11" ht="13" x14ac:dyDescent="0.3">
      <c r="A108" s="79">
        <f>A107+1</f>
        <v>61</v>
      </c>
      <c r="B108" s="86" t="s">
        <v>168</v>
      </c>
      <c r="H108" s="77" t="s">
        <v>169</v>
      </c>
      <c r="K108" s="107">
        <v>0</v>
      </c>
    </row>
    <row r="109" spans="1:11" ht="13" x14ac:dyDescent="0.3">
      <c r="A109" s="79">
        <f t="shared" ref="A109:A110" si="3">A108+1</f>
        <v>62</v>
      </c>
      <c r="B109" s="86" t="s">
        <v>170</v>
      </c>
      <c r="H109" s="77" t="s">
        <v>169</v>
      </c>
      <c r="K109" s="90">
        <v>2606000</v>
      </c>
    </row>
    <row r="110" spans="1:11" ht="13" x14ac:dyDescent="0.3">
      <c r="A110" s="79">
        <f t="shared" si="3"/>
        <v>63</v>
      </c>
      <c r="B110" s="89" t="s">
        <v>171</v>
      </c>
      <c r="I110" s="77" t="str">
        <f>"Line "&amp;A107&amp;" + Line "&amp;A108&amp;"+ Line "&amp;A109&amp;""</f>
        <v>Line 60 + Line 61+ Line 62</v>
      </c>
      <c r="K110" s="87">
        <f>SUM(K107:K109)</f>
        <v>-8591785</v>
      </c>
    </row>
    <row r="111" spans="1:11" ht="13" x14ac:dyDescent="0.3">
      <c r="A111" s="108"/>
    </row>
    <row r="112" spans="1:11" ht="13" x14ac:dyDescent="0.3">
      <c r="A112" s="79">
        <f>A110+1</f>
        <v>64</v>
      </c>
      <c r="B112" s="77" t="s">
        <v>172</v>
      </c>
      <c r="I112" s="77" t="str">
        <f>"Formula on Line "&amp;A114&amp;""</f>
        <v>Formula on Line 65</v>
      </c>
      <c r="K112" s="87">
        <f>(((K34*K95) + K121)*(K104/(1-K104)))+(K110/(1-K104))</f>
        <v>139362322.55712432</v>
      </c>
    </row>
    <row r="113" spans="1:11" ht="13" x14ac:dyDescent="0.3">
      <c r="A113" s="79"/>
    </row>
    <row r="114" spans="1:11" ht="13" x14ac:dyDescent="0.3">
      <c r="A114" s="79">
        <f>A112+1</f>
        <v>65</v>
      </c>
      <c r="B114" s="77" t="s">
        <v>173</v>
      </c>
    </row>
    <row r="115" spans="1:11" x14ac:dyDescent="0.25">
      <c r="A115" s="97"/>
    </row>
    <row r="116" spans="1:11" x14ac:dyDescent="0.25">
      <c r="A116" s="97"/>
      <c r="C116" s="77" t="s">
        <v>174</v>
      </c>
    </row>
    <row r="117" spans="1:11" x14ac:dyDescent="0.25">
      <c r="A117" s="97"/>
      <c r="C117" s="89" t="s">
        <v>175</v>
      </c>
      <c r="I117" s="77" t="str">
        <f>"Line "&amp;A34&amp;""</f>
        <v>Line 18</v>
      </c>
    </row>
    <row r="118" spans="1:11" x14ac:dyDescent="0.25">
      <c r="A118" s="97"/>
      <c r="C118" s="89" t="s">
        <v>176</v>
      </c>
      <c r="I118" s="77" t="str">
        <f>"Line "&amp;A95&amp;""</f>
        <v>Line 55</v>
      </c>
    </row>
    <row r="119" spans="1:11" x14ac:dyDescent="0.25">
      <c r="A119" s="97"/>
      <c r="C119" s="89" t="s">
        <v>177</v>
      </c>
      <c r="I119" s="77" t="str">
        <f>"Line "&amp;A104&amp;""</f>
        <v>Line 59</v>
      </c>
    </row>
    <row r="120" spans="1:11" x14ac:dyDescent="0.25">
      <c r="A120" s="97"/>
      <c r="C120" s="89" t="s">
        <v>178</v>
      </c>
      <c r="I120" s="77" t="str">
        <f>"Line "&amp;A110&amp;""</f>
        <v>Line 63</v>
      </c>
    </row>
    <row r="121" spans="1:11" x14ac:dyDescent="0.25">
      <c r="A121" s="97"/>
      <c r="C121" s="89" t="s">
        <v>179</v>
      </c>
      <c r="H121" s="106" t="s">
        <v>180</v>
      </c>
      <c r="I121" s="78" t="s">
        <v>181</v>
      </c>
      <c r="K121" s="107">
        <v>551490</v>
      </c>
    </row>
    <row r="122" spans="1:11" x14ac:dyDescent="0.25">
      <c r="H122" s="106"/>
    </row>
    <row r="123" spans="1:11" ht="13" x14ac:dyDescent="0.3">
      <c r="A123" s="104" t="s">
        <v>182</v>
      </c>
      <c r="B123" s="84"/>
      <c r="C123" s="84"/>
      <c r="D123" s="84"/>
      <c r="E123" s="84"/>
      <c r="F123" s="84"/>
      <c r="G123" s="84"/>
      <c r="H123" s="85"/>
      <c r="I123" s="85"/>
      <c r="J123" s="85"/>
      <c r="K123" s="85"/>
    </row>
    <row r="125" spans="1:11" x14ac:dyDescent="0.25">
      <c r="B125" s="88" t="s">
        <v>183</v>
      </c>
    </row>
    <row r="126" spans="1:11" ht="13" x14ac:dyDescent="0.3">
      <c r="A126" s="79">
        <f>A114+1</f>
        <v>66</v>
      </c>
      <c r="B126" s="77" t="s">
        <v>184</v>
      </c>
      <c r="H126" s="89"/>
      <c r="I126" s="77" t="s">
        <v>403</v>
      </c>
      <c r="K126" s="87">
        <v>100214566.80676542</v>
      </c>
    </row>
    <row r="127" spans="1:11" ht="13" x14ac:dyDescent="0.3">
      <c r="A127" s="79">
        <f t="shared" ref="A127:A142" si="4">A126+1</f>
        <v>67</v>
      </c>
      <c r="B127" s="77" t="s">
        <v>185</v>
      </c>
      <c r="H127" s="89"/>
      <c r="I127" s="77" t="s">
        <v>404</v>
      </c>
      <c r="K127" s="87">
        <v>149447698.24507508</v>
      </c>
    </row>
    <row r="128" spans="1:11" ht="13" x14ac:dyDescent="0.3">
      <c r="A128" s="79">
        <f t="shared" si="4"/>
        <v>68</v>
      </c>
      <c r="B128" s="77" t="s">
        <v>186</v>
      </c>
      <c r="H128" s="89"/>
      <c r="I128" s="77" t="s">
        <v>390</v>
      </c>
      <c r="K128" s="87">
        <v>2083731.03</v>
      </c>
    </row>
    <row r="129" spans="1:11" ht="13" x14ac:dyDescent="0.3">
      <c r="A129" s="79">
        <f t="shared" si="4"/>
        <v>69</v>
      </c>
      <c r="B129" s="77" t="s">
        <v>187</v>
      </c>
      <c r="H129" s="89"/>
      <c r="I129" s="77" t="s">
        <v>405</v>
      </c>
      <c r="K129" s="87">
        <v>315994726.65759426</v>
      </c>
    </row>
    <row r="130" spans="1:11" ht="13" x14ac:dyDescent="0.3">
      <c r="A130" s="79">
        <f t="shared" si="4"/>
        <v>70</v>
      </c>
      <c r="B130" s="77" t="s">
        <v>188</v>
      </c>
      <c r="H130" s="89"/>
      <c r="I130" s="77" t="s">
        <v>378</v>
      </c>
      <c r="K130" s="87">
        <v>0</v>
      </c>
    </row>
    <row r="131" spans="1:11" ht="13" x14ac:dyDescent="0.3">
      <c r="A131" s="79">
        <f t="shared" si="4"/>
        <v>71</v>
      </c>
      <c r="B131" s="77" t="s">
        <v>128</v>
      </c>
      <c r="H131" s="89"/>
      <c r="I131" s="77" t="str">
        <f>"Line "&amp;A58&amp;""</f>
        <v>Line 36</v>
      </c>
      <c r="K131" s="87">
        <f>K58</f>
        <v>83397399.162477285</v>
      </c>
    </row>
    <row r="132" spans="1:11" ht="13" x14ac:dyDescent="0.3">
      <c r="A132" s="79">
        <f t="shared" si="4"/>
        <v>72</v>
      </c>
      <c r="B132" s="77" t="s">
        <v>189</v>
      </c>
      <c r="H132" s="89" t="s">
        <v>99</v>
      </c>
      <c r="I132" s="77" t="s">
        <v>406</v>
      </c>
      <c r="K132" s="87">
        <v>-66134527.883372493</v>
      </c>
    </row>
    <row r="133" spans="1:11" ht="13" x14ac:dyDescent="0.3">
      <c r="A133" s="79">
        <f t="shared" si="4"/>
        <v>73</v>
      </c>
      <c r="B133" s="77" t="s">
        <v>190</v>
      </c>
      <c r="H133" s="89"/>
      <c r="I133" s="77" t="str">
        <f>"Line "&amp;A97&amp;""</f>
        <v>Line 56</v>
      </c>
      <c r="K133" s="87">
        <f>K97</f>
        <v>529312191.83873791</v>
      </c>
    </row>
    <row r="134" spans="1:11" ht="13" x14ac:dyDescent="0.3">
      <c r="A134" s="79">
        <f t="shared" si="4"/>
        <v>74</v>
      </c>
      <c r="B134" s="77" t="s">
        <v>191</v>
      </c>
      <c r="H134" s="89"/>
      <c r="I134" s="77" t="str">
        <f>"Line "&amp;A112&amp;""</f>
        <v>Line 64</v>
      </c>
      <c r="K134" s="87">
        <f>K112</f>
        <v>139362322.55712432</v>
      </c>
    </row>
    <row r="135" spans="1:11" ht="13" x14ac:dyDescent="0.3">
      <c r="A135" s="79">
        <f t="shared" si="4"/>
        <v>75</v>
      </c>
      <c r="B135" s="77" t="s">
        <v>192</v>
      </c>
      <c r="H135" s="89" t="s">
        <v>193</v>
      </c>
      <c r="I135" s="77" t="s">
        <v>376</v>
      </c>
      <c r="K135" s="87">
        <v>0</v>
      </c>
    </row>
    <row r="136" spans="1:11" ht="13" x14ac:dyDescent="0.3">
      <c r="A136" s="79">
        <f t="shared" si="4"/>
        <v>76</v>
      </c>
      <c r="B136" s="109" t="s">
        <v>194</v>
      </c>
      <c r="C136" s="109"/>
      <c r="H136" s="89"/>
      <c r="I136" s="77" t="s">
        <v>387</v>
      </c>
      <c r="K136" s="87">
        <v>0</v>
      </c>
    </row>
    <row r="137" spans="1:11" ht="13" x14ac:dyDescent="0.3">
      <c r="A137" s="79">
        <f t="shared" si="4"/>
        <v>77</v>
      </c>
      <c r="B137" s="77" t="s">
        <v>195</v>
      </c>
      <c r="H137" s="89"/>
      <c r="I137" s="77" t="s">
        <v>407</v>
      </c>
      <c r="K137" s="87">
        <v>24013487.42910824</v>
      </c>
    </row>
    <row r="138" spans="1:11" ht="13" x14ac:dyDescent="0.3">
      <c r="A138" s="79" t="s">
        <v>196</v>
      </c>
      <c r="B138" s="77" t="s">
        <v>197</v>
      </c>
      <c r="H138" s="89" t="s">
        <v>198</v>
      </c>
      <c r="I138" s="77" t="s">
        <v>199</v>
      </c>
      <c r="K138" s="90">
        <f>-K137</f>
        <v>-24013487.42910824</v>
      </c>
    </row>
    <row r="139" spans="1:11" ht="13" x14ac:dyDescent="0.3">
      <c r="A139" s="79">
        <f>A137+1</f>
        <v>78</v>
      </c>
      <c r="B139" s="77" t="s">
        <v>200</v>
      </c>
      <c r="H139" s="89"/>
      <c r="I139" s="77" t="str">
        <f>"Sum of Lines "&amp;A126&amp;" to "&amp;A138&amp;""</f>
        <v>Sum of Lines 66 to 77a</v>
      </c>
      <c r="K139" s="87">
        <f>SUM(K126:K138)</f>
        <v>1253678108.4144018</v>
      </c>
    </row>
    <row r="140" spans="1:11" ht="13" x14ac:dyDescent="0.3">
      <c r="A140" s="108"/>
      <c r="H140" s="89"/>
      <c r="K140" s="87"/>
    </row>
    <row r="141" spans="1:11" ht="13" x14ac:dyDescent="0.3">
      <c r="A141" s="79">
        <f>A139+1</f>
        <v>79</v>
      </c>
      <c r="B141" s="77" t="s">
        <v>201</v>
      </c>
      <c r="I141" s="77" t="s">
        <v>408</v>
      </c>
      <c r="K141" s="87">
        <v>11740170.99338359</v>
      </c>
    </row>
    <row r="142" spans="1:11" ht="13" x14ac:dyDescent="0.3">
      <c r="A142" s="79">
        <f t="shared" si="4"/>
        <v>80</v>
      </c>
      <c r="B142" s="77" t="s">
        <v>202</v>
      </c>
      <c r="I142" s="77" t="s">
        <v>409</v>
      </c>
      <c r="K142" s="87">
        <v>10704879.928706184</v>
      </c>
    </row>
    <row r="143" spans="1:11" ht="13" x14ac:dyDescent="0.3">
      <c r="A143" s="79"/>
      <c r="K143" s="87"/>
    </row>
    <row r="144" spans="1:11" ht="13" x14ac:dyDescent="0.3">
      <c r="A144" s="79">
        <f>A142+1</f>
        <v>81</v>
      </c>
      <c r="B144" s="77" t="s">
        <v>203</v>
      </c>
      <c r="I144" s="77" t="str">
        <f>"Line "&amp;A139&amp;" + Line "&amp;A141&amp;"+ Line "&amp;A142&amp;""</f>
        <v>Line 78 + Line 79+ Line 80</v>
      </c>
      <c r="K144" s="87">
        <f>K139+K141+K142</f>
        <v>1276123159.3364916</v>
      </c>
    </row>
    <row r="146" spans="1:14" ht="13" x14ac:dyDescent="0.3">
      <c r="A146" s="83" t="s">
        <v>204</v>
      </c>
      <c r="B146" s="84"/>
      <c r="C146" s="84"/>
      <c r="D146" s="84"/>
      <c r="E146" s="84"/>
      <c r="F146" s="84"/>
      <c r="G146" s="84"/>
      <c r="H146" s="85"/>
      <c r="I146" s="85"/>
      <c r="J146" s="85"/>
      <c r="K146" s="85"/>
    </row>
    <row r="148" spans="1:14" x14ac:dyDescent="0.25">
      <c r="B148" s="88" t="s">
        <v>205</v>
      </c>
    </row>
    <row r="149" spans="1:14" ht="13" x14ac:dyDescent="0.3">
      <c r="A149" s="79">
        <f>A144+1</f>
        <v>82</v>
      </c>
      <c r="B149" s="77" t="s">
        <v>203</v>
      </c>
      <c r="I149" s="77" t="str">
        <f>"Line "&amp;A144&amp;""</f>
        <v>Line 81</v>
      </c>
      <c r="K149" s="87">
        <f>K144</f>
        <v>1276123159.3364916</v>
      </c>
    </row>
    <row r="150" spans="1:14" ht="13" x14ac:dyDescent="0.3">
      <c r="A150" s="79">
        <f>A149+1</f>
        <v>83</v>
      </c>
      <c r="B150" s="77" t="s">
        <v>206</v>
      </c>
      <c r="I150" s="77" t="s">
        <v>411</v>
      </c>
      <c r="K150" s="87">
        <v>65627902.850031734</v>
      </c>
    </row>
    <row r="151" spans="1:14" ht="13" x14ac:dyDescent="0.3">
      <c r="A151" s="79">
        <f>A150+1</f>
        <v>84</v>
      </c>
      <c r="B151" s="77" t="s">
        <v>207</v>
      </c>
      <c r="I151" s="77" t="s">
        <v>414</v>
      </c>
      <c r="K151" s="87">
        <v>-133413458.79766294</v>
      </c>
      <c r="L151" s="98"/>
    </row>
    <row r="152" spans="1:14" ht="13" x14ac:dyDescent="0.3">
      <c r="A152" s="79" t="s">
        <v>208</v>
      </c>
      <c r="B152" s="77" t="s">
        <v>209</v>
      </c>
      <c r="F152" s="110"/>
      <c r="G152" s="110"/>
      <c r="I152" s="106" t="s">
        <v>415</v>
      </c>
      <c r="J152" s="110"/>
      <c r="K152" s="87">
        <v>-12394780.052277384</v>
      </c>
      <c r="L152" s="111"/>
    </row>
    <row r="153" spans="1:14" ht="13" x14ac:dyDescent="0.3">
      <c r="A153" s="79">
        <f>A151+1</f>
        <v>85</v>
      </c>
      <c r="B153" s="77" t="s">
        <v>210</v>
      </c>
      <c r="H153" s="77" t="s">
        <v>211</v>
      </c>
      <c r="K153" s="112">
        <v>-71442363.177482024</v>
      </c>
    </row>
    <row r="154" spans="1:14" ht="13" x14ac:dyDescent="0.3">
      <c r="A154" s="79"/>
      <c r="K154" s="87"/>
    </row>
    <row r="155" spans="1:14" ht="13" x14ac:dyDescent="0.3">
      <c r="A155" s="79">
        <f>A153+1</f>
        <v>86</v>
      </c>
      <c r="B155" s="77" t="s">
        <v>212</v>
      </c>
      <c r="H155" s="77" t="s">
        <v>213</v>
      </c>
      <c r="I155" s="77" t="str">
        <f>"L "&amp;A149&amp;" + L "&amp;A150&amp;" + L "&amp;A151&amp;"+ L "&amp;A152&amp;" + L "&amp;A153&amp;""</f>
        <v>L 82 + L 83 + L 84+ L 84a + L 85</v>
      </c>
      <c r="K155" s="87">
        <f>K149+K150+K151+K152+K153</f>
        <v>1124500460.159101</v>
      </c>
      <c r="L155" s="87"/>
      <c r="N155" s="87"/>
    </row>
    <row r="156" spans="1:14" ht="13.5" thickBot="1" x14ac:dyDescent="0.35">
      <c r="A156" s="79"/>
      <c r="K156" s="87"/>
    </row>
    <row r="157" spans="1:14" ht="13" x14ac:dyDescent="0.3">
      <c r="A157" s="79"/>
      <c r="B157" s="88" t="s">
        <v>214</v>
      </c>
      <c r="K157" s="87"/>
      <c r="M157" s="113" t="s">
        <v>215</v>
      </c>
    </row>
    <row r="158" spans="1:14" ht="26" x14ac:dyDescent="0.3">
      <c r="A158" s="79">
        <f>A155+1</f>
        <v>87</v>
      </c>
      <c r="B158" s="77" t="s">
        <v>216</v>
      </c>
      <c r="I158" s="77" t="str">
        <f>"Line "&amp;A155&amp;""</f>
        <v>Line 86</v>
      </c>
      <c r="K158" s="87">
        <f>K155</f>
        <v>1124500460.159101</v>
      </c>
      <c r="M158" s="114" t="s">
        <v>217</v>
      </c>
    </row>
    <row r="159" spans="1:14" ht="13" x14ac:dyDescent="0.3">
      <c r="A159" s="79">
        <f>A158+1</f>
        <v>88</v>
      </c>
      <c r="B159" s="77" t="s">
        <v>218</v>
      </c>
      <c r="I159" s="77" t="s">
        <v>416</v>
      </c>
      <c r="K159" s="115">
        <v>-13245641.808134468</v>
      </c>
      <c r="M159" s="116">
        <f>K160</f>
        <v>1111254818.3509665</v>
      </c>
    </row>
    <row r="160" spans="1:14" ht="33.65" customHeight="1" x14ac:dyDescent="0.3">
      <c r="A160" s="79">
        <f>A159+1</f>
        <v>89</v>
      </c>
      <c r="B160" s="77" t="s">
        <v>214</v>
      </c>
      <c r="I160" s="77" t="str">
        <f>"Line "&amp;A158&amp;" + Line "&amp;A159&amp;""</f>
        <v>Line 87 + Line 88</v>
      </c>
      <c r="K160" s="117">
        <f>K158+K159</f>
        <v>1111254818.3509665</v>
      </c>
      <c r="M160" s="118">
        <v>1111269714.917042</v>
      </c>
      <c r="N160" s="119" t="s">
        <v>219</v>
      </c>
    </row>
    <row r="161" spans="2:16" ht="13" thickBot="1" x14ac:dyDescent="0.3">
      <c r="M161" s="120">
        <f>M159-M160</f>
        <v>-14896.566075563431</v>
      </c>
    </row>
    <row r="162" spans="2:16" ht="13" x14ac:dyDescent="0.3">
      <c r="B162" s="121" t="s">
        <v>220</v>
      </c>
    </row>
    <row r="163" spans="2:16" x14ac:dyDescent="0.25">
      <c r="B163" s="77" t="s">
        <v>221</v>
      </c>
    </row>
    <row r="164" spans="2:16" x14ac:dyDescent="0.25">
      <c r="B164" s="89" t="s">
        <v>222</v>
      </c>
    </row>
    <row r="165" spans="2:16" ht="46" customHeight="1" x14ac:dyDescent="0.35">
      <c r="B165" s="77" t="s">
        <v>223</v>
      </c>
      <c r="M165" s="122">
        <v>-14896.5660755634</v>
      </c>
      <c r="N165" s="123" t="s">
        <v>224</v>
      </c>
    </row>
    <row r="166" spans="2:16" x14ac:dyDescent="0.25">
      <c r="B166" s="77" t="s">
        <v>225</v>
      </c>
    </row>
    <row r="167" spans="2:16" x14ac:dyDescent="0.25">
      <c r="B167" s="77" t="s">
        <v>226</v>
      </c>
    </row>
    <row r="168" spans="2:16" x14ac:dyDescent="0.25">
      <c r="C168" s="77" t="s">
        <v>227</v>
      </c>
      <c r="F168" s="78" t="s">
        <v>228</v>
      </c>
      <c r="G168" s="78"/>
      <c r="H168" s="78"/>
      <c r="I168" s="78"/>
    </row>
    <row r="169" spans="2:16" x14ac:dyDescent="0.25">
      <c r="B169" s="77" t="s">
        <v>229</v>
      </c>
    </row>
    <row r="170" spans="2:16" x14ac:dyDescent="0.25">
      <c r="B170" s="89" t="s">
        <v>230</v>
      </c>
    </row>
    <row r="171" spans="2:16" x14ac:dyDescent="0.25">
      <c r="B171" s="89" t="s">
        <v>231</v>
      </c>
    </row>
    <row r="172" spans="2:16" x14ac:dyDescent="0.25">
      <c r="B172" s="77" t="s">
        <v>232</v>
      </c>
    </row>
    <row r="173" spans="2:16" x14ac:dyDescent="0.25">
      <c r="B173" s="77" t="s">
        <v>233</v>
      </c>
    </row>
    <row r="174" spans="2:16" x14ac:dyDescent="0.25">
      <c r="B174" s="89" t="s">
        <v>234</v>
      </c>
    </row>
    <row r="175" spans="2:16" x14ac:dyDescent="0.25">
      <c r="B175" s="86" t="s">
        <v>235</v>
      </c>
    </row>
    <row r="176" spans="2:16" x14ac:dyDescent="0.25">
      <c r="B176" s="124"/>
      <c r="O176" s="87"/>
      <c r="P176" s="87"/>
    </row>
    <row r="177" spans="2:16" ht="13" x14ac:dyDescent="0.3">
      <c r="B177" s="86"/>
      <c r="F177" s="79" t="s">
        <v>236</v>
      </c>
      <c r="G177" s="79" t="s">
        <v>237</v>
      </c>
    </row>
    <row r="178" spans="2:16" ht="13" x14ac:dyDescent="0.3">
      <c r="F178" s="79" t="s">
        <v>238</v>
      </c>
      <c r="G178" s="79" t="s">
        <v>239</v>
      </c>
      <c r="O178" s="87"/>
      <c r="P178" s="87"/>
    </row>
    <row r="179" spans="2:16" ht="13" x14ac:dyDescent="0.3">
      <c r="B179" s="121" t="s">
        <v>240</v>
      </c>
      <c r="C179" s="121"/>
      <c r="D179" s="121"/>
      <c r="E179" s="121"/>
      <c r="F179" s="82" t="s">
        <v>241</v>
      </c>
      <c r="G179" s="82" t="s">
        <v>70</v>
      </c>
      <c r="H179" s="82" t="s">
        <v>2</v>
      </c>
      <c r="I179" s="121" t="s">
        <v>242</v>
      </c>
      <c r="K179" s="82" t="s">
        <v>243</v>
      </c>
      <c r="M179" s="82" t="s">
        <v>243</v>
      </c>
    </row>
    <row r="180" spans="2:16" x14ac:dyDescent="0.25">
      <c r="B180" s="86" t="s">
        <v>244</v>
      </c>
      <c r="C180" s="78" t="s">
        <v>245</v>
      </c>
      <c r="D180" s="78"/>
      <c r="E180" s="78"/>
      <c r="F180" s="87">
        <v>8000000</v>
      </c>
      <c r="G180" s="107">
        <f>5254036+2564107+259282989+157771543+0+570981+1415610+0+0</f>
        <v>426859266</v>
      </c>
      <c r="H180" s="125">
        <f>SUM(F180:G180)</f>
        <v>434859266</v>
      </c>
      <c r="I180" s="77" t="s">
        <v>110</v>
      </c>
      <c r="K180" s="77" t="s">
        <v>246</v>
      </c>
      <c r="M180" s="77" t="s">
        <v>246</v>
      </c>
    </row>
    <row r="181" spans="2:16" x14ac:dyDescent="0.25">
      <c r="B181" s="86" t="s">
        <v>247</v>
      </c>
      <c r="C181" s="78" t="s">
        <v>248</v>
      </c>
      <c r="D181" s="78"/>
      <c r="E181" s="78"/>
      <c r="F181" s="87">
        <v>44814.009999999995</v>
      </c>
      <c r="G181" s="126">
        <v>129684475</v>
      </c>
      <c r="H181" s="125">
        <f>SUM(F181:G181)</f>
        <v>129729289.01000001</v>
      </c>
      <c r="I181" s="86" t="s">
        <v>117</v>
      </c>
      <c r="K181" s="77" t="s">
        <v>249</v>
      </c>
      <c r="M181" s="77" t="s">
        <v>249</v>
      </c>
    </row>
    <row r="182" spans="2:16" x14ac:dyDescent="0.25">
      <c r="B182" s="86" t="s">
        <v>250</v>
      </c>
      <c r="C182" s="78" t="s">
        <v>251</v>
      </c>
      <c r="D182" s="78"/>
      <c r="E182" s="78"/>
      <c r="F182" s="87">
        <v>-563.93000000000006</v>
      </c>
      <c r="G182" s="126">
        <v>427954</v>
      </c>
      <c r="H182" s="125">
        <f t="shared" ref="H182:H187" si="5">SUM(F182:G182)</f>
        <v>427390.07</v>
      </c>
      <c r="I182" s="86" t="s">
        <v>118</v>
      </c>
      <c r="K182" s="77" t="s">
        <v>252</v>
      </c>
      <c r="M182" s="77" t="s">
        <v>252</v>
      </c>
    </row>
    <row r="183" spans="2:16" x14ac:dyDescent="0.25">
      <c r="B183" s="86" t="s">
        <v>253</v>
      </c>
      <c r="C183" s="78" t="s">
        <v>254</v>
      </c>
      <c r="D183" s="78"/>
      <c r="E183" s="78"/>
      <c r="F183" s="87">
        <v>124.19999999999999</v>
      </c>
      <c r="G183" s="126">
        <v>100086</v>
      </c>
      <c r="H183" s="125">
        <f t="shared" si="5"/>
        <v>100210.2</v>
      </c>
      <c r="I183" s="86" t="s">
        <v>119</v>
      </c>
      <c r="K183" s="77" t="s">
        <v>255</v>
      </c>
      <c r="M183" s="77" t="s">
        <v>255</v>
      </c>
    </row>
    <row r="184" spans="2:16" x14ac:dyDescent="0.25">
      <c r="B184" s="86" t="s">
        <v>256</v>
      </c>
      <c r="C184" s="78" t="s">
        <v>257</v>
      </c>
      <c r="D184" s="78"/>
      <c r="E184" s="78"/>
      <c r="F184" s="87">
        <v>2111.17</v>
      </c>
      <c r="G184" s="126">
        <v>3367917</v>
      </c>
      <c r="H184" s="125">
        <f t="shared" si="5"/>
        <v>3370028.17</v>
      </c>
      <c r="I184" s="86" t="s">
        <v>120</v>
      </c>
      <c r="K184" s="77" t="s">
        <v>258</v>
      </c>
      <c r="M184" s="77" t="s">
        <v>258</v>
      </c>
    </row>
    <row r="185" spans="2:16" x14ac:dyDescent="0.25">
      <c r="B185" s="86" t="s">
        <v>259</v>
      </c>
      <c r="C185" s="78" t="s">
        <v>260</v>
      </c>
      <c r="D185" s="78"/>
      <c r="E185" s="78"/>
      <c r="F185" s="87">
        <v>211.6</v>
      </c>
      <c r="G185" s="126">
        <v>893302</v>
      </c>
      <c r="H185" s="125">
        <f t="shared" si="5"/>
        <v>893513.6</v>
      </c>
      <c r="I185" s="86" t="s">
        <v>121</v>
      </c>
      <c r="K185" s="77" t="s">
        <v>261</v>
      </c>
      <c r="M185" s="77" t="s">
        <v>261</v>
      </c>
      <c r="P185" s="98"/>
    </row>
    <row r="186" spans="2:16" x14ac:dyDescent="0.25">
      <c r="B186" s="86" t="s">
        <v>262</v>
      </c>
      <c r="C186" s="78" t="s">
        <v>263</v>
      </c>
      <c r="D186" s="78"/>
      <c r="E186" s="78"/>
      <c r="F186" s="87">
        <v>718.4899999999999</v>
      </c>
      <c r="G186" s="126">
        <v>2667448</v>
      </c>
      <c r="H186" s="125">
        <f t="shared" si="5"/>
        <v>2668166.4900000002</v>
      </c>
      <c r="I186" s="86" t="s">
        <v>122</v>
      </c>
      <c r="K186" s="77" t="s">
        <v>264</v>
      </c>
      <c r="M186" s="77" t="s">
        <v>264</v>
      </c>
      <c r="P186" s="98"/>
    </row>
    <row r="187" spans="2:16" x14ac:dyDescent="0.25">
      <c r="B187" s="86" t="s">
        <v>265</v>
      </c>
      <c r="C187" s="78" t="s">
        <v>266</v>
      </c>
      <c r="D187" s="78"/>
      <c r="E187" s="78"/>
      <c r="F187" s="87">
        <v>34.67</v>
      </c>
      <c r="G187" s="126">
        <v>23556</v>
      </c>
      <c r="H187" s="125">
        <f t="shared" si="5"/>
        <v>23590.67</v>
      </c>
      <c r="I187" s="86" t="s">
        <v>123</v>
      </c>
      <c r="K187" s="77" t="s">
        <v>267</v>
      </c>
      <c r="M187" s="77" t="s">
        <v>267</v>
      </c>
      <c r="P187" s="98"/>
    </row>
    <row r="188" spans="2:16" x14ac:dyDescent="0.25">
      <c r="P188" s="98"/>
    </row>
    <row r="189" spans="2:16" x14ac:dyDescent="0.25">
      <c r="B189" s="127"/>
      <c r="C189" s="128"/>
      <c r="D189" s="128"/>
      <c r="E189" s="128"/>
      <c r="P189" s="98"/>
    </row>
    <row r="190" spans="2:16" x14ac:dyDescent="0.25">
      <c r="B190" s="129"/>
      <c r="C190" s="128"/>
      <c r="D190" s="128"/>
      <c r="E190" s="128"/>
      <c r="P190" s="98"/>
    </row>
    <row r="191" spans="2:16" x14ac:dyDescent="0.25">
      <c r="B191" s="129"/>
      <c r="C191" s="128"/>
      <c r="D191" s="128"/>
      <c r="E191" s="128"/>
    </row>
    <row r="192" spans="2:16" x14ac:dyDescent="0.25">
      <c r="B192" s="129"/>
      <c r="C192" s="128"/>
      <c r="D192" s="128"/>
      <c r="E192" s="128"/>
      <c r="P192" s="98"/>
    </row>
    <row r="193" spans="2:5" x14ac:dyDescent="0.25">
      <c r="B193" s="129"/>
      <c r="C193" s="128"/>
      <c r="D193" s="128"/>
      <c r="E193" s="128"/>
    </row>
    <row r="194" spans="2:5" x14ac:dyDescent="0.25">
      <c r="B194" s="89"/>
    </row>
    <row r="195" spans="2:5" x14ac:dyDescent="0.25">
      <c r="B195" s="89"/>
    </row>
    <row r="196" spans="2:5" x14ac:dyDescent="0.25">
      <c r="B196" s="89"/>
    </row>
    <row r="197" spans="2:5" x14ac:dyDescent="0.25">
      <c r="B197" s="89"/>
    </row>
    <row r="198" spans="2:5" x14ac:dyDescent="0.25">
      <c r="B198" s="89"/>
    </row>
  </sheetData>
  <pageMargins left="0.7" right="0.7" top="0.75" bottom="0.75" header="0.3" footer="0.3"/>
  <pageSetup scale="47" fitToHeight="0" orientation="portrait" cellComments="asDisplayed" r:id="rId1"/>
  <headerFooter alignWithMargins="0">
    <oddHeader>&amp;CSchedule 1
Base TRR
(Revised 2022
TO2024 True Up TRR)&amp;RTO2025 Annual Update
Attachment 4
WP-Schedule 25-EPRI and EEI Prior Period Adj
Page &amp;P of &amp;N</oddHeader>
    <oddFooter>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BE937-5D58-47CF-923A-8139B62496DD}">
  <sheetPr>
    <pageSetUpPr fitToPage="1"/>
  </sheetPr>
  <dimension ref="A1:M154"/>
  <sheetViews>
    <sheetView zoomScaleNormal="100" workbookViewId="0">
      <selection activeCell="C20" sqref="C20"/>
    </sheetView>
  </sheetViews>
  <sheetFormatPr defaultColWidth="8.7265625" defaultRowHeight="14.5" x14ac:dyDescent="0.35"/>
  <cols>
    <col min="1" max="1" width="4.54296875" style="77" customWidth="1"/>
    <col min="2" max="5" width="8.7265625" style="77"/>
    <col min="6" max="6" width="17.81640625" style="77" customWidth="1"/>
    <col min="7" max="7" width="23.1796875" style="77" customWidth="1"/>
    <col min="8" max="8" width="15.54296875" style="77" customWidth="1"/>
    <col min="9" max="9" width="14.54296875" style="77" customWidth="1"/>
    <col min="10" max="10" width="8.7265625" style="77"/>
    <col min="11" max="11" width="15.54296875" customWidth="1"/>
    <col min="12" max="16384" width="8.7265625" style="77"/>
  </cols>
  <sheetData>
    <row r="1" spans="1:12" ht="12.5" x14ac:dyDescent="0.25">
      <c r="K1" s="130"/>
    </row>
    <row r="2" spans="1:12" ht="13" x14ac:dyDescent="0.3">
      <c r="A2" s="76" t="s">
        <v>268</v>
      </c>
      <c r="B2" s="131"/>
      <c r="C2" s="131"/>
      <c r="D2" s="131"/>
      <c r="E2" s="131"/>
      <c r="F2" s="131"/>
      <c r="G2" s="131"/>
      <c r="H2" s="131"/>
      <c r="I2" s="131"/>
      <c r="J2" s="131"/>
      <c r="K2" s="130"/>
      <c r="L2" s="131"/>
    </row>
    <row r="3" spans="1:12" ht="13" x14ac:dyDescent="0.3">
      <c r="A3" s="76"/>
      <c r="B3" s="131"/>
      <c r="C3" s="132" t="s">
        <v>180</v>
      </c>
      <c r="D3" s="78" t="s">
        <v>269</v>
      </c>
      <c r="E3" s="133"/>
      <c r="F3" s="134"/>
      <c r="G3" s="131"/>
      <c r="H3" s="135" t="s">
        <v>270</v>
      </c>
      <c r="I3" s="134"/>
      <c r="J3" s="131"/>
      <c r="K3" s="130"/>
      <c r="L3" s="131"/>
    </row>
    <row r="4" spans="1:12" ht="13" x14ac:dyDescent="0.3">
      <c r="A4" s="76"/>
      <c r="B4" s="131" t="s">
        <v>271</v>
      </c>
      <c r="C4" s="131"/>
      <c r="D4" s="131"/>
      <c r="E4" s="131"/>
      <c r="F4" s="131"/>
      <c r="G4" s="131"/>
      <c r="H4" s="131"/>
      <c r="I4" s="131"/>
      <c r="J4" s="131"/>
      <c r="K4" s="130"/>
      <c r="L4" s="131"/>
    </row>
    <row r="5" spans="1:12" ht="13" x14ac:dyDescent="0.3">
      <c r="A5" s="76"/>
      <c r="B5" s="131" t="s">
        <v>272</v>
      </c>
      <c r="C5" s="131"/>
      <c r="D5" s="131"/>
      <c r="E5" s="131"/>
      <c r="F5" s="131"/>
      <c r="G5" s="131"/>
      <c r="H5" s="131"/>
      <c r="I5" s="131"/>
      <c r="J5" s="131"/>
      <c r="K5" s="130"/>
      <c r="L5" s="131"/>
    </row>
    <row r="6" spans="1:12" ht="13" x14ac:dyDescent="0.3">
      <c r="A6" s="76"/>
      <c r="B6" s="131" t="s">
        <v>273</v>
      </c>
      <c r="C6" s="131"/>
      <c r="D6" s="131"/>
      <c r="E6" s="131"/>
      <c r="F6" s="131"/>
      <c r="G6" s="131"/>
      <c r="H6" s="131"/>
      <c r="I6" s="131"/>
      <c r="J6" s="131"/>
      <c r="K6" s="130"/>
      <c r="L6" s="131"/>
    </row>
    <row r="7" spans="1:12" ht="13" x14ac:dyDescent="0.3">
      <c r="A7" s="76"/>
      <c r="B7" s="131"/>
      <c r="C7" s="131"/>
      <c r="D7" s="131"/>
      <c r="E7" s="131"/>
      <c r="F7" s="131"/>
      <c r="G7" s="131"/>
      <c r="H7" s="131"/>
      <c r="I7" s="131"/>
      <c r="J7" s="131"/>
      <c r="K7" s="130"/>
      <c r="L7" s="131"/>
    </row>
    <row r="8" spans="1:12" ht="13" x14ac:dyDescent="0.3">
      <c r="A8" s="76"/>
      <c r="B8" s="131" t="s">
        <v>274</v>
      </c>
      <c r="C8" s="131"/>
      <c r="D8" s="131"/>
      <c r="E8" s="131"/>
      <c r="F8" s="131"/>
      <c r="G8" s="131"/>
      <c r="H8" s="131"/>
      <c r="I8" s="131"/>
      <c r="J8" s="131"/>
      <c r="K8" s="130"/>
      <c r="L8" s="131"/>
    </row>
    <row r="9" spans="1:12" ht="13" x14ac:dyDescent="0.3">
      <c r="A9" s="76"/>
      <c r="B9" s="131" t="s">
        <v>275</v>
      </c>
      <c r="C9" s="131"/>
      <c r="D9" s="131"/>
      <c r="E9" s="131"/>
      <c r="F9" s="131"/>
      <c r="G9" s="131"/>
      <c r="H9" s="131"/>
      <c r="I9" s="131"/>
      <c r="J9" s="131"/>
      <c r="K9" s="130"/>
      <c r="L9" s="131"/>
    </row>
    <row r="10" spans="1:12" ht="13" x14ac:dyDescent="0.3">
      <c r="A10" s="76"/>
      <c r="B10" s="131" t="s">
        <v>276</v>
      </c>
      <c r="C10" s="131"/>
      <c r="D10" s="131"/>
      <c r="E10" s="131"/>
      <c r="F10" s="131"/>
      <c r="G10" s="131"/>
      <c r="H10" s="131"/>
      <c r="I10" s="131"/>
      <c r="J10" s="131"/>
      <c r="K10" s="136"/>
      <c r="L10" s="131"/>
    </row>
    <row r="11" spans="1:12" x14ac:dyDescent="0.35">
      <c r="A11" s="76"/>
      <c r="B11" s="131"/>
      <c r="C11" s="131"/>
      <c r="D11" s="131"/>
      <c r="E11" s="131"/>
      <c r="F11" s="131"/>
      <c r="G11" s="131"/>
      <c r="H11" s="137" t="s">
        <v>277</v>
      </c>
      <c r="I11" s="131"/>
      <c r="J11" s="131"/>
      <c r="K11" s="1"/>
      <c r="L11" s="131"/>
    </row>
    <row r="12" spans="1:12" x14ac:dyDescent="0.35">
      <c r="A12" s="76"/>
      <c r="B12" s="131"/>
      <c r="C12" s="131"/>
      <c r="D12" s="131"/>
      <c r="E12" s="131"/>
      <c r="F12" s="131"/>
      <c r="G12" s="137" t="s">
        <v>108</v>
      </c>
      <c r="H12" s="138" t="s">
        <v>278</v>
      </c>
      <c r="I12" s="137" t="s">
        <v>279</v>
      </c>
      <c r="J12" s="131"/>
      <c r="K12" s="139"/>
      <c r="L12" s="131"/>
    </row>
    <row r="13" spans="1:12" ht="13" x14ac:dyDescent="0.3">
      <c r="A13" s="121" t="s">
        <v>280</v>
      </c>
      <c r="B13" s="131"/>
      <c r="C13" s="131"/>
      <c r="D13" s="131"/>
      <c r="E13" s="131"/>
      <c r="F13" s="131"/>
      <c r="G13" s="140" t="s">
        <v>281</v>
      </c>
      <c r="H13" s="140" t="s">
        <v>281</v>
      </c>
      <c r="I13" s="140" t="s">
        <v>282</v>
      </c>
      <c r="J13" s="131"/>
      <c r="K13" s="141"/>
      <c r="L13" s="131"/>
    </row>
    <row r="14" spans="1:12" ht="13" x14ac:dyDescent="0.3">
      <c r="A14" s="79">
        <v>1</v>
      </c>
      <c r="B14" s="131" t="s">
        <v>283</v>
      </c>
      <c r="C14" s="131"/>
      <c r="D14" s="131"/>
      <c r="E14" s="131"/>
      <c r="F14" s="131"/>
      <c r="G14" s="142" t="s">
        <v>284</v>
      </c>
      <c r="H14" s="142" t="s">
        <v>284</v>
      </c>
      <c r="I14" s="97" t="s">
        <v>285</v>
      </c>
      <c r="J14" s="131"/>
      <c r="K14" s="141"/>
      <c r="L14" s="131"/>
    </row>
    <row r="15" spans="1:12" ht="13" x14ac:dyDescent="0.3">
      <c r="A15" s="79">
        <f>A14+1</f>
        <v>2</v>
      </c>
      <c r="B15" s="131" t="s">
        <v>286</v>
      </c>
      <c r="C15" s="131"/>
      <c r="D15" s="131"/>
      <c r="E15" s="131"/>
      <c r="F15" s="131"/>
      <c r="G15" s="142" t="s">
        <v>284</v>
      </c>
      <c r="H15" s="142" t="s">
        <v>284</v>
      </c>
      <c r="I15" s="142" t="s">
        <v>284</v>
      </c>
      <c r="J15" s="131"/>
      <c r="K15" s="141"/>
      <c r="L15" s="131"/>
    </row>
    <row r="16" spans="1:12" ht="13" x14ac:dyDescent="0.3">
      <c r="A16" s="79">
        <f>A15+1</f>
        <v>3</v>
      </c>
      <c r="B16" s="131" t="s">
        <v>287</v>
      </c>
      <c r="C16" s="131"/>
      <c r="D16" s="131"/>
      <c r="E16" s="131"/>
      <c r="F16" s="131"/>
      <c r="G16" s="142" t="s">
        <v>284</v>
      </c>
      <c r="H16" s="142" t="s">
        <v>284</v>
      </c>
      <c r="I16" s="142" t="s">
        <v>284</v>
      </c>
      <c r="J16" s="131"/>
      <c r="K16" s="141"/>
      <c r="L16" s="131"/>
    </row>
    <row r="17" spans="1:12" ht="13" x14ac:dyDescent="0.3">
      <c r="A17" s="79">
        <f>A16+1</f>
        <v>4</v>
      </c>
      <c r="B17" s="131" t="s">
        <v>288</v>
      </c>
      <c r="C17" s="131"/>
      <c r="D17" s="131"/>
      <c r="E17" s="131"/>
      <c r="F17" s="131"/>
      <c r="G17" s="142" t="s">
        <v>284</v>
      </c>
      <c r="H17" s="142" t="s">
        <v>284</v>
      </c>
      <c r="I17" s="142" t="s">
        <v>285</v>
      </c>
      <c r="J17" s="131"/>
      <c r="K17" s="141"/>
      <c r="L17" s="131"/>
    </row>
    <row r="18" spans="1:12" ht="13" x14ac:dyDescent="0.3">
      <c r="A18" s="79">
        <f>A17+1</f>
        <v>5</v>
      </c>
      <c r="B18" s="131" t="s">
        <v>289</v>
      </c>
      <c r="C18" s="131"/>
      <c r="D18" s="131"/>
      <c r="E18" s="131"/>
      <c r="F18" s="131"/>
      <c r="G18" s="142" t="s">
        <v>285</v>
      </c>
      <c r="H18" s="142" t="s">
        <v>284</v>
      </c>
      <c r="I18" s="142" t="s">
        <v>285</v>
      </c>
      <c r="J18" s="131"/>
      <c r="K18" s="141"/>
      <c r="L18" s="131"/>
    </row>
    <row r="19" spans="1:12" ht="13" x14ac:dyDescent="0.3">
      <c r="A19" s="79">
        <f>A18+1</f>
        <v>6</v>
      </c>
      <c r="B19" s="131" t="s">
        <v>290</v>
      </c>
      <c r="C19" s="131"/>
      <c r="D19" s="131"/>
      <c r="E19" s="131"/>
      <c r="F19" s="131"/>
      <c r="G19" s="142" t="s">
        <v>285</v>
      </c>
      <c r="H19" s="142" t="s">
        <v>284</v>
      </c>
      <c r="I19" s="142" t="s">
        <v>285</v>
      </c>
      <c r="J19" s="131"/>
      <c r="K19" s="130"/>
      <c r="L19" s="131"/>
    </row>
    <row r="20" spans="1:12" ht="12.5" x14ac:dyDescent="0.25">
      <c r="A20" s="131"/>
      <c r="B20" s="131"/>
      <c r="C20" s="143"/>
      <c r="D20" s="131"/>
      <c r="E20" s="131"/>
      <c r="F20" s="131"/>
      <c r="G20" s="131"/>
      <c r="H20" s="131"/>
      <c r="I20" s="131"/>
      <c r="J20" s="131"/>
      <c r="K20" s="130"/>
      <c r="L20" s="131"/>
    </row>
    <row r="21" spans="1:12" ht="13" x14ac:dyDescent="0.3">
      <c r="A21" s="131"/>
      <c r="B21" s="144" t="s">
        <v>291</v>
      </c>
      <c r="C21" s="95"/>
      <c r="D21" s="131"/>
      <c r="E21" s="131"/>
      <c r="F21" s="131"/>
      <c r="G21" s="131"/>
      <c r="H21" s="131"/>
      <c r="I21" s="131"/>
      <c r="J21" s="131"/>
      <c r="K21" s="130"/>
      <c r="L21" s="131"/>
    </row>
    <row r="22" spans="1:12" ht="13" x14ac:dyDescent="0.3">
      <c r="A22" s="131"/>
      <c r="B22" s="144"/>
      <c r="C22" s="95"/>
      <c r="D22" s="131"/>
      <c r="E22" s="131"/>
      <c r="F22" s="131"/>
      <c r="G22" s="131"/>
      <c r="H22" s="131"/>
      <c r="I22" s="131"/>
      <c r="J22" s="131"/>
      <c r="K22" s="130"/>
      <c r="L22" s="131"/>
    </row>
    <row r="23" spans="1:12" ht="13" x14ac:dyDescent="0.3">
      <c r="A23" s="131"/>
      <c r="B23" s="145" t="s">
        <v>292</v>
      </c>
      <c r="C23" s="146"/>
      <c r="D23" s="131"/>
      <c r="E23" s="131"/>
      <c r="F23" s="131"/>
      <c r="G23" s="131"/>
      <c r="H23" s="131"/>
      <c r="I23" s="131"/>
      <c r="J23" s="131"/>
      <c r="K23" s="130"/>
      <c r="L23" s="131"/>
    </row>
    <row r="24" spans="1:12" ht="12.5" x14ac:dyDescent="0.25">
      <c r="A24" s="131"/>
      <c r="B24" s="147" t="s">
        <v>293</v>
      </c>
      <c r="C24" s="146"/>
      <c r="D24" s="131"/>
      <c r="E24" s="131"/>
      <c r="F24" s="131"/>
      <c r="G24" s="131"/>
      <c r="H24" s="131"/>
      <c r="I24" s="131"/>
      <c r="J24" s="131"/>
      <c r="K24" s="130"/>
      <c r="L24" s="131"/>
    </row>
    <row r="25" spans="1:12" ht="13" x14ac:dyDescent="0.3">
      <c r="A25" s="131"/>
      <c r="B25" s="147" t="s">
        <v>294</v>
      </c>
      <c r="C25" s="131"/>
      <c r="D25" s="131"/>
      <c r="E25" s="131"/>
      <c r="F25" s="131"/>
      <c r="G25" s="131"/>
      <c r="H25" s="131"/>
      <c r="I25" s="131"/>
      <c r="J25" s="131"/>
      <c r="K25" s="148"/>
      <c r="L25" s="131"/>
    </row>
    <row r="26" spans="1:12" ht="13" x14ac:dyDescent="0.3">
      <c r="A26" s="131"/>
      <c r="B26" s="131"/>
      <c r="C26" s="131"/>
      <c r="D26" s="131"/>
      <c r="E26" s="131"/>
      <c r="F26" s="131"/>
      <c r="G26" s="131"/>
      <c r="H26" s="149" t="s">
        <v>295</v>
      </c>
      <c r="I26" s="149" t="s">
        <v>296</v>
      </c>
      <c r="J26" s="131"/>
      <c r="K26" s="150"/>
      <c r="L26" s="131"/>
    </row>
    <row r="27" spans="1:12" ht="13" x14ac:dyDescent="0.3">
      <c r="A27" s="131"/>
      <c r="B27" s="131"/>
      <c r="C27" s="131"/>
      <c r="D27" s="131"/>
      <c r="E27" s="131"/>
      <c r="F27" s="131"/>
      <c r="G27" s="131"/>
      <c r="H27" s="151" t="s">
        <v>297</v>
      </c>
      <c r="I27" s="131"/>
      <c r="J27" s="131"/>
      <c r="K27" s="150"/>
      <c r="L27" s="131"/>
    </row>
    <row r="28" spans="1:12" ht="13" x14ac:dyDescent="0.3">
      <c r="A28" s="131"/>
      <c r="B28" s="131"/>
      <c r="C28" s="131"/>
      <c r="D28" s="131"/>
      <c r="E28" s="131"/>
      <c r="F28" s="131"/>
      <c r="G28" s="131"/>
      <c r="H28" s="151" t="s">
        <v>281</v>
      </c>
      <c r="I28" s="137" t="s">
        <v>298</v>
      </c>
      <c r="J28" s="131"/>
      <c r="K28" s="136"/>
      <c r="L28" s="131"/>
    </row>
    <row r="29" spans="1:12" ht="13" x14ac:dyDescent="0.3">
      <c r="A29" s="131"/>
      <c r="B29" s="131"/>
      <c r="C29" s="131"/>
      <c r="D29" s="131"/>
      <c r="E29" s="131"/>
      <c r="F29" s="131"/>
      <c r="G29" s="152" t="s">
        <v>299</v>
      </c>
      <c r="H29" s="137" t="s">
        <v>300</v>
      </c>
      <c r="I29" s="137" t="s">
        <v>301</v>
      </c>
      <c r="J29" s="131"/>
      <c r="K29" s="153"/>
      <c r="L29" s="131"/>
    </row>
    <row r="30" spans="1:12" x14ac:dyDescent="0.35">
      <c r="A30" s="121"/>
      <c r="B30" s="131"/>
      <c r="C30" s="131"/>
      <c r="D30" s="131"/>
      <c r="E30" s="131"/>
      <c r="F30" s="131"/>
      <c r="G30" s="154" t="s">
        <v>71</v>
      </c>
      <c r="H30" s="155" t="s">
        <v>302</v>
      </c>
      <c r="I30" s="156" t="s">
        <v>278</v>
      </c>
      <c r="J30" s="140"/>
      <c r="K30" s="157"/>
      <c r="L30" s="131"/>
    </row>
    <row r="31" spans="1:12" ht="13" x14ac:dyDescent="0.3">
      <c r="A31" s="79">
        <f>A19+1</f>
        <v>7</v>
      </c>
      <c r="B31" s="131"/>
      <c r="C31" s="131" t="s">
        <v>303</v>
      </c>
      <c r="D31" s="131"/>
      <c r="E31" s="131"/>
      <c r="F31" s="131"/>
      <c r="G31" s="89" t="s">
        <v>304</v>
      </c>
      <c r="H31" s="96">
        <v>31556000</v>
      </c>
      <c r="I31" s="96">
        <v>-2176300</v>
      </c>
      <c r="J31" s="131"/>
      <c r="K31" s="157"/>
      <c r="L31" s="131"/>
    </row>
    <row r="32" spans="1:12" ht="13" x14ac:dyDescent="0.3">
      <c r="A32" s="79">
        <f>A31+1</f>
        <v>8</v>
      </c>
      <c r="B32" s="131"/>
      <c r="C32" s="131" t="s">
        <v>305</v>
      </c>
      <c r="D32" s="131"/>
      <c r="E32" s="131"/>
      <c r="F32" s="131"/>
      <c r="G32" s="89" t="s">
        <v>304</v>
      </c>
      <c r="H32" s="96">
        <v>-35044000</v>
      </c>
      <c r="I32" s="96">
        <v>2503000</v>
      </c>
      <c r="J32" s="131"/>
      <c r="K32" s="157"/>
      <c r="L32" s="131"/>
    </row>
    <row r="33" spans="1:12" ht="13" x14ac:dyDescent="0.3">
      <c r="A33" s="79">
        <f>A32+1</f>
        <v>9</v>
      </c>
      <c r="B33" s="131"/>
      <c r="C33" s="131" t="s">
        <v>306</v>
      </c>
      <c r="D33" s="131"/>
      <c r="E33" s="131"/>
      <c r="F33" s="131"/>
      <c r="G33" s="89" t="s">
        <v>304</v>
      </c>
      <c r="H33" s="96">
        <v>-624650</v>
      </c>
      <c r="I33" s="96">
        <v>43100</v>
      </c>
      <c r="J33" s="131"/>
      <c r="K33" s="158"/>
      <c r="L33" s="131"/>
    </row>
    <row r="34" spans="1:12" ht="13" x14ac:dyDescent="0.3">
      <c r="A34" s="79">
        <f>A33+1</f>
        <v>10</v>
      </c>
      <c r="B34" s="131"/>
      <c r="C34" s="131" t="s">
        <v>307</v>
      </c>
      <c r="D34" s="131"/>
      <c r="E34" s="131"/>
      <c r="F34" s="131"/>
      <c r="G34" s="89" t="s">
        <v>304</v>
      </c>
      <c r="H34" s="159">
        <v>-7410000</v>
      </c>
      <c r="I34" s="159">
        <v>511200</v>
      </c>
      <c r="J34" s="131"/>
      <c r="K34" s="157"/>
      <c r="L34" s="131"/>
    </row>
    <row r="35" spans="1:12" ht="13" x14ac:dyDescent="0.3">
      <c r="A35" s="79">
        <f>A34+1</f>
        <v>11</v>
      </c>
      <c r="B35" s="131"/>
      <c r="C35" s="131"/>
      <c r="D35" s="131"/>
      <c r="E35" s="131"/>
      <c r="G35" s="160" t="s">
        <v>308</v>
      </c>
      <c r="H35" s="96">
        <f>SUM(H31:H34)</f>
        <v>-11522650</v>
      </c>
      <c r="I35" s="96">
        <f>SUM(I31:I34)</f>
        <v>881000</v>
      </c>
      <c r="J35" s="131"/>
      <c r="K35" s="157"/>
      <c r="L35" s="131"/>
    </row>
    <row r="36" spans="1:12" ht="13" x14ac:dyDescent="0.3">
      <c r="A36" s="79"/>
      <c r="B36" s="131"/>
      <c r="C36" s="131"/>
      <c r="D36" s="131"/>
      <c r="E36" s="131"/>
      <c r="G36" s="160"/>
      <c r="H36" s="96"/>
      <c r="I36" s="96"/>
      <c r="J36" s="131"/>
      <c r="K36" s="157"/>
      <c r="L36" s="131"/>
    </row>
    <row r="37" spans="1:12" ht="13" x14ac:dyDescent="0.3">
      <c r="A37" s="79"/>
      <c r="B37" s="145" t="s">
        <v>309</v>
      </c>
      <c r="C37" s="131"/>
      <c r="D37" s="131"/>
      <c r="E37" s="131"/>
      <c r="G37" s="160"/>
      <c r="H37" s="96"/>
      <c r="I37" s="96"/>
      <c r="J37" s="131"/>
      <c r="K37" s="157"/>
      <c r="L37" s="131"/>
    </row>
    <row r="38" spans="1:12" ht="13" x14ac:dyDescent="0.3">
      <c r="A38" s="79"/>
      <c r="B38" s="147" t="s">
        <v>310</v>
      </c>
      <c r="C38" s="131"/>
      <c r="D38" s="131"/>
      <c r="E38" s="131"/>
      <c r="G38" s="160"/>
      <c r="H38" s="96"/>
      <c r="I38" s="96"/>
      <c r="J38" s="131"/>
      <c r="K38" s="157"/>
      <c r="L38" s="131"/>
    </row>
    <row r="39" spans="1:12" ht="13" x14ac:dyDescent="0.3">
      <c r="A39" s="79"/>
      <c r="B39" s="147" t="s">
        <v>311</v>
      </c>
      <c r="C39" s="131"/>
      <c r="D39" s="131"/>
      <c r="E39" s="131"/>
      <c r="G39" s="160"/>
      <c r="H39" s="96"/>
      <c r="I39" s="96"/>
      <c r="J39" s="131"/>
      <c r="K39" s="130"/>
      <c r="L39" s="131"/>
    </row>
    <row r="40" spans="1:12" ht="13" x14ac:dyDescent="0.3">
      <c r="A40" s="137"/>
      <c r="B40" s="131"/>
      <c r="C40" s="131"/>
      <c r="D40" s="131"/>
      <c r="E40" s="131"/>
      <c r="F40" s="131"/>
      <c r="G40" s="152" t="s">
        <v>299</v>
      </c>
      <c r="H40" s="131"/>
      <c r="I40" s="131"/>
      <c r="J40" s="131"/>
      <c r="K40" s="161"/>
      <c r="L40" s="131"/>
    </row>
    <row r="41" spans="1:12" ht="13" x14ac:dyDescent="0.3">
      <c r="A41" s="137"/>
      <c r="B41" s="162"/>
      <c r="C41" s="95"/>
      <c r="D41" s="131"/>
      <c r="E41" s="131"/>
      <c r="F41" s="131"/>
      <c r="G41" s="154" t="s">
        <v>71</v>
      </c>
      <c r="H41" s="82" t="s">
        <v>86</v>
      </c>
      <c r="I41" s="163" t="s">
        <v>312</v>
      </c>
      <c r="J41" s="131"/>
      <c r="K41" s="164"/>
      <c r="L41" s="131"/>
    </row>
    <row r="42" spans="1:12" ht="13" x14ac:dyDescent="0.3">
      <c r="A42" s="79">
        <f>A35+1</f>
        <v>12</v>
      </c>
      <c r="B42" s="147" t="s">
        <v>313</v>
      </c>
      <c r="C42" s="131"/>
      <c r="D42" s="131"/>
      <c r="E42" s="131"/>
      <c r="F42" s="131"/>
      <c r="G42" s="147" t="s">
        <v>412</v>
      </c>
      <c r="H42" s="101">
        <v>9.0088490667917964E-2</v>
      </c>
      <c r="I42" s="142">
        <v>1</v>
      </c>
      <c r="J42" s="131"/>
      <c r="K42" s="165"/>
      <c r="L42" s="131"/>
    </row>
    <row r="43" spans="1:12" ht="13" x14ac:dyDescent="0.3">
      <c r="A43" s="79">
        <f>A42+1</f>
        <v>13</v>
      </c>
      <c r="B43" s="147" t="s">
        <v>314</v>
      </c>
      <c r="C43" s="131"/>
      <c r="D43" s="131"/>
      <c r="E43" s="131"/>
      <c r="F43" s="131"/>
      <c r="G43" s="147"/>
      <c r="H43" s="166">
        <v>2022</v>
      </c>
      <c r="I43" s="142">
        <v>2</v>
      </c>
      <c r="J43" s="131"/>
      <c r="K43" s="157"/>
      <c r="L43" s="131"/>
    </row>
    <row r="44" spans="1:12" ht="13" x14ac:dyDescent="0.3">
      <c r="A44" s="79">
        <f>A43+1</f>
        <v>14</v>
      </c>
      <c r="B44" s="147" t="s">
        <v>315</v>
      </c>
      <c r="C44" s="131"/>
      <c r="D44" s="131"/>
      <c r="E44" s="131"/>
      <c r="F44" s="131"/>
      <c r="G44" s="96"/>
      <c r="H44" s="96">
        <f>H35+ (I35*(H43-2010))</f>
        <v>-950650</v>
      </c>
      <c r="I44" s="142">
        <v>3</v>
      </c>
      <c r="J44" s="131"/>
      <c r="K44" s="157"/>
      <c r="L44" s="131"/>
    </row>
    <row r="45" spans="1:12" x14ac:dyDescent="0.35">
      <c r="A45" s="79">
        <f>A44+1</f>
        <v>15</v>
      </c>
      <c r="B45" s="147" t="s">
        <v>316</v>
      </c>
      <c r="C45" s="95"/>
      <c r="D45" s="131"/>
      <c r="E45" s="131"/>
      <c r="F45" s="131"/>
      <c r="G45" s="89" t="str">
        <f>"Line "&amp;A44&amp;" * Line "&amp;A42&amp;""</f>
        <v>Line 14 * Line 12</v>
      </c>
      <c r="H45" s="96">
        <f xml:space="preserve"> H44*H42</f>
        <v>-85642.623653456219</v>
      </c>
      <c r="I45" s="131"/>
      <c r="J45" s="131"/>
      <c r="L45" s="131"/>
    </row>
    <row r="46" spans="1:12" x14ac:dyDescent="0.35">
      <c r="L46" s="131"/>
    </row>
    <row r="47" spans="1:12" x14ac:dyDescent="0.35">
      <c r="B47" s="144" t="s">
        <v>317</v>
      </c>
      <c r="L47" s="131"/>
    </row>
    <row r="48" spans="1:12" x14ac:dyDescent="0.35">
      <c r="L48" s="131"/>
    </row>
    <row r="49" spans="1:12" x14ac:dyDescent="0.35">
      <c r="B49" s="131" t="str">
        <f>"The annual Wholesale Expense Difference impact is the negative of amounts stated in Lines "&amp;A31&amp;" to "&amp;A34&amp;" above, Column 2."</f>
        <v>The annual Wholesale Expense Difference impact is the negative of amounts stated in Lines 7 to 10 above, Column 2.</v>
      </c>
      <c r="L49" s="131"/>
    </row>
    <row r="50" spans="1:12" ht="12.5" x14ac:dyDescent="0.25">
      <c r="B50" s="131" t="s">
        <v>318</v>
      </c>
      <c r="K50" s="130"/>
      <c r="L50" s="131"/>
    </row>
    <row r="51" spans="1:12" x14ac:dyDescent="0.35">
      <c r="A51" s="131"/>
      <c r="B51" s="131" t="s">
        <v>319</v>
      </c>
      <c r="C51" s="131"/>
      <c r="D51" s="131"/>
      <c r="E51" s="131"/>
      <c r="F51" s="131"/>
      <c r="G51" s="131"/>
      <c r="H51" s="131"/>
      <c r="I51" s="131"/>
      <c r="J51" s="131"/>
      <c r="L51" s="131"/>
    </row>
    <row r="52" spans="1:12" ht="12.5" x14ac:dyDescent="0.25">
      <c r="K52" s="130"/>
    </row>
    <row r="53" spans="1:12" ht="13" x14ac:dyDescent="0.3">
      <c r="A53" s="131"/>
      <c r="B53" s="167" t="s">
        <v>320</v>
      </c>
      <c r="C53" s="131"/>
      <c r="D53" s="131"/>
      <c r="E53" s="131"/>
      <c r="F53" s="131"/>
      <c r="G53" s="131"/>
      <c r="H53" s="131"/>
      <c r="I53" s="131"/>
      <c r="J53" s="131"/>
      <c r="K53" s="130"/>
      <c r="L53" s="131"/>
    </row>
    <row r="54" spans="1:12" ht="13" x14ac:dyDescent="0.3">
      <c r="A54" s="131"/>
      <c r="B54" s="131"/>
      <c r="C54" s="131"/>
      <c r="D54" s="131"/>
      <c r="E54" s="131"/>
      <c r="F54" s="131"/>
      <c r="G54" s="152"/>
      <c r="H54" s="131"/>
      <c r="I54" s="131"/>
      <c r="J54" s="131"/>
      <c r="K54" s="161"/>
      <c r="L54" s="131"/>
    </row>
    <row r="55" spans="1:12" ht="13" x14ac:dyDescent="0.3">
      <c r="B55" s="131"/>
      <c r="C55" s="131"/>
      <c r="D55" s="131"/>
      <c r="E55" s="131"/>
      <c r="F55" s="131"/>
      <c r="G55" s="154" t="s">
        <v>71</v>
      </c>
      <c r="H55" s="82" t="s">
        <v>86</v>
      </c>
      <c r="I55" s="131"/>
      <c r="J55" s="140"/>
      <c r="K55" s="157"/>
      <c r="L55" s="131"/>
    </row>
    <row r="56" spans="1:12" ht="13" x14ac:dyDescent="0.3">
      <c r="A56" s="79">
        <f>A45+1</f>
        <v>16</v>
      </c>
      <c r="B56" s="147" t="s">
        <v>321</v>
      </c>
      <c r="C56" s="131"/>
      <c r="D56" s="131"/>
      <c r="E56" s="131"/>
      <c r="F56" s="131"/>
      <c r="G56" s="89" t="str">
        <f>"Line "&amp;A32&amp;""</f>
        <v>Line 8</v>
      </c>
      <c r="H56" s="96">
        <f>I32</f>
        <v>2503000</v>
      </c>
      <c r="I56" s="131"/>
      <c r="J56" s="131"/>
      <c r="K56" s="168"/>
      <c r="L56" s="131"/>
    </row>
    <row r="57" spans="1:12" ht="13" x14ac:dyDescent="0.3">
      <c r="A57" s="79">
        <f>A56+1</f>
        <v>17</v>
      </c>
      <c r="B57" s="89" t="s">
        <v>322</v>
      </c>
      <c r="C57" s="131"/>
      <c r="D57" s="131"/>
      <c r="E57" s="131"/>
      <c r="F57" s="131"/>
      <c r="G57" s="147" t="s">
        <v>417</v>
      </c>
      <c r="H57" s="169">
        <v>0.27983599999999997</v>
      </c>
      <c r="I57" s="131"/>
      <c r="J57" s="131"/>
      <c r="K57" s="170"/>
      <c r="L57" s="131"/>
    </row>
    <row r="58" spans="1:12" ht="13" x14ac:dyDescent="0.3">
      <c r="A58" s="79">
        <f>A57+1</f>
        <v>18</v>
      </c>
      <c r="B58" s="89" t="s">
        <v>323</v>
      </c>
      <c r="C58" s="131"/>
      <c r="D58" s="131"/>
      <c r="E58" s="131"/>
      <c r="F58" s="131"/>
      <c r="G58" s="102" t="s">
        <v>324</v>
      </c>
      <c r="H58" s="171">
        <f>1/(1-H57)</f>
        <v>1.3885726029071155</v>
      </c>
      <c r="I58" s="131"/>
      <c r="J58" s="131"/>
      <c r="K58" s="130"/>
      <c r="L58" s="131"/>
    </row>
    <row r="59" spans="1:12" ht="13" x14ac:dyDescent="0.3">
      <c r="A59" s="79">
        <f>A58+1</f>
        <v>19</v>
      </c>
      <c r="B59" s="89" t="s">
        <v>325</v>
      </c>
      <c r="C59" s="131"/>
      <c r="D59" s="131"/>
      <c r="E59" s="131"/>
      <c r="F59" s="131"/>
      <c r="G59" s="131"/>
      <c r="H59" s="131"/>
      <c r="I59" s="131"/>
      <c r="J59" s="131"/>
      <c r="K59" s="157"/>
      <c r="L59" s="131"/>
    </row>
    <row r="60" spans="1:12" x14ac:dyDescent="0.35">
      <c r="A60" s="79">
        <f>A59+1</f>
        <v>20</v>
      </c>
      <c r="B60" s="89" t="s">
        <v>326</v>
      </c>
      <c r="C60" s="131"/>
      <c r="D60" s="131"/>
      <c r="E60" s="131"/>
      <c r="F60" s="131"/>
      <c r="G60" s="89" t="str">
        <f>"- Line "&amp;A56&amp;" * Line "&amp;A58&amp;""</f>
        <v>- Line 16 * Line 18</v>
      </c>
      <c r="H60" s="96">
        <f>-H58*H56</f>
        <v>-3475597.2250765101</v>
      </c>
      <c r="I60" s="131"/>
      <c r="J60" s="131"/>
      <c r="L60" s="131"/>
    </row>
    <row r="62" spans="1:12" x14ac:dyDescent="0.35">
      <c r="B62" s="167" t="s">
        <v>327</v>
      </c>
    </row>
    <row r="64" spans="1:12" ht="13" x14ac:dyDescent="0.3">
      <c r="G64" s="154" t="s">
        <v>71</v>
      </c>
      <c r="H64" s="82" t="s">
        <v>86</v>
      </c>
      <c r="K64" s="161"/>
    </row>
    <row r="65" spans="1:13" x14ac:dyDescent="0.35">
      <c r="A65" s="79">
        <f>A60+1</f>
        <v>21</v>
      </c>
      <c r="B65" s="147" t="s">
        <v>328</v>
      </c>
      <c r="G65" s="89" t="str">
        <f>"Line "&amp;A33&amp;""</f>
        <v>Line 9</v>
      </c>
      <c r="H65" s="87">
        <f>I33</f>
        <v>43100</v>
      </c>
      <c r="K65" s="172"/>
      <c r="M65" s="87"/>
    </row>
    <row r="66" spans="1:13" ht="13" x14ac:dyDescent="0.3">
      <c r="A66" s="79">
        <f>A65+1</f>
        <v>22</v>
      </c>
      <c r="B66" s="89" t="s">
        <v>323</v>
      </c>
      <c r="C66" s="131"/>
      <c r="D66" s="131"/>
      <c r="E66" s="131"/>
      <c r="F66" s="131"/>
      <c r="G66" s="89" t="str">
        <f>"Line "&amp;A58&amp;""</f>
        <v>Line 18</v>
      </c>
      <c r="H66" s="171">
        <f>H58</f>
        <v>1.3885726029071155</v>
      </c>
      <c r="K66" s="170"/>
      <c r="M66" s="87"/>
    </row>
    <row r="67" spans="1:13" x14ac:dyDescent="0.35">
      <c r="A67" s="79">
        <f>A66+1</f>
        <v>23</v>
      </c>
      <c r="B67" s="147" t="s">
        <v>329</v>
      </c>
      <c r="G67" s="89" t="str">
        <f>"- Line "&amp;A65&amp;" * Line "&amp;A66&amp;""</f>
        <v>- Line 21 * Line 22</v>
      </c>
      <c r="H67" s="87">
        <f>-H65*H66</f>
        <v>-59847.479185296681</v>
      </c>
      <c r="K67" s="172"/>
      <c r="M67" s="87"/>
    </row>
    <row r="68" spans="1:13" x14ac:dyDescent="0.35">
      <c r="A68" s="79">
        <f t="shared" ref="A68:A75" si="0">A67+1</f>
        <v>24</v>
      </c>
      <c r="B68" s="147"/>
      <c r="G68" s="89"/>
      <c r="H68" s="87"/>
      <c r="K68" s="172"/>
      <c r="M68" s="87"/>
    </row>
    <row r="69" spans="1:13" x14ac:dyDescent="0.35">
      <c r="A69" s="79">
        <f t="shared" si="0"/>
        <v>25</v>
      </c>
      <c r="B69" s="167" t="s">
        <v>330</v>
      </c>
      <c r="G69" s="89"/>
      <c r="H69" s="87"/>
      <c r="K69" s="172"/>
      <c r="M69" s="87"/>
    </row>
    <row r="70" spans="1:13" x14ac:dyDescent="0.35">
      <c r="A70" s="79">
        <f t="shared" si="0"/>
        <v>26</v>
      </c>
      <c r="B70" s="147"/>
      <c r="G70" s="154" t="s">
        <v>71</v>
      </c>
      <c r="H70" s="87"/>
      <c r="I70" s="81" t="s">
        <v>312</v>
      </c>
      <c r="K70" s="172"/>
      <c r="M70" s="87"/>
    </row>
    <row r="71" spans="1:13" x14ac:dyDescent="0.35">
      <c r="A71" s="79">
        <f t="shared" si="0"/>
        <v>27</v>
      </c>
      <c r="B71" s="147" t="s">
        <v>60</v>
      </c>
      <c r="G71" s="89" t="s">
        <v>331</v>
      </c>
      <c r="H71" s="107">
        <v>17136.7</v>
      </c>
      <c r="I71" s="89" t="s">
        <v>198</v>
      </c>
      <c r="K71" s="172"/>
      <c r="M71" s="87"/>
    </row>
    <row r="72" spans="1:13" ht="13" x14ac:dyDescent="0.3">
      <c r="A72" s="79">
        <f t="shared" si="0"/>
        <v>28</v>
      </c>
      <c r="B72" s="147" t="s">
        <v>332</v>
      </c>
      <c r="G72" s="89" t="s">
        <v>331</v>
      </c>
      <c r="H72" s="173">
        <v>0</v>
      </c>
      <c r="I72" s="89" t="s">
        <v>198</v>
      </c>
      <c r="K72" s="174"/>
      <c r="M72" s="87"/>
    </row>
    <row r="73" spans="1:13" ht="13" x14ac:dyDescent="0.3">
      <c r="A73" s="79">
        <f t="shared" si="0"/>
        <v>29</v>
      </c>
      <c r="B73" s="147" t="s">
        <v>333</v>
      </c>
      <c r="G73" s="102" t="str">
        <f>"Line "&amp;A71&amp;" + "&amp;A72&amp;""</f>
        <v>Line 27 + 28</v>
      </c>
      <c r="H73" s="87">
        <f>SUM(H71:H72)</f>
        <v>17136.7</v>
      </c>
      <c r="K73" s="175"/>
      <c r="M73" s="87"/>
    </row>
    <row r="74" spans="1:13" ht="13" x14ac:dyDescent="0.3">
      <c r="A74" s="79">
        <f t="shared" si="0"/>
        <v>30</v>
      </c>
      <c r="B74" s="147" t="s">
        <v>127</v>
      </c>
      <c r="G74" s="147" t="s">
        <v>392</v>
      </c>
      <c r="H74" s="100">
        <v>5.9842511582503061E-2</v>
      </c>
      <c r="K74" s="176"/>
      <c r="M74" s="87"/>
    </row>
    <row r="75" spans="1:13" x14ac:dyDescent="0.35">
      <c r="A75" s="79">
        <f t="shared" si="0"/>
        <v>31</v>
      </c>
      <c r="B75" s="147" t="s">
        <v>334</v>
      </c>
      <c r="G75" s="102" t="str">
        <f>"Line "&amp;A73&amp;" * "&amp;A74&amp;""</f>
        <v>Line 29 * 30</v>
      </c>
      <c r="H75" s="87">
        <f>H73*H74</f>
        <v>1025.5031682358801</v>
      </c>
      <c r="K75" s="172"/>
      <c r="M75" s="87"/>
    </row>
    <row r="76" spans="1:13" x14ac:dyDescent="0.35">
      <c r="M76" s="87"/>
    </row>
    <row r="77" spans="1:13" ht="13" x14ac:dyDescent="0.3">
      <c r="A77" s="131"/>
      <c r="B77" s="145" t="s">
        <v>335</v>
      </c>
      <c r="C77" s="131"/>
      <c r="D77" s="131"/>
      <c r="E77" s="131"/>
      <c r="F77" s="131"/>
      <c r="G77" s="131"/>
      <c r="H77" s="131"/>
      <c r="I77" s="163" t="s">
        <v>312</v>
      </c>
      <c r="J77" s="131"/>
      <c r="K77" s="130"/>
      <c r="L77" s="131"/>
      <c r="M77" s="87"/>
    </row>
    <row r="78" spans="1:13" ht="13" x14ac:dyDescent="0.3">
      <c r="A78" s="79">
        <f>A75+1</f>
        <v>32</v>
      </c>
      <c r="B78" s="143" t="s">
        <v>336</v>
      </c>
      <c r="C78" s="131"/>
      <c r="D78" s="131"/>
      <c r="E78" s="131"/>
      <c r="F78" s="131"/>
      <c r="G78" s="147" t="str">
        <f>" - Line "&amp;A31&amp;", Col. 2"</f>
        <v xml:space="preserve"> - Line 7, Col. 2</v>
      </c>
      <c r="H78" s="96">
        <f>-I31</f>
        <v>2176300</v>
      </c>
      <c r="I78" s="131"/>
      <c r="J78" s="131"/>
      <c r="K78" s="157"/>
      <c r="L78" s="131"/>
      <c r="M78" s="87"/>
    </row>
    <row r="79" spans="1:13" ht="13" x14ac:dyDescent="0.3">
      <c r="A79" s="79">
        <f>A78+1</f>
        <v>33</v>
      </c>
      <c r="B79" s="143" t="s">
        <v>305</v>
      </c>
      <c r="C79" s="131"/>
      <c r="D79" s="131"/>
      <c r="E79" s="131"/>
      <c r="F79" s="131"/>
      <c r="G79" s="147" t="str">
        <f>"Line "&amp;A60&amp;""</f>
        <v>Line 20</v>
      </c>
      <c r="H79" s="96">
        <f>H60</f>
        <v>-3475597.2250765101</v>
      </c>
      <c r="I79" s="131"/>
      <c r="J79" s="131"/>
      <c r="K79" s="157"/>
      <c r="L79" s="131"/>
      <c r="M79" s="87"/>
    </row>
    <row r="80" spans="1:13" ht="13" x14ac:dyDescent="0.3">
      <c r="A80" s="79">
        <f>A79+1</f>
        <v>34</v>
      </c>
      <c r="B80" s="143" t="s">
        <v>306</v>
      </c>
      <c r="C80" s="131"/>
      <c r="D80" s="131"/>
      <c r="E80" s="131"/>
      <c r="F80" s="131"/>
      <c r="G80" s="147" t="str">
        <f>"Line "&amp;A67&amp;""</f>
        <v>Line 23</v>
      </c>
      <c r="H80" s="96">
        <f>H67</f>
        <v>-59847.479185296681</v>
      </c>
      <c r="I80" s="131"/>
      <c r="J80" s="131"/>
      <c r="K80" s="157"/>
      <c r="L80" s="131"/>
      <c r="M80" s="87"/>
    </row>
    <row r="81" spans="1:13" ht="13" x14ac:dyDescent="0.3">
      <c r="A81" s="79">
        <f>A80+1</f>
        <v>35</v>
      </c>
      <c r="B81" s="143" t="s">
        <v>307</v>
      </c>
      <c r="C81" s="131"/>
      <c r="D81" s="131"/>
      <c r="E81" s="131"/>
      <c r="F81" s="131"/>
      <c r="G81" s="147" t="str">
        <f>"- Line "&amp;A34&amp;", Col. 2"</f>
        <v>- Line 10, Col. 2</v>
      </c>
      <c r="H81" s="96">
        <f>-I34</f>
        <v>-511200</v>
      </c>
      <c r="I81" s="131"/>
      <c r="J81" s="131"/>
      <c r="K81" s="157"/>
      <c r="L81" s="131"/>
      <c r="M81" s="87"/>
    </row>
    <row r="82" spans="1:13" ht="13.5" thickBot="1" x14ac:dyDescent="0.35">
      <c r="A82" s="79">
        <f t="shared" ref="A82:A84" si="1">A81+1</f>
        <v>36</v>
      </c>
      <c r="B82" s="143" t="s">
        <v>337</v>
      </c>
      <c r="C82" s="131"/>
      <c r="D82" s="131"/>
      <c r="E82" s="131"/>
      <c r="F82" s="131"/>
      <c r="G82" s="102" t="str">
        <f>" - Line "&amp;A75&amp;""</f>
        <v xml:space="preserve"> - Line 31</v>
      </c>
      <c r="H82" s="96">
        <f>-H75</f>
        <v>-1025.5031682358801</v>
      </c>
      <c r="I82" s="131"/>
      <c r="J82" s="131"/>
      <c r="K82" s="157"/>
      <c r="L82" s="131"/>
      <c r="M82" s="87"/>
    </row>
    <row r="83" spans="1:13" ht="13.5" thickBot="1" x14ac:dyDescent="0.35">
      <c r="A83" s="79">
        <f t="shared" si="1"/>
        <v>37</v>
      </c>
      <c r="B83" s="95" t="s">
        <v>338</v>
      </c>
      <c r="C83" s="131"/>
      <c r="D83" s="131"/>
      <c r="E83" s="131"/>
      <c r="F83" s="131"/>
      <c r="G83" s="102"/>
      <c r="H83" s="177">
        <v>-14758.3602064769</v>
      </c>
      <c r="I83" s="147" t="s">
        <v>111</v>
      </c>
      <c r="J83" s="131"/>
      <c r="K83" s="157"/>
      <c r="L83" s="131"/>
      <c r="M83" s="87"/>
    </row>
    <row r="84" spans="1:13" ht="13" x14ac:dyDescent="0.3">
      <c r="A84" s="79">
        <f t="shared" si="1"/>
        <v>38</v>
      </c>
      <c r="B84" s="131"/>
      <c r="C84" s="131"/>
      <c r="D84" s="131"/>
      <c r="E84" s="131"/>
      <c r="F84" s="131"/>
      <c r="G84" s="160" t="s">
        <v>339</v>
      </c>
      <c r="H84" s="178">
        <f>SUM(H78:H83)</f>
        <v>-1886128.5676365194</v>
      </c>
      <c r="I84" s="131"/>
      <c r="J84" s="131"/>
      <c r="K84" s="157"/>
      <c r="L84" s="131"/>
      <c r="M84" s="87"/>
    </row>
    <row r="85" spans="1:13" ht="12.5" x14ac:dyDescent="0.25">
      <c r="A85" s="131"/>
      <c r="B85" s="131"/>
      <c r="C85" s="131"/>
      <c r="D85" s="131"/>
      <c r="E85" s="131"/>
      <c r="F85" s="131"/>
      <c r="G85" s="131"/>
      <c r="H85" s="131"/>
      <c r="I85" s="131"/>
      <c r="J85" s="131"/>
      <c r="K85" s="130"/>
      <c r="L85" s="131"/>
      <c r="M85" s="87"/>
    </row>
    <row r="86" spans="1:13" ht="13" x14ac:dyDescent="0.3">
      <c r="A86" s="131"/>
      <c r="B86" s="179" t="s">
        <v>340</v>
      </c>
      <c r="C86" s="131"/>
      <c r="D86" s="131"/>
      <c r="E86" s="131"/>
      <c r="F86" s="131"/>
      <c r="G86" s="131"/>
      <c r="H86" s="131"/>
      <c r="I86" s="131"/>
      <c r="J86" s="131"/>
      <c r="K86" s="130"/>
      <c r="L86" s="131"/>
      <c r="M86" s="87"/>
    </row>
    <row r="87" spans="1:13" ht="13" x14ac:dyDescent="0.3">
      <c r="A87" s="131"/>
      <c r="C87" s="131"/>
      <c r="D87" s="131"/>
      <c r="E87" s="131"/>
      <c r="F87" s="131"/>
      <c r="G87" s="154" t="s">
        <v>71</v>
      </c>
      <c r="H87" s="82" t="s">
        <v>86</v>
      </c>
      <c r="I87" s="131"/>
      <c r="J87" s="131"/>
      <c r="K87" s="161"/>
      <c r="L87" s="131"/>
      <c r="M87" s="87"/>
    </row>
    <row r="88" spans="1:13" ht="13" x14ac:dyDescent="0.3">
      <c r="A88" s="79">
        <f>A84+1</f>
        <v>39</v>
      </c>
      <c r="B88" s="180" t="s">
        <v>316</v>
      </c>
      <c r="C88" s="131"/>
      <c r="D88" s="131"/>
      <c r="E88" s="131"/>
      <c r="F88" s="131"/>
      <c r="G88" s="147" t="str">
        <f>"Line "&amp;A45&amp;""</f>
        <v>Line 15</v>
      </c>
      <c r="H88" s="96">
        <f>H45</f>
        <v>-85642.623653456219</v>
      </c>
      <c r="I88" s="131"/>
      <c r="J88" s="131"/>
      <c r="K88" s="157"/>
      <c r="L88" s="131"/>
      <c r="M88" s="87"/>
    </row>
    <row r="89" spans="1:13" ht="13" x14ac:dyDescent="0.3">
      <c r="A89" s="79">
        <f>A88+1</f>
        <v>40</v>
      </c>
      <c r="B89" s="131" t="s">
        <v>341</v>
      </c>
      <c r="C89" s="131"/>
      <c r="D89" s="131"/>
      <c r="E89" s="131"/>
      <c r="F89" s="131"/>
      <c r="G89" s="147" t="str">
        <f>"Line "&amp;A84&amp;""</f>
        <v>Line 38</v>
      </c>
      <c r="H89" s="178">
        <f>H84</f>
        <v>-1886128.5676365194</v>
      </c>
      <c r="I89" s="131"/>
      <c r="J89" s="131"/>
      <c r="K89" s="157"/>
      <c r="L89" s="131"/>
      <c r="M89" s="87"/>
    </row>
    <row r="90" spans="1:13" ht="13" x14ac:dyDescent="0.3">
      <c r="A90" s="79">
        <f>A89+1</f>
        <v>41</v>
      </c>
      <c r="B90" s="77" t="s">
        <v>342</v>
      </c>
      <c r="C90" s="131"/>
      <c r="D90" s="131"/>
      <c r="E90" s="131"/>
      <c r="F90" s="131"/>
      <c r="G90" s="147" t="s">
        <v>418</v>
      </c>
      <c r="H90" s="96">
        <v>-10704879.928706184</v>
      </c>
      <c r="I90" s="131"/>
      <c r="J90" s="131"/>
      <c r="K90" s="157"/>
      <c r="L90" s="131"/>
      <c r="M90" s="87"/>
    </row>
    <row r="91" spans="1:13" ht="13" x14ac:dyDescent="0.3">
      <c r="A91" s="79">
        <f t="shared" ref="A91:A94" si="2">A90+1</f>
        <v>42</v>
      </c>
      <c r="B91" s="77" t="s">
        <v>343</v>
      </c>
      <c r="C91" s="131"/>
      <c r="D91" s="131"/>
      <c r="E91" s="131"/>
      <c r="F91" s="131"/>
      <c r="G91" s="147" t="s">
        <v>413</v>
      </c>
      <c r="H91" s="159">
        <v>-550525.87584701669</v>
      </c>
      <c r="I91" s="131"/>
      <c r="J91" s="131"/>
      <c r="K91" s="158"/>
      <c r="L91" s="131"/>
      <c r="M91" s="87"/>
    </row>
    <row r="92" spans="1:13" ht="13" x14ac:dyDescent="0.3">
      <c r="A92" s="79">
        <f t="shared" si="2"/>
        <v>43</v>
      </c>
      <c r="B92" s="77" t="s">
        <v>344</v>
      </c>
      <c r="C92" s="131"/>
      <c r="D92" s="131"/>
      <c r="E92" s="131"/>
      <c r="F92" s="131"/>
      <c r="G92" s="89" t="str">
        <f>"Sum Line "&amp;A88&amp;" to Line "&amp;A91&amp;""</f>
        <v>Sum Line 39 to Line 42</v>
      </c>
      <c r="H92" s="178">
        <f>SUM(H88:H91)</f>
        <v>-13227176.995843178</v>
      </c>
      <c r="I92" s="131"/>
      <c r="J92" s="131"/>
      <c r="K92" s="157"/>
      <c r="L92" s="131"/>
      <c r="M92" s="87"/>
    </row>
    <row r="93" spans="1:13" ht="13" x14ac:dyDescent="0.3">
      <c r="A93" s="79">
        <f t="shared" si="2"/>
        <v>44</v>
      </c>
      <c r="B93" s="77" t="s">
        <v>345</v>
      </c>
      <c r="C93" s="131"/>
      <c r="D93" s="131"/>
      <c r="E93" s="131"/>
      <c r="F93" s="131"/>
      <c r="H93" s="181">
        <v>-18464.812291290429</v>
      </c>
      <c r="I93" s="147" t="s">
        <v>211</v>
      </c>
      <c r="J93" s="131"/>
      <c r="K93" s="158"/>
      <c r="L93" s="131"/>
      <c r="M93" s="87"/>
    </row>
    <row r="94" spans="1:13" ht="13" x14ac:dyDescent="0.3">
      <c r="A94" s="79">
        <f t="shared" si="2"/>
        <v>45</v>
      </c>
      <c r="B94" s="77" t="s">
        <v>346</v>
      </c>
      <c r="C94" s="131"/>
      <c r="D94" s="131"/>
      <c r="E94" s="131"/>
      <c r="F94" s="131"/>
      <c r="G94" s="89" t="str">
        <f>"Line "&amp;A92&amp;" + Line "&amp;A93&amp;""</f>
        <v>Line 43 + Line 44</v>
      </c>
      <c r="H94" s="178">
        <f>H92+H93</f>
        <v>-13245641.808134468</v>
      </c>
      <c r="I94" s="131"/>
      <c r="J94" s="131"/>
      <c r="K94" s="157"/>
      <c r="L94" s="131"/>
      <c r="M94" s="87"/>
    </row>
    <row r="95" spans="1:13" ht="12.5" x14ac:dyDescent="0.25">
      <c r="A95" s="131"/>
      <c r="C95" s="131"/>
      <c r="D95" s="131"/>
      <c r="E95" s="131"/>
      <c r="F95" s="131"/>
      <c r="G95" s="131"/>
      <c r="H95" s="131"/>
      <c r="I95" s="131"/>
      <c r="J95" s="131"/>
      <c r="K95" s="130"/>
      <c r="L95" s="131"/>
    </row>
    <row r="96" spans="1:13" ht="13" x14ac:dyDescent="0.3">
      <c r="A96" s="131"/>
      <c r="B96" s="144" t="s">
        <v>347</v>
      </c>
      <c r="C96" s="131"/>
      <c r="D96" s="131"/>
      <c r="E96" s="131"/>
      <c r="F96" s="131"/>
      <c r="G96" s="131"/>
      <c r="H96" s="131"/>
      <c r="I96" s="131"/>
      <c r="J96" s="131"/>
      <c r="K96" s="130"/>
      <c r="L96" s="131"/>
    </row>
    <row r="97" spans="1:12" ht="12.5" x14ac:dyDescent="0.25">
      <c r="A97" s="131"/>
      <c r="B97" s="131" t="s">
        <v>348</v>
      </c>
      <c r="C97" s="131"/>
      <c r="D97" s="131"/>
      <c r="E97" s="131"/>
      <c r="F97" s="131"/>
      <c r="G97" s="131"/>
      <c r="H97" s="131"/>
      <c r="I97" s="131"/>
      <c r="J97" s="131"/>
      <c r="K97" s="130"/>
      <c r="L97" s="131"/>
    </row>
    <row r="98" spans="1:12" x14ac:dyDescent="0.35">
      <c r="A98" s="131"/>
      <c r="B98" s="131" t="s">
        <v>349</v>
      </c>
      <c r="C98" s="131"/>
      <c r="D98" s="131"/>
      <c r="E98" s="131"/>
      <c r="F98" s="131"/>
      <c r="G98" s="131"/>
      <c r="H98" s="131"/>
      <c r="I98" s="131"/>
      <c r="J98" s="131"/>
      <c r="L98" s="131"/>
    </row>
    <row r="99" spans="1:12" x14ac:dyDescent="0.35">
      <c r="A99" s="131"/>
      <c r="B99" s="131" t="str">
        <f>"2) Input Prior Year for this Informational Filing in Line "&amp;A43&amp;"."</f>
        <v>2) Input Prior Year for this Informational Filing in Line 13.</v>
      </c>
      <c r="I99" s="131"/>
      <c r="J99" s="131"/>
      <c r="L99" s="131"/>
    </row>
    <row r="100" spans="1:12" ht="12.5" x14ac:dyDescent="0.25">
      <c r="A100" s="131"/>
      <c r="B100" s="131" t="str">
        <f>"3) Calculation: (Line "&amp;A35&amp;", "&amp;H26&amp;") + ((Line "&amp;A35&amp;", "&amp;I26&amp;") * (Line "&amp;A43&amp;" - 2010))."</f>
        <v>3) Calculation: (Line 11, Col 1) + ((Line 11, Col 2) * (Line 13 - 2010)).</v>
      </c>
      <c r="I100" s="131"/>
      <c r="J100" s="131"/>
      <c r="K100" s="130"/>
      <c r="L100" s="131"/>
    </row>
    <row r="101" spans="1:12" ht="12.5" x14ac:dyDescent="0.25">
      <c r="A101" s="131"/>
      <c r="B101" s="131" t="s">
        <v>410</v>
      </c>
      <c r="C101" s="131"/>
      <c r="D101" s="131"/>
      <c r="E101" s="131"/>
      <c r="F101" s="131"/>
      <c r="G101" s="131"/>
      <c r="H101" s="131"/>
      <c r="I101" s="131"/>
      <c r="J101" s="131"/>
      <c r="K101" s="130"/>
      <c r="L101" s="131"/>
    </row>
    <row r="102" spans="1:12" ht="12.5" x14ac:dyDescent="0.25">
      <c r="A102" s="131"/>
      <c r="B102" s="131" t="str">
        <f>"times Line "&amp;A88&amp;" + "&amp;A89&amp;"."</f>
        <v>times Line 39 + 40.</v>
      </c>
      <c r="C102" s="131"/>
      <c r="D102" s="131"/>
      <c r="E102" s="131"/>
      <c r="F102" s="131"/>
      <c r="G102" s="131"/>
      <c r="H102" s="131"/>
      <c r="I102" s="131"/>
      <c r="J102" s="131"/>
      <c r="K102" s="130"/>
      <c r="L102" s="131"/>
    </row>
    <row r="103" spans="1:12" ht="13" x14ac:dyDescent="0.3">
      <c r="A103" s="131"/>
      <c r="B103" s="131" t="s">
        <v>350</v>
      </c>
      <c r="C103" s="131"/>
      <c r="D103" s="131"/>
      <c r="E103" s="131"/>
      <c r="F103" s="131"/>
      <c r="G103" s="182"/>
      <c r="H103" s="131"/>
      <c r="I103" s="131"/>
      <c r="J103" s="131"/>
      <c r="K103" s="130"/>
      <c r="L103" s="131"/>
    </row>
    <row r="104" spans="1:12" ht="12.5" x14ac:dyDescent="0.25">
      <c r="A104" s="131"/>
      <c r="B104" s="77" t="s">
        <v>351</v>
      </c>
      <c r="C104" s="131"/>
      <c r="D104" s="131"/>
      <c r="E104" s="131"/>
      <c r="F104" s="131"/>
      <c r="G104" s="131"/>
      <c r="H104" s="131"/>
      <c r="I104" s="131"/>
      <c r="J104" s="131"/>
      <c r="K104" s="130"/>
      <c r="L104" s="131"/>
    </row>
    <row r="105" spans="1:12" ht="12.5" x14ac:dyDescent="0.25">
      <c r="A105" s="131"/>
      <c r="B105" s="131"/>
      <c r="C105" s="131"/>
      <c r="D105" s="131"/>
      <c r="E105" s="131"/>
      <c r="F105" s="131"/>
      <c r="G105" s="131"/>
      <c r="H105" s="131"/>
      <c r="I105" s="131"/>
      <c r="J105" s="131"/>
      <c r="K105" s="130"/>
      <c r="L105" s="131"/>
    </row>
    <row r="106" spans="1:12" ht="12.5" x14ac:dyDescent="0.25">
      <c r="A106" s="131"/>
      <c r="B106" s="131"/>
      <c r="C106" s="131"/>
      <c r="D106" s="131"/>
      <c r="E106" s="131"/>
      <c r="F106" s="131"/>
      <c r="G106" s="131"/>
      <c r="H106" s="131"/>
      <c r="I106" s="131"/>
      <c r="J106" s="131"/>
      <c r="K106" s="130"/>
      <c r="L106" s="131"/>
    </row>
    <row r="107" spans="1:12" ht="12.5" x14ac:dyDescent="0.25">
      <c r="A107" s="131"/>
      <c r="B107" s="131"/>
      <c r="C107" s="131"/>
      <c r="D107" s="131"/>
      <c r="E107" s="131"/>
      <c r="F107" s="131"/>
      <c r="G107" s="131"/>
      <c r="H107" s="131"/>
      <c r="I107" s="131"/>
      <c r="J107" s="131"/>
      <c r="K107" s="130"/>
      <c r="L107" s="131"/>
    </row>
    <row r="108" spans="1:12" ht="12.5" x14ac:dyDescent="0.25">
      <c r="A108" s="131"/>
      <c r="B108" s="131"/>
      <c r="C108" s="131"/>
      <c r="D108" s="131"/>
      <c r="E108" s="131"/>
      <c r="F108" s="131"/>
      <c r="G108" s="131"/>
      <c r="H108" s="131"/>
      <c r="I108" s="131"/>
      <c r="J108" s="131"/>
      <c r="K108" s="130"/>
      <c r="L108" s="131"/>
    </row>
    <row r="109" spans="1:12" ht="12.5" x14ac:dyDescent="0.25">
      <c r="A109" s="131"/>
      <c r="B109" s="131"/>
      <c r="C109" s="131"/>
      <c r="D109" s="131"/>
      <c r="E109" s="131"/>
      <c r="F109" s="131"/>
      <c r="G109" s="131"/>
      <c r="H109" s="131"/>
      <c r="I109" s="131"/>
      <c r="J109" s="131"/>
      <c r="K109" s="130"/>
      <c r="L109" s="131"/>
    </row>
    <row r="110" spans="1:12" ht="12.5" x14ac:dyDescent="0.25">
      <c r="A110" s="131"/>
      <c r="B110" s="131"/>
      <c r="C110" s="131"/>
      <c r="D110" s="131"/>
      <c r="E110" s="131"/>
      <c r="F110" s="131"/>
      <c r="G110" s="131"/>
      <c r="H110" s="131"/>
      <c r="I110" s="131"/>
      <c r="J110" s="131"/>
      <c r="K110" s="130"/>
      <c r="L110" s="131"/>
    </row>
    <row r="111" spans="1:12" ht="12.5" x14ac:dyDescent="0.25">
      <c r="A111" s="131"/>
      <c r="B111" s="131"/>
      <c r="C111" s="131"/>
      <c r="D111" s="131"/>
      <c r="E111" s="131"/>
      <c r="F111" s="131"/>
      <c r="G111" s="131"/>
      <c r="H111" s="131"/>
      <c r="I111" s="131"/>
      <c r="J111" s="131"/>
      <c r="K111" s="130"/>
      <c r="L111" s="131"/>
    </row>
    <row r="112" spans="1:12" ht="12.5" x14ac:dyDescent="0.25">
      <c r="A112" s="131"/>
      <c r="B112" s="131"/>
      <c r="C112" s="131"/>
      <c r="D112" s="131"/>
      <c r="E112" s="131"/>
      <c r="F112" s="131"/>
      <c r="G112" s="131"/>
      <c r="H112" s="131"/>
      <c r="I112" s="131"/>
      <c r="J112" s="131"/>
      <c r="K112" s="130"/>
      <c r="L112" s="131"/>
    </row>
    <row r="113" spans="1:12" ht="12.5" x14ac:dyDescent="0.25">
      <c r="A113" s="131"/>
      <c r="B113" s="131"/>
      <c r="C113" s="131"/>
      <c r="D113" s="131"/>
      <c r="E113" s="131"/>
      <c r="F113" s="131"/>
      <c r="G113" s="131"/>
      <c r="H113" s="131"/>
      <c r="I113" s="131"/>
      <c r="J113" s="131"/>
      <c r="K113" s="130"/>
      <c r="L113" s="131"/>
    </row>
    <row r="114" spans="1:12" ht="12.5" x14ac:dyDescent="0.25">
      <c r="A114" s="131"/>
      <c r="B114" s="131"/>
      <c r="C114" s="131"/>
      <c r="D114" s="131"/>
      <c r="E114" s="131"/>
      <c r="F114" s="131"/>
      <c r="G114" s="131"/>
      <c r="H114" s="131"/>
      <c r="I114" s="131"/>
      <c r="J114" s="131"/>
      <c r="K114" s="130"/>
      <c r="L114" s="131"/>
    </row>
    <row r="115" spans="1:12" ht="12.5" x14ac:dyDescent="0.25">
      <c r="A115" s="131"/>
      <c r="B115" s="131"/>
      <c r="C115" s="131"/>
      <c r="D115" s="131"/>
      <c r="E115" s="131"/>
      <c r="F115" s="131"/>
      <c r="G115" s="131"/>
      <c r="H115" s="131"/>
      <c r="I115" s="131"/>
      <c r="J115" s="131"/>
      <c r="K115" s="130"/>
      <c r="L115" s="131"/>
    </row>
    <row r="116" spans="1:12" ht="12.5" x14ac:dyDescent="0.25">
      <c r="A116" s="131"/>
      <c r="B116" s="131"/>
      <c r="C116" s="131"/>
      <c r="D116" s="131"/>
      <c r="E116" s="131"/>
      <c r="F116" s="131"/>
      <c r="G116" s="131"/>
      <c r="H116" s="131"/>
      <c r="I116" s="131"/>
      <c r="J116" s="131"/>
      <c r="K116" s="130"/>
      <c r="L116" s="131"/>
    </row>
    <row r="117" spans="1:12" ht="12.5" x14ac:dyDescent="0.25">
      <c r="A117" s="131"/>
      <c r="B117" s="131"/>
      <c r="C117" s="131"/>
      <c r="D117" s="131"/>
      <c r="E117" s="131"/>
      <c r="F117" s="131"/>
      <c r="G117" s="131"/>
      <c r="H117" s="131"/>
      <c r="I117" s="131"/>
      <c r="J117" s="131"/>
      <c r="K117" s="130"/>
      <c r="L117" s="131"/>
    </row>
    <row r="118" spans="1:12" ht="12.5" x14ac:dyDescent="0.25">
      <c r="A118" s="131"/>
      <c r="B118" s="131"/>
      <c r="C118" s="131"/>
      <c r="D118" s="131"/>
      <c r="E118" s="131"/>
      <c r="F118" s="131"/>
      <c r="G118" s="131"/>
      <c r="H118" s="131"/>
      <c r="I118" s="131"/>
      <c r="J118" s="131"/>
      <c r="K118" s="130"/>
      <c r="L118" s="131"/>
    </row>
    <row r="119" spans="1:12" ht="12.5" x14ac:dyDescent="0.25">
      <c r="A119" s="131"/>
      <c r="B119" s="131"/>
      <c r="C119" s="131"/>
      <c r="D119" s="131"/>
      <c r="E119" s="131"/>
      <c r="F119" s="131"/>
      <c r="G119" s="131"/>
      <c r="H119" s="131"/>
      <c r="I119" s="131"/>
      <c r="J119" s="131"/>
      <c r="K119" s="130"/>
      <c r="L119" s="131"/>
    </row>
    <row r="120" spans="1:12" ht="12.5" x14ac:dyDescent="0.25">
      <c r="A120" s="131"/>
      <c r="B120" s="131"/>
      <c r="C120" s="131"/>
      <c r="D120" s="131"/>
      <c r="E120" s="131"/>
      <c r="F120" s="131"/>
      <c r="G120" s="131"/>
      <c r="H120" s="131"/>
      <c r="I120" s="131"/>
      <c r="J120" s="131"/>
      <c r="K120" s="130"/>
      <c r="L120" s="131"/>
    </row>
    <row r="121" spans="1:12" ht="12.5" x14ac:dyDescent="0.25">
      <c r="A121" s="131"/>
      <c r="B121" s="131"/>
      <c r="C121" s="131"/>
      <c r="D121" s="131"/>
      <c r="E121" s="131"/>
      <c r="F121" s="131"/>
      <c r="G121" s="131"/>
      <c r="H121" s="131"/>
      <c r="I121" s="131"/>
      <c r="J121" s="131"/>
      <c r="K121" s="130"/>
      <c r="L121" s="131"/>
    </row>
    <row r="122" spans="1:12" ht="12.5" x14ac:dyDescent="0.25">
      <c r="A122" s="131"/>
      <c r="B122" s="131"/>
      <c r="C122" s="131"/>
      <c r="D122" s="131"/>
      <c r="E122" s="131"/>
      <c r="F122" s="131"/>
      <c r="G122" s="131"/>
      <c r="H122" s="131"/>
      <c r="I122" s="131"/>
      <c r="J122" s="131"/>
      <c r="K122" s="130"/>
      <c r="L122" s="131"/>
    </row>
    <row r="123" spans="1:12" ht="12.5" x14ac:dyDescent="0.25">
      <c r="A123" s="131"/>
      <c r="B123" s="131"/>
      <c r="C123" s="131"/>
      <c r="D123" s="131"/>
      <c r="E123" s="131"/>
      <c r="F123" s="131"/>
      <c r="G123" s="131"/>
      <c r="H123" s="131"/>
      <c r="I123" s="131"/>
      <c r="J123" s="131"/>
      <c r="K123" s="130"/>
      <c r="L123" s="131"/>
    </row>
    <row r="124" spans="1:12" ht="12.5" x14ac:dyDescent="0.25">
      <c r="A124" s="131"/>
      <c r="B124" s="131"/>
      <c r="C124" s="131"/>
      <c r="D124" s="131"/>
      <c r="E124" s="131"/>
      <c r="F124" s="131"/>
      <c r="G124" s="131"/>
      <c r="H124" s="131"/>
      <c r="I124" s="131"/>
      <c r="J124" s="131"/>
      <c r="K124" s="130"/>
      <c r="L124" s="131"/>
    </row>
    <row r="125" spans="1:12" ht="12.5" x14ac:dyDescent="0.25">
      <c r="A125" s="131"/>
      <c r="B125" s="131"/>
      <c r="C125" s="131"/>
      <c r="D125" s="131"/>
      <c r="E125" s="131"/>
      <c r="F125" s="131"/>
      <c r="G125" s="131"/>
      <c r="H125" s="131"/>
      <c r="I125" s="131"/>
      <c r="J125" s="131"/>
      <c r="K125" s="130"/>
      <c r="L125" s="131"/>
    </row>
    <row r="126" spans="1:12" ht="12.5" x14ac:dyDescent="0.25">
      <c r="A126" s="131"/>
      <c r="B126" s="131"/>
      <c r="C126" s="131"/>
      <c r="D126" s="131"/>
      <c r="E126" s="131"/>
      <c r="F126" s="131"/>
      <c r="G126" s="131"/>
      <c r="H126" s="131"/>
      <c r="I126" s="131"/>
      <c r="J126" s="131"/>
      <c r="K126" s="130"/>
      <c r="L126" s="131"/>
    </row>
    <row r="127" spans="1:12" ht="12.5" x14ac:dyDescent="0.25">
      <c r="A127" s="131"/>
      <c r="B127" s="131"/>
      <c r="C127" s="131"/>
      <c r="D127" s="131"/>
      <c r="E127" s="131"/>
      <c r="F127" s="131"/>
      <c r="G127" s="131"/>
      <c r="H127" s="131"/>
      <c r="I127" s="131"/>
      <c r="J127" s="131"/>
      <c r="K127" s="130"/>
      <c r="L127" s="131"/>
    </row>
    <row r="128" spans="1:12" ht="12.5" x14ac:dyDescent="0.25">
      <c r="A128" s="131"/>
      <c r="B128" s="131"/>
      <c r="C128" s="131"/>
      <c r="D128" s="131"/>
      <c r="E128" s="131"/>
      <c r="F128" s="131"/>
      <c r="G128" s="131"/>
      <c r="H128" s="131"/>
      <c r="I128" s="131"/>
      <c r="J128" s="131"/>
      <c r="K128" s="130"/>
      <c r="L128" s="131"/>
    </row>
    <row r="129" spans="1:12" ht="12.5" x14ac:dyDescent="0.25">
      <c r="A129" s="131"/>
      <c r="B129" s="131"/>
      <c r="C129" s="131"/>
      <c r="D129" s="131"/>
      <c r="E129" s="131"/>
      <c r="F129" s="131"/>
      <c r="G129" s="131"/>
      <c r="H129" s="131"/>
      <c r="I129" s="131"/>
      <c r="J129" s="131"/>
      <c r="K129" s="130"/>
      <c r="L129" s="131"/>
    </row>
    <row r="130" spans="1:12" ht="12.5" x14ac:dyDescent="0.25">
      <c r="A130" s="131"/>
      <c r="B130" s="131"/>
      <c r="C130" s="131"/>
      <c r="D130" s="131"/>
      <c r="E130" s="131"/>
      <c r="F130" s="131"/>
      <c r="G130" s="131"/>
      <c r="H130" s="131"/>
      <c r="I130" s="131"/>
      <c r="J130" s="131"/>
      <c r="K130" s="130"/>
      <c r="L130" s="131"/>
    </row>
    <row r="131" spans="1:12" ht="12.5" x14ac:dyDescent="0.25">
      <c r="A131" s="131"/>
      <c r="B131" s="131"/>
      <c r="C131" s="131"/>
      <c r="D131" s="131"/>
      <c r="E131" s="131"/>
      <c r="F131" s="131"/>
      <c r="G131" s="131"/>
      <c r="H131" s="131"/>
      <c r="I131" s="131"/>
      <c r="J131" s="131"/>
      <c r="K131" s="130"/>
      <c r="L131" s="131"/>
    </row>
    <row r="132" spans="1:12" ht="12.5" x14ac:dyDescent="0.25">
      <c r="A132" s="131"/>
      <c r="B132" s="131"/>
      <c r="C132" s="131"/>
      <c r="D132" s="131"/>
      <c r="E132" s="131"/>
      <c r="F132" s="131"/>
      <c r="G132" s="131"/>
      <c r="H132" s="131"/>
      <c r="I132" s="131"/>
      <c r="J132" s="131"/>
      <c r="K132" s="130"/>
      <c r="L132" s="131"/>
    </row>
    <row r="133" spans="1:12" ht="12.5" x14ac:dyDescent="0.25">
      <c r="A133" s="131"/>
      <c r="B133" s="131"/>
      <c r="C133" s="131"/>
      <c r="D133" s="131"/>
      <c r="E133" s="131"/>
      <c r="F133" s="131"/>
      <c r="G133" s="131"/>
      <c r="H133" s="131"/>
      <c r="I133" s="131"/>
      <c r="J133" s="131"/>
      <c r="K133" s="130"/>
      <c r="L133" s="131"/>
    </row>
    <row r="134" spans="1:12" ht="12.5" x14ac:dyDescent="0.25">
      <c r="A134" s="131"/>
      <c r="B134" s="131"/>
      <c r="C134" s="131"/>
      <c r="D134" s="131"/>
      <c r="E134" s="131"/>
      <c r="F134" s="131"/>
      <c r="G134" s="131"/>
      <c r="H134" s="131"/>
      <c r="I134" s="131"/>
      <c r="J134" s="131"/>
      <c r="K134" s="130"/>
      <c r="L134" s="131"/>
    </row>
    <row r="135" spans="1:12" ht="12.5" x14ac:dyDescent="0.25">
      <c r="A135" s="131"/>
      <c r="B135" s="131"/>
      <c r="C135" s="131"/>
      <c r="D135" s="131"/>
      <c r="E135" s="131"/>
      <c r="F135" s="131"/>
      <c r="G135" s="131"/>
      <c r="H135" s="131"/>
      <c r="I135" s="131"/>
      <c r="J135" s="131"/>
      <c r="K135" s="130"/>
      <c r="L135" s="131"/>
    </row>
    <row r="136" spans="1:12" ht="12.5" x14ac:dyDescent="0.25">
      <c r="A136" s="131"/>
      <c r="B136" s="131"/>
      <c r="C136" s="131"/>
      <c r="D136" s="131"/>
      <c r="E136" s="131"/>
      <c r="F136" s="131"/>
      <c r="G136" s="131"/>
      <c r="H136" s="131"/>
      <c r="I136" s="131"/>
      <c r="J136" s="131"/>
      <c r="K136" s="130"/>
      <c r="L136" s="131"/>
    </row>
    <row r="137" spans="1:12" ht="12.5" x14ac:dyDescent="0.25">
      <c r="A137" s="131"/>
      <c r="B137" s="131"/>
      <c r="C137" s="131"/>
      <c r="D137" s="131"/>
      <c r="E137" s="131"/>
      <c r="F137" s="131"/>
      <c r="G137" s="131"/>
      <c r="H137" s="131"/>
      <c r="I137" s="131"/>
      <c r="J137" s="131"/>
      <c r="K137" s="130"/>
      <c r="L137" s="131"/>
    </row>
    <row r="138" spans="1:12" ht="12.5" x14ac:dyDescent="0.25">
      <c r="A138" s="131"/>
      <c r="B138" s="131"/>
      <c r="C138" s="131"/>
      <c r="D138" s="131"/>
      <c r="E138" s="131"/>
      <c r="F138" s="131"/>
      <c r="G138" s="131"/>
      <c r="H138" s="131"/>
      <c r="I138" s="131"/>
      <c r="J138" s="131"/>
      <c r="K138" s="130"/>
      <c r="L138" s="131"/>
    </row>
    <row r="139" spans="1:12" ht="12.5" x14ac:dyDescent="0.25">
      <c r="A139" s="131"/>
      <c r="B139" s="131"/>
      <c r="C139" s="131"/>
      <c r="D139" s="131"/>
      <c r="E139" s="131"/>
      <c r="F139" s="131"/>
      <c r="G139" s="131"/>
      <c r="H139" s="131"/>
      <c r="I139" s="131"/>
      <c r="J139" s="131"/>
      <c r="K139" s="130"/>
      <c r="L139" s="131"/>
    </row>
    <row r="140" spans="1:12" ht="12.5" x14ac:dyDescent="0.25">
      <c r="A140" s="131"/>
      <c r="B140" s="131"/>
      <c r="C140" s="131"/>
      <c r="D140" s="131"/>
      <c r="E140" s="131"/>
      <c r="F140" s="131"/>
      <c r="G140" s="131"/>
      <c r="H140" s="131"/>
      <c r="I140" s="131"/>
      <c r="J140" s="131"/>
      <c r="K140" s="130"/>
      <c r="L140" s="131"/>
    </row>
    <row r="141" spans="1:12" ht="12.5" x14ac:dyDescent="0.25">
      <c r="A141" s="131"/>
      <c r="B141" s="131"/>
      <c r="C141" s="131"/>
      <c r="D141" s="131"/>
      <c r="E141" s="131"/>
      <c r="F141" s="131"/>
      <c r="G141" s="131"/>
      <c r="H141" s="131"/>
      <c r="I141" s="131"/>
      <c r="J141" s="131"/>
      <c r="K141" s="130"/>
      <c r="L141" s="131"/>
    </row>
    <row r="142" spans="1:12" ht="12.5" x14ac:dyDescent="0.25">
      <c r="A142" s="131"/>
      <c r="B142" s="131"/>
      <c r="C142" s="131"/>
      <c r="D142" s="131"/>
      <c r="E142" s="131"/>
      <c r="F142" s="131"/>
      <c r="G142" s="131"/>
      <c r="H142" s="131"/>
      <c r="I142" s="131"/>
      <c r="J142" s="131"/>
      <c r="K142" s="130"/>
      <c r="L142" s="131"/>
    </row>
    <row r="143" spans="1:12" ht="12.5" x14ac:dyDescent="0.25">
      <c r="A143" s="131"/>
      <c r="B143" s="131"/>
      <c r="C143" s="131"/>
      <c r="D143" s="131"/>
      <c r="E143" s="131"/>
      <c r="F143" s="131"/>
      <c r="G143" s="131"/>
      <c r="H143" s="131"/>
      <c r="I143" s="131"/>
      <c r="J143" s="131"/>
      <c r="K143" s="130"/>
      <c r="L143" s="131"/>
    </row>
    <row r="144" spans="1:12" ht="12.5" x14ac:dyDescent="0.25">
      <c r="A144" s="131"/>
      <c r="B144" s="131"/>
      <c r="C144" s="131"/>
      <c r="D144" s="131"/>
      <c r="E144" s="131"/>
      <c r="F144" s="131"/>
      <c r="G144" s="131"/>
      <c r="H144" s="131"/>
      <c r="I144" s="131"/>
      <c r="J144" s="131"/>
      <c r="K144" s="130"/>
      <c r="L144" s="131"/>
    </row>
    <row r="145" spans="1:12" ht="12.5" x14ac:dyDescent="0.25">
      <c r="A145" s="131"/>
      <c r="B145" s="131"/>
      <c r="C145" s="131"/>
      <c r="D145" s="131"/>
      <c r="E145" s="131"/>
      <c r="F145" s="131"/>
      <c r="G145" s="131"/>
      <c r="H145" s="131"/>
      <c r="I145" s="131"/>
      <c r="J145" s="131"/>
      <c r="K145" s="130"/>
      <c r="L145" s="131"/>
    </row>
    <row r="146" spans="1:12" ht="12.5" x14ac:dyDescent="0.25">
      <c r="A146" s="131"/>
      <c r="B146" s="131"/>
      <c r="C146" s="131"/>
      <c r="D146" s="131"/>
      <c r="E146" s="131"/>
      <c r="F146" s="131"/>
      <c r="G146" s="131"/>
      <c r="H146" s="131"/>
      <c r="I146" s="131"/>
      <c r="J146" s="131"/>
      <c r="K146" s="130"/>
      <c r="L146" s="131"/>
    </row>
    <row r="147" spans="1:12" ht="12.5" x14ac:dyDescent="0.25">
      <c r="A147" s="131"/>
      <c r="B147" s="131"/>
      <c r="C147" s="131"/>
      <c r="D147" s="131"/>
      <c r="E147" s="131"/>
      <c r="F147" s="131"/>
      <c r="G147" s="131"/>
      <c r="H147" s="131"/>
      <c r="I147" s="131"/>
      <c r="J147" s="131"/>
      <c r="K147" s="130"/>
      <c r="L147" s="131"/>
    </row>
    <row r="148" spans="1:12" ht="12.5" x14ac:dyDescent="0.25">
      <c r="A148" s="131"/>
      <c r="B148" s="131"/>
      <c r="C148" s="131"/>
      <c r="D148" s="131"/>
      <c r="E148" s="131"/>
      <c r="F148" s="131"/>
      <c r="G148" s="131"/>
      <c r="H148" s="131"/>
      <c r="I148" s="131"/>
      <c r="J148" s="131"/>
      <c r="K148" s="130"/>
      <c r="L148" s="131"/>
    </row>
    <row r="149" spans="1:12" ht="12.5" x14ac:dyDescent="0.25">
      <c r="A149" s="131"/>
      <c r="B149" s="131"/>
      <c r="C149" s="131"/>
      <c r="D149" s="131"/>
      <c r="E149" s="131"/>
      <c r="F149" s="131"/>
      <c r="G149" s="131"/>
      <c r="H149" s="131"/>
      <c r="I149" s="131"/>
      <c r="J149" s="131"/>
      <c r="K149" s="130"/>
      <c r="L149" s="131"/>
    </row>
    <row r="150" spans="1:12" ht="12.5" x14ac:dyDescent="0.25">
      <c r="A150" s="131"/>
      <c r="B150" s="131"/>
      <c r="C150" s="131"/>
      <c r="D150" s="131"/>
      <c r="E150" s="131"/>
      <c r="F150" s="131"/>
      <c r="G150" s="131"/>
      <c r="H150" s="131"/>
      <c r="I150" s="131"/>
      <c r="J150" s="131"/>
      <c r="K150" s="130"/>
      <c r="L150" s="131"/>
    </row>
    <row r="151" spans="1:12" ht="12.5" x14ac:dyDescent="0.25">
      <c r="A151" s="131"/>
      <c r="B151" s="131"/>
      <c r="C151" s="131"/>
      <c r="D151" s="131"/>
      <c r="E151" s="131"/>
      <c r="F151" s="131"/>
      <c r="G151" s="131"/>
      <c r="H151" s="131"/>
      <c r="I151" s="131"/>
      <c r="J151" s="131"/>
      <c r="K151" s="130"/>
      <c r="L151" s="131"/>
    </row>
    <row r="152" spans="1:12" ht="12.5" x14ac:dyDescent="0.25">
      <c r="A152" s="131"/>
      <c r="B152" s="131"/>
      <c r="C152" s="131"/>
      <c r="D152" s="131"/>
      <c r="E152" s="131"/>
      <c r="F152" s="131"/>
      <c r="G152" s="131"/>
      <c r="H152" s="131"/>
      <c r="I152" s="131"/>
      <c r="J152" s="131"/>
      <c r="K152" s="130"/>
      <c r="L152" s="131"/>
    </row>
    <row r="153" spans="1:12" ht="12.5" x14ac:dyDescent="0.25">
      <c r="A153" s="131"/>
      <c r="B153" s="131"/>
      <c r="C153" s="131"/>
      <c r="D153" s="131"/>
      <c r="E153" s="131"/>
      <c r="F153" s="131"/>
      <c r="G153" s="131"/>
      <c r="H153" s="131"/>
      <c r="I153" s="131"/>
      <c r="J153" s="131"/>
      <c r="K153" s="130"/>
      <c r="L153" s="131"/>
    </row>
    <row r="154" spans="1:12" x14ac:dyDescent="0.35">
      <c r="A154" s="131"/>
      <c r="B154" s="131"/>
      <c r="C154" s="131"/>
      <c r="D154" s="131"/>
      <c r="E154" s="131"/>
      <c r="F154" s="131"/>
      <c r="G154" s="131"/>
      <c r="H154" s="131"/>
      <c r="I154" s="131"/>
      <c r="J154" s="131"/>
      <c r="L154" s="131"/>
    </row>
  </sheetData>
  <pageMargins left="0.7" right="0.7" top="0.75" bottom="0.75" header="0.3" footer="0.3"/>
  <pageSetup scale="76" fitToHeight="0" orientation="portrait" cellComments="asDisplayed" r:id="rId1"/>
  <headerFooter>
    <oddHeader>&amp;C&amp;10Schedule 25
Wholesale Differences to Base TRR
(Revised 2022 TO2024 True Up TRR)&amp;R&amp;10TO2025 Annual Update
Attachment 4
WP-Schedule 25-EPRI and EEI Prior Period Adj
Page &amp;P of &amp;N</oddHeader>
    <oddFooter>&amp;R&amp;A</oddFooter>
  </headerFooter>
  <rowBreaks count="1" manualBreakCount="1">
    <brk id="68" max="9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11905-3F8A-424B-81A4-706E88A660E0}">
  <dimension ref="A1:L132"/>
  <sheetViews>
    <sheetView view="pageLayout" topLeftCell="A81" zoomScaleNormal="100" zoomScaleSheetLayoutView="100" workbookViewId="0">
      <selection activeCell="C20" sqref="C20"/>
    </sheetView>
  </sheetViews>
  <sheetFormatPr defaultRowHeight="14.5" x14ac:dyDescent="0.35"/>
  <cols>
    <col min="1" max="1" width="4.54296875" customWidth="1"/>
    <col min="2" max="2" width="3.7265625" customWidth="1"/>
    <col min="6" max="6" width="17.7265625" customWidth="1"/>
    <col min="7" max="7" width="23.26953125" customWidth="1"/>
    <col min="8" max="8" width="15.54296875" customWidth="1"/>
    <col min="9" max="9" width="16.54296875" customWidth="1"/>
  </cols>
  <sheetData>
    <row r="1" spans="1:8" x14ac:dyDescent="0.35">
      <c r="A1" s="2" t="s">
        <v>352</v>
      </c>
    </row>
    <row r="2" spans="1:8" x14ac:dyDescent="0.35">
      <c r="B2" t="s">
        <v>353</v>
      </c>
    </row>
    <row r="4" spans="1:8" x14ac:dyDescent="0.35">
      <c r="B4" t="s">
        <v>354</v>
      </c>
    </row>
    <row r="5" spans="1:8" x14ac:dyDescent="0.35">
      <c r="C5" t="s">
        <v>364</v>
      </c>
    </row>
    <row r="6" spans="1:8" x14ac:dyDescent="0.35">
      <c r="C6" t="s">
        <v>365</v>
      </c>
    </row>
    <row r="9" spans="1:8" x14ac:dyDescent="0.35">
      <c r="C9" s="183" t="s">
        <v>242</v>
      </c>
      <c r="G9" s="183" t="s">
        <v>70</v>
      </c>
      <c r="H9" s="183" t="s">
        <v>71</v>
      </c>
    </row>
    <row r="10" spans="1:8" x14ac:dyDescent="0.35">
      <c r="C10" s="184" t="s">
        <v>336</v>
      </c>
      <c r="G10" s="185">
        <f>H77</f>
        <v>2176300</v>
      </c>
      <c r="H10" s="186" t="s">
        <v>355</v>
      </c>
    </row>
    <row r="11" spans="1:8" x14ac:dyDescent="0.35">
      <c r="A11" s="2"/>
      <c r="C11" s="184" t="s">
        <v>305</v>
      </c>
      <c r="G11" s="185">
        <f t="shared" ref="G11:G13" si="0">H78</f>
        <v>-3475597.2250765101</v>
      </c>
      <c r="H11" s="186" t="s">
        <v>356</v>
      </c>
    </row>
    <row r="12" spans="1:8" x14ac:dyDescent="0.35">
      <c r="A12" s="2"/>
      <c r="C12" s="184" t="s">
        <v>306</v>
      </c>
      <c r="G12" s="185">
        <f t="shared" si="0"/>
        <v>-59847.479185296681</v>
      </c>
      <c r="H12" s="186" t="s">
        <v>357</v>
      </c>
    </row>
    <row r="13" spans="1:8" x14ac:dyDescent="0.35">
      <c r="A13" s="2"/>
      <c r="C13" s="184" t="s">
        <v>307</v>
      </c>
      <c r="G13" s="185">
        <f t="shared" si="0"/>
        <v>-511200</v>
      </c>
      <c r="H13" s="186" t="s">
        <v>358</v>
      </c>
    </row>
    <row r="14" spans="1:8" x14ac:dyDescent="0.35">
      <c r="A14" s="2"/>
      <c r="C14" s="184" t="s">
        <v>359</v>
      </c>
      <c r="G14" s="187">
        <f>H44</f>
        <v>-6391.1349328281094</v>
      </c>
      <c r="H14" s="186" t="s">
        <v>360</v>
      </c>
    </row>
    <row r="15" spans="1:8" x14ac:dyDescent="0.35">
      <c r="A15" s="2"/>
      <c r="F15" s="188" t="s">
        <v>361</v>
      </c>
      <c r="G15" s="189">
        <f>SUM(G10:G14)</f>
        <v>-1876735.8391946349</v>
      </c>
      <c r="H15" s="186" t="s">
        <v>362</v>
      </c>
    </row>
    <row r="16" spans="1:8" x14ac:dyDescent="0.35">
      <c r="A16" s="2"/>
      <c r="G16" s="184"/>
    </row>
    <row r="17" spans="1:12" x14ac:dyDescent="0.35">
      <c r="A17" s="2"/>
      <c r="G17" s="184"/>
    </row>
    <row r="18" spans="1:12" ht="18.5" x14ac:dyDescent="0.45">
      <c r="A18" s="190" t="s">
        <v>363</v>
      </c>
      <c r="B18" s="191"/>
      <c r="C18" s="191"/>
      <c r="D18" s="191"/>
      <c r="E18" s="191"/>
      <c r="F18" s="191"/>
      <c r="G18" s="191"/>
      <c r="H18" s="191"/>
      <c r="I18" s="191"/>
    </row>
    <row r="19" spans="1:12" x14ac:dyDescent="0.35">
      <c r="A19" s="130"/>
      <c r="B19" s="130"/>
      <c r="C19" s="184"/>
      <c r="D19" s="130"/>
      <c r="E19" s="130"/>
      <c r="F19" s="130"/>
      <c r="G19" s="130"/>
      <c r="H19" s="130"/>
      <c r="I19" s="130"/>
      <c r="J19" s="130"/>
      <c r="K19" s="130"/>
      <c r="L19" s="130"/>
    </row>
    <row r="20" spans="1:12" x14ac:dyDescent="0.35">
      <c r="A20" s="130"/>
      <c r="B20" s="192" t="s">
        <v>291</v>
      </c>
      <c r="C20" s="193"/>
      <c r="D20" s="130"/>
      <c r="E20" s="130"/>
      <c r="F20" s="130"/>
      <c r="G20" s="130"/>
      <c r="H20" s="130"/>
      <c r="I20" s="130"/>
      <c r="J20" s="130"/>
      <c r="K20" s="130"/>
      <c r="L20" s="130"/>
    </row>
    <row r="21" spans="1:12" x14ac:dyDescent="0.35">
      <c r="A21" s="130"/>
      <c r="B21" s="192"/>
      <c r="C21" s="193"/>
      <c r="D21" s="130"/>
      <c r="E21" s="130"/>
      <c r="F21" s="130"/>
      <c r="G21" s="130"/>
      <c r="H21" s="130"/>
      <c r="I21" s="130"/>
      <c r="J21" s="130"/>
      <c r="K21" s="130"/>
      <c r="L21" s="130"/>
    </row>
    <row r="22" spans="1:12" x14ac:dyDescent="0.35">
      <c r="A22" s="130"/>
      <c r="B22" s="194" t="s">
        <v>292</v>
      </c>
      <c r="C22" s="195"/>
      <c r="D22" s="130"/>
      <c r="E22" s="130"/>
      <c r="F22" s="130"/>
      <c r="G22" s="130"/>
      <c r="H22" s="130"/>
      <c r="I22" s="130"/>
      <c r="J22" s="130"/>
      <c r="K22" s="130"/>
      <c r="L22" s="130"/>
    </row>
    <row r="23" spans="1:12" x14ac:dyDescent="0.35">
      <c r="A23" s="130"/>
      <c r="B23" s="196" t="s">
        <v>293</v>
      </c>
      <c r="C23" s="195"/>
      <c r="D23" s="130"/>
      <c r="E23" s="130"/>
      <c r="F23" s="130"/>
      <c r="G23" s="130"/>
      <c r="H23" s="130"/>
      <c r="I23" s="130"/>
      <c r="J23" s="130"/>
      <c r="K23" s="130"/>
      <c r="L23" s="130"/>
    </row>
    <row r="24" spans="1:12" x14ac:dyDescent="0.35">
      <c r="A24" s="130"/>
      <c r="B24" s="196" t="s">
        <v>294</v>
      </c>
      <c r="C24" s="130"/>
      <c r="D24" s="130"/>
      <c r="E24" s="130"/>
      <c r="F24" s="130"/>
      <c r="G24" s="130"/>
      <c r="H24" s="130"/>
      <c r="I24" s="130"/>
      <c r="J24" s="130"/>
      <c r="K24" s="130"/>
      <c r="L24" s="130"/>
    </row>
    <row r="25" spans="1:12" x14ac:dyDescent="0.35">
      <c r="A25" s="130"/>
      <c r="B25" s="130"/>
      <c r="C25" s="130"/>
      <c r="D25" s="130"/>
      <c r="E25" s="130"/>
      <c r="F25" s="130"/>
      <c r="G25" s="130"/>
      <c r="H25" s="148" t="s">
        <v>295</v>
      </c>
      <c r="I25" s="148" t="s">
        <v>296</v>
      </c>
      <c r="J25" s="130"/>
      <c r="K25" s="130"/>
      <c r="L25" s="130"/>
    </row>
    <row r="26" spans="1:12" x14ac:dyDescent="0.35">
      <c r="A26" s="130"/>
      <c r="B26" s="130"/>
      <c r="C26" s="130"/>
      <c r="D26" s="130"/>
      <c r="E26" s="130"/>
      <c r="F26" s="130"/>
      <c r="G26" s="130"/>
      <c r="H26" s="150" t="s">
        <v>297</v>
      </c>
      <c r="I26" s="130"/>
      <c r="J26" s="130"/>
      <c r="K26" s="130"/>
      <c r="L26" s="130"/>
    </row>
    <row r="27" spans="1:12" x14ac:dyDescent="0.35">
      <c r="A27" s="130"/>
      <c r="B27" s="130"/>
      <c r="C27" s="130"/>
      <c r="D27" s="130"/>
      <c r="E27" s="130"/>
      <c r="F27" s="130"/>
      <c r="G27" s="130"/>
      <c r="H27" s="150" t="s">
        <v>281</v>
      </c>
      <c r="I27" s="136" t="s">
        <v>298</v>
      </c>
      <c r="J27" s="130"/>
      <c r="K27" s="130"/>
      <c r="L27" s="130"/>
    </row>
    <row r="28" spans="1:12" x14ac:dyDescent="0.35">
      <c r="A28" s="130"/>
      <c r="B28" s="130"/>
      <c r="C28" s="130"/>
      <c r="D28" s="130"/>
      <c r="E28" s="130"/>
      <c r="F28" s="130"/>
      <c r="G28" s="197" t="s">
        <v>299</v>
      </c>
      <c r="H28" s="136" t="s">
        <v>300</v>
      </c>
      <c r="I28" s="136" t="s">
        <v>301</v>
      </c>
      <c r="J28" s="130"/>
      <c r="K28" s="130"/>
      <c r="L28" s="130"/>
    </row>
    <row r="29" spans="1:12" x14ac:dyDescent="0.35">
      <c r="A29" s="198" t="s">
        <v>280</v>
      </c>
      <c r="B29" s="130"/>
      <c r="C29" s="130"/>
      <c r="D29" s="130"/>
      <c r="E29" s="130"/>
      <c r="F29" s="130"/>
      <c r="G29" s="199" t="s">
        <v>71</v>
      </c>
      <c r="H29" s="153" t="s">
        <v>302</v>
      </c>
      <c r="I29" s="200" t="s">
        <v>278</v>
      </c>
      <c r="J29" s="139"/>
      <c r="K29" s="130"/>
      <c r="L29" s="130"/>
    </row>
    <row r="30" spans="1:12" x14ac:dyDescent="0.35">
      <c r="A30" s="201">
        <v>7</v>
      </c>
      <c r="B30" s="130"/>
      <c r="C30" s="130" t="s">
        <v>303</v>
      </c>
      <c r="D30" s="130"/>
      <c r="E30" s="130"/>
      <c r="F30" s="130"/>
      <c r="G30" s="202" t="s">
        <v>304</v>
      </c>
      <c r="H30" s="157">
        <v>31556000</v>
      </c>
      <c r="I30" s="157">
        <v>-2176300</v>
      </c>
      <c r="J30" s="130"/>
      <c r="K30" s="130"/>
      <c r="L30" s="130"/>
    </row>
    <row r="31" spans="1:12" x14ac:dyDescent="0.35">
      <c r="A31" s="201">
        <f>A30+1</f>
        <v>8</v>
      </c>
      <c r="B31" s="130"/>
      <c r="C31" s="130" t="s">
        <v>305</v>
      </c>
      <c r="D31" s="130"/>
      <c r="E31" s="130"/>
      <c r="F31" s="130"/>
      <c r="G31" s="202" t="s">
        <v>304</v>
      </c>
      <c r="H31" s="157">
        <v>-35044000</v>
      </c>
      <c r="I31" s="157">
        <v>2503000</v>
      </c>
      <c r="J31" s="130"/>
      <c r="K31" s="130"/>
      <c r="L31" s="130"/>
    </row>
    <row r="32" spans="1:12" x14ac:dyDescent="0.35">
      <c r="A32" s="201">
        <f>A31+1</f>
        <v>9</v>
      </c>
      <c r="B32" s="130"/>
      <c r="C32" s="130" t="s">
        <v>306</v>
      </c>
      <c r="D32" s="130"/>
      <c r="E32" s="130"/>
      <c r="F32" s="130"/>
      <c r="G32" s="202" t="s">
        <v>304</v>
      </c>
      <c r="H32" s="157">
        <v>-624650</v>
      </c>
      <c r="I32" s="157">
        <v>43100</v>
      </c>
      <c r="J32" s="130"/>
      <c r="K32" s="130"/>
      <c r="L32" s="130"/>
    </row>
    <row r="33" spans="1:12" x14ac:dyDescent="0.35">
      <c r="A33" s="201">
        <f>A32+1</f>
        <v>10</v>
      </c>
      <c r="B33" s="130"/>
      <c r="C33" s="130" t="s">
        <v>307</v>
      </c>
      <c r="D33" s="130"/>
      <c r="E33" s="130"/>
      <c r="F33" s="130"/>
      <c r="G33" s="202" t="s">
        <v>304</v>
      </c>
      <c r="H33" s="158">
        <v>-7410000</v>
      </c>
      <c r="I33" s="158">
        <v>511200</v>
      </c>
      <c r="J33" s="130"/>
      <c r="K33" s="130"/>
      <c r="L33" s="130"/>
    </row>
    <row r="34" spans="1:12" x14ac:dyDescent="0.35">
      <c r="A34" s="201">
        <f>A33+1</f>
        <v>11</v>
      </c>
      <c r="B34" s="130"/>
      <c r="C34" s="130"/>
      <c r="D34" s="130"/>
      <c r="E34" s="130"/>
      <c r="G34" s="203" t="s">
        <v>308</v>
      </c>
      <c r="H34" s="157">
        <f>SUM(H30:H33)</f>
        <v>-11522650</v>
      </c>
      <c r="I34" s="157">
        <f>SUM(I30:I33)</f>
        <v>881000</v>
      </c>
      <c r="J34" s="130"/>
      <c r="K34" s="130"/>
      <c r="L34" s="130"/>
    </row>
    <row r="35" spans="1:12" x14ac:dyDescent="0.35">
      <c r="A35" s="201"/>
      <c r="B35" s="130"/>
      <c r="C35" s="130"/>
      <c r="D35" s="130"/>
      <c r="E35" s="130"/>
      <c r="G35" s="203"/>
      <c r="H35" s="157"/>
      <c r="I35" s="157"/>
      <c r="J35" s="130"/>
      <c r="K35" s="130"/>
      <c r="L35" s="130"/>
    </row>
    <row r="36" spans="1:12" x14ac:dyDescent="0.35">
      <c r="A36" s="201"/>
      <c r="B36" s="194" t="s">
        <v>309</v>
      </c>
      <c r="C36" s="130"/>
      <c r="D36" s="130"/>
      <c r="E36" s="130"/>
      <c r="G36" s="203"/>
      <c r="H36" s="157"/>
      <c r="I36" s="157"/>
      <c r="J36" s="130"/>
      <c r="K36" s="130"/>
      <c r="L36" s="130"/>
    </row>
    <row r="37" spans="1:12" x14ac:dyDescent="0.35">
      <c r="A37" s="201"/>
      <c r="B37" s="196" t="s">
        <v>310</v>
      </c>
      <c r="C37" s="130"/>
      <c r="D37" s="130"/>
      <c r="E37" s="130"/>
      <c r="G37" s="203"/>
      <c r="H37" s="157"/>
      <c r="I37" s="157"/>
      <c r="J37" s="130"/>
      <c r="K37" s="130"/>
      <c r="L37" s="130"/>
    </row>
    <row r="38" spans="1:12" x14ac:dyDescent="0.35">
      <c r="A38" s="201"/>
      <c r="B38" s="196" t="s">
        <v>311</v>
      </c>
      <c r="C38" s="130"/>
      <c r="D38" s="130"/>
      <c r="E38" s="130"/>
      <c r="G38" s="203"/>
      <c r="H38" s="157"/>
      <c r="I38" s="157"/>
      <c r="J38" s="130"/>
      <c r="K38" s="130"/>
      <c r="L38" s="130"/>
    </row>
    <row r="39" spans="1:12" x14ac:dyDescent="0.35">
      <c r="A39" s="136"/>
      <c r="B39" s="130"/>
      <c r="C39" s="130"/>
      <c r="D39" s="130"/>
      <c r="E39" s="130"/>
      <c r="F39" s="130"/>
      <c r="G39" s="197" t="s">
        <v>299</v>
      </c>
      <c r="H39" s="130"/>
      <c r="I39" s="130"/>
      <c r="J39" s="130"/>
      <c r="K39" s="130"/>
      <c r="L39" s="130"/>
    </row>
    <row r="40" spans="1:12" x14ac:dyDescent="0.35">
      <c r="A40" s="136"/>
      <c r="B40" s="204"/>
      <c r="C40" s="193"/>
      <c r="D40" s="130"/>
      <c r="E40" s="130"/>
      <c r="F40" s="130"/>
      <c r="G40" s="199" t="s">
        <v>71</v>
      </c>
      <c r="H40" s="161" t="s">
        <v>86</v>
      </c>
      <c r="I40" s="205" t="s">
        <v>312</v>
      </c>
      <c r="J40" s="130"/>
      <c r="K40" s="130"/>
      <c r="L40" s="130"/>
    </row>
    <row r="41" spans="1:12" x14ac:dyDescent="0.35">
      <c r="A41" s="201">
        <f>A34+1</f>
        <v>12</v>
      </c>
      <c r="B41" s="196" t="s">
        <v>313</v>
      </c>
      <c r="C41" s="130"/>
      <c r="D41" s="130"/>
      <c r="E41" s="130"/>
      <c r="F41" s="130"/>
      <c r="G41" s="196" t="s">
        <v>412</v>
      </c>
      <c r="H41" s="206">
        <v>9.1760731268170984E-2</v>
      </c>
      <c r="I41" s="141">
        <v>1</v>
      </c>
      <c r="J41" s="130"/>
      <c r="K41" s="130"/>
      <c r="L41" s="130"/>
    </row>
    <row r="42" spans="1:12" x14ac:dyDescent="0.35">
      <c r="A42" s="201">
        <f>A41+1</f>
        <v>13</v>
      </c>
      <c r="B42" s="196" t="s">
        <v>314</v>
      </c>
      <c r="C42" s="130"/>
      <c r="D42" s="130"/>
      <c r="E42" s="130"/>
      <c r="F42" s="130"/>
      <c r="G42" s="196"/>
      <c r="H42" s="207">
        <v>2023</v>
      </c>
      <c r="I42" s="141">
        <v>2</v>
      </c>
      <c r="J42" s="130"/>
      <c r="K42" s="130"/>
      <c r="L42" s="130"/>
    </row>
    <row r="43" spans="1:12" x14ac:dyDescent="0.35">
      <c r="A43" s="201">
        <f>A42+1</f>
        <v>14</v>
      </c>
      <c r="B43" s="196" t="s">
        <v>315</v>
      </c>
      <c r="C43" s="130"/>
      <c r="D43" s="130"/>
      <c r="E43" s="130"/>
      <c r="F43" s="130"/>
      <c r="G43" s="157"/>
      <c r="H43" s="157">
        <f>H34+ (I34*(H42-2010))</f>
        <v>-69650</v>
      </c>
      <c r="I43" s="141">
        <v>3</v>
      </c>
      <c r="J43" s="130"/>
      <c r="K43" s="130"/>
      <c r="L43" s="130"/>
    </row>
    <row r="44" spans="1:12" x14ac:dyDescent="0.35">
      <c r="A44" s="201">
        <f>A43+1</f>
        <v>15</v>
      </c>
      <c r="B44" s="196" t="s">
        <v>316</v>
      </c>
      <c r="C44" s="193"/>
      <c r="D44" s="130"/>
      <c r="E44" s="130"/>
      <c r="F44" s="130"/>
      <c r="G44" s="202" t="str">
        <f>"Line "&amp;A43&amp;" * Line "&amp;A41&amp;""</f>
        <v>Line 14 * Line 12</v>
      </c>
      <c r="H44" s="157">
        <f xml:space="preserve"> H43*H41</f>
        <v>-6391.1349328281094</v>
      </c>
      <c r="I44" s="130"/>
      <c r="J44" s="130"/>
      <c r="K44" s="130"/>
      <c r="L44" s="130"/>
    </row>
    <row r="45" spans="1:12" x14ac:dyDescent="0.35">
      <c r="L45" s="130"/>
    </row>
    <row r="46" spans="1:12" x14ac:dyDescent="0.35">
      <c r="B46" s="192" t="s">
        <v>317</v>
      </c>
      <c r="L46" s="130"/>
    </row>
    <row r="47" spans="1:12" x14ac:dyDescent="0.35">
      <c r="L47" s="130"/>
    </row>
    <row r="48" spans="1:12" x14ac:dyDescent="0.35">
      <c r="B48" s="130" t="str">
        <f>"The annual Wholesale Expense Difference impact is the negative of amounts stated in Lines "&amp;A30&amp;" to "&amp;A33&amp;" above, Column 2."</f>
        <v>The annual Wholesale Expense Difference impact is the negative of amounts stated in Lines 7 to 10 above, Column 2.</v>
      </c>
      <c r="L48" s="130"/>
    </row>
    <row r="49" spans="1:12" x14ac:dyDescent="0.35">
      <c r="B49" s="130" t="s">
        <v>318</v>
      </c>
      <c r="L49" s="130"/>
    </row>
    <row r="50" spans="1:12" x14ac:dyDescent="0.35">
      <c r="A50" s="130"/>
      <c r="B50" s="130" t="s">
        <v>319</v>
      </c>
      <c r="C50" s="130"/>
      <c r="D50" s="130"/>
      <c r="E50" s="130"/>
      <c r="F50" s="130"/>
      <c r="G50" s="130"/>
      <c r="H50" s="130"/>
      <c r="I50" s="130"/>
      <c r="J50" s="130"/>
      <c r="K50" s="130"/>
      <c r="L50" s="130"/>
    </row>
    <row r="52" spans="1:12" x14ac:dyDescent="0.35">
      <c r="A52" s="130"/>
      <c r="B52" s="208" t="s">
        <v>320</v>
      </c>
      <c r="C52" s="130"/>
      <c r="D52" s="130"/>
      <c r="E52" s="130"/>
      <c r="F52" s="130"/>
      <c r="G52" s="130"/>
      <c r="H52" s="130"/>
      <c r="I52" s="130"/>
      <c r="J52" s="130"/>
      <c r="K52" s="130"/>
      <c r="L52" s="130"/>
    </row>
    <row r="53" spans="1:12" x14ac:dyDescent="0.35">
      <c r="A53" s="130"/>
      <c r="B53" s="130"/>
      <c r="C53" s="130"/>
      <c r="D53" s="130"/>
      <c r="E53" s="130"/>
      <c r="F53" s="130"/>
      <c r="G53" s="197"/>
      <c r="H53" s="130"/>
      <c r="I53" s="130"/>
      <c r="J53" s="130"/>
      <c r="K53" s="130"/>
      <c r="L53" s="130"/>
    </row>
    <row r="54" spans="1:12" x14ac:dyDescent="0.35">
      <c r="B54" s="130"/>
      <c r="C54" s="130"/>
      <c r="D54" s="130"/>
      <c r="E54" s="130"/>
      <c r="F54" s="130"/>
      <c r="G54" s="199" t="s">
        <v>71</v>
      </c>
      <c r="H54" s="161" t="s">
        <v>86</v>
      </c>
      <c r="I54" s="130"/>
      <c r="J54" s="139"/>
      <c r="K54" s="130"/>
      <c r="L54" s="130"/>
    </row>
    <row r="55" spans="1:12" x14ac:dyDescent="0.35">
      <c r="A55" s="201">
        <f>A44+1</f>
        <v>16</v>
      </c>
      <c r="B55" s="196" t="s">
        <v>321</v>
      </c>
      <c r="C55" s="130"/>
      <c r="D55" s="130"/>
      <c r="E55" s="130"/>
      <c r="F55" s="130"/>
      <c r="G55" s="202" t="str">
        <f>"Line "&amp;A31&amp;""</f>
        <v>Line 8</v>
      </c>
      <c r="H55" s="157">
        <f>I31</f>
        <v>2503000</v>
      </c>
      <c r="I55" s="130"/>
      <c r="J55" s="130"/>
      <c r="K55" s="130"/>
      <c r="L55" s="130"/>
    </row>
    <row r="56" spans="1:12" x14ac:dyDescent="0.35">
      <c r="A56" s="201">
        <f>A55+1</f>
        <v>17</v>
      </c>
      <c r="B56" s="202" t="s">
        <v>322</v>
      </c>
      <c r="C56" s="130"/>
      <c r="D56" s="130"/>
      <c r="E56" s="130"/>
      <c r="F56" s="130"/>
      <c r="G56" s="196" t="s">
        <v>417</v>
      </c>
      <c r="H56" s="168">
        <v>0.27983599999999997</v>
      </c>
      <c r="I56" s="130"/>
      <c r="J56" s="130"/>
      <c r="K56" s="130"/>
      <c r="L56" s="130"/>
    </row>
    <row r="57" spans="1:12" x14ac:dyDescent="0.35">
      <c r="A57" s="201">
        <f>A56+1</f>
        <v>18</v>
      </c>
      <c r="B57" s="202" t="s">
        <v>323</v>
      </c>
      <c r="C57" s="130"/>
      <c r="D57" s="130"/>
      <c r="E57" s="130"/>
      <c r="F57" s="130"/>
      <c r="G57" s="209" t="s">
        <v>324</v>
      </c>
      <c r="H57" s="170">
        <f>1/(1-H56)</f>
        <v>1.3885726029071155</v>
      </c>
      <c r="I57" s="130"/>
      <c r="J57" s="130"/>
      <c r="K57" s="130"/>
      <c r="L57" s="130"/>
    </row>
    <row r="58" spans="1:12" x14ac:dyDescent="0.35">
      <c r="A58" s="201">
        <f>A57+1</f>
        <v>19</v>
      </c>
      <c r="B58" s="202" t="s">
        <v>325</v>
      </c>
      <c r="C58" s="130"/>
      <c r="D58" s="130"/>
      <c r="E58" s="130"/>
      <c r="F58" s="130"/>
      <c r="G58" s="130"/>
      <c r="H58" s="130"/>
      <c r="I58" s="130"/>
      <c r="J58" s="130"/>
      <c r="K58" s="130"/>
      <c r="L58" s="130"/>
    </row>
    <row r="59" spans="1:12" x14ac:dyDescent="0.35">
      <c r="A59" s="201">
        <f>A58+1</f>
        <v>20</v>
      </c>
      <c r="B59" s="202" t="s">
        <v>326</v>
      </c>
      <c r="C59" s="130"/>
      <c r="D59" s="130"/>
      <c r="E59" s="130"/>
      <c r="F59" s="130"/>
      <c r="G59" s="202" t="str">
        <f>"- Line "&amp;A55&amp;" * Line "&amp;A57&amp;""</f>
        <v>- Line 16 * Line 18</v>
      </c>
      <c r="H59" s="157">
        <f>-H57*H55</f>
        <v>-3475597.2250765101</v>
      </c>
      <c r="I59" s="130"/>
      <c r="J59" s="130"/>
      <c r="K59" s="130"/>
      <c r="L59" s="130"/>
    </row>
    <row r="61" spans="1:12" x14ac:dyDescent="0.35">
      <c r="B61" s="208" t="s">
        <v>327</v>
      </c>
    </row>
    <row r="63" spans="1:12" x14ac:dyDescent="0.35">
      <c r="G63" s="199" t="s">
        <v>71</v>
      </c>
      <c r="H63" s="161" t="s">
        <v>86</v>
      </c>
    </row>
    <row r="64" spans="1:12" x14ac:dyDescent="0.35">
      <c r="A64" s="201">
        <f>A59+1</f>
        <v>21</v>
      </c>
      <c r="B64" s="196" t="s">
        <v>328</v>
      </c>
      <c r="G64" s="202" t="str">
        <f>"Line "&amp;A32&amp;""</f>
        <v>Line 9</v>
      </c>
      <c r="H64" s="172">
        <f>I32</f>
        <v>43100</v>
      </c>
    </row>
    <row r="65" spans="1:12" x14ac:dyDescent="0.35">
      <c r="A65" s="201">
        <f>A64+1</f>
        <v>22</v>
      </c>
      <c r="B65" s="202" t="s">
        <v>323</v>
      </c>
      <c r="C65" s="130"/>
      <c r="D65" s="130"/>
      <c r="E65" s="130"/>
      <c r="F65" s="130"/>
      <c r="G65" s="202" t="str">
        <f>"Line "&amp;A57&amp;""</f>
        <v>Line 18</v>
      </c>
      <c r="H65" s="170">
        <f>H57</f>
        <v>1.3885726029071155</v>
      </c>
    </row>
    <row r="66" spans="1:12" x14ac:dyDescent="0.35">
      <c r="A66" s="201">
        <f>A65+1</f>
        <v>23</v>
      </c>
      <c r="B66" s="196" t="s">
        <v>329</v>
      </c>
      <c r="G66" s="202" t="str">
        <f>"- Line "&amp;A64&amp;" * Line "&amp;A65&amp;""</f>
        <v>- Line 21 * Line 22</v>
      </c>
      <c r="H66" s="172">
        <f>-H64*H65</f>
        <v>-59847.479185296681</v>
      </c>
    </row>
    <row r="67" spans="1:12" x14ac:dyDescent="0.35">
      <c r="A67" s="201">
        <f t="shared" ref="A67:A74" si="1">A66+1</f>
        <v>24</v>
      </c>
      <c r="B67" s="196"/>
      <c r="G67" s="202"/>
      <c r="H67" s="172"/>
    </row>
    <row r="68" spans="1:12" x14ac:dyDescent="0.35">
      <c r="A68" s="201">
        <f t="shared" si="1"/>
        <v>25</v>
      </c>
      <c r="B68" s="208" t="s">
        <v>330</v>
      </c>
      <c r="G68" s="202"/>
      <c r="H68" s="172"/>
    </row>
    <row r="69" spans="1:12" x14ac:dyDescent="0.35">
      <c r="A69" s="201">
        <f t="shared" si="1"/>
        <v>26</v>
      </c>
      <c r="B69" s="196"/>
      <c r="G69" s="199" t="s">
        <v>71</v>
      </c>
      <c r="H69" s="172"/>
      <c r="I69" s="210" t="s">
        <v>312</v>
      </c>
    </row>
    <row r="70" spans="1:12" x14ac:dyDescent="0.35">
      <c r="A70" s="201">
        <f t="shared" si="1"/>
        <v>27</v>
      </c>
      <c r="B70" s="196" t="s">
        <v>60</v>
      </c>
      <c r="G70" s="202" t="s">
        <v>331</v>
      </c>
      <c r="H70" s="211">
        <v>0</v>
      </c>
      <c r="I70" s="202" t="s">
        <v>198</v>
      </c>
    </row>
    <row r="71" spans="1:12" x14ac:dyDescent="0.35">
      <c r="A71" s="201">
        <f t="shared" si="1"/>
        <v>28</v>
      </c>
      <c r="B71" s="196" t="s">
        <v>332</v>
      </c>
      <c r="G71" s="202" t="s">
        <v>331</v>
      </c>
      <c r="H71" s="212">
        <v>0</v>
      </c>
      <c r="I71" s="186" t="s">
        <v>198</v>
      </c>
    </row>
    <row r="72" spans="1:12" x14ac:dyDescent="0.35">
      <c r="A72" s="201">
        <f t="shared" si="1"/>
        <v>29</v>
      </c>
      <c r="B72" s="196" t="s">
        <v>333</v>
      </c>
      <c r="G72" s="209" t="str">
        <f>"Line "&amp;A70&amp;" + "&amp;A71&amp;""</f>
        <v>Line 27 + 28</v>
      </c>
      <c r="H72" s="175">
        <f>SUM(H70:H71)</f>
        <v>0</v>
      </c>
    </row>
    <row r="73" spans="1:12" x14ac:dyDescent="0.35">
      <c r="A73" s="201">
        <f t="shared" si="1"/>
        <v>30</v>
      </c>
      <c r="B73" s="196" t="s">
        <v>127</v>
      </c>
      <c r="G73" s="196" t="s">
        <v>392</v>
      </c>
      <c r="H73" s="176">
        <v>5.8932716255746177E-2</v>
      </c>
    </row>
    <row r="74" spans="1:12" x14ac:dyDescent="0.35">
      <c r="A74" s="201">
        <f t="shared" si="1"/>
        <v>31</v>
      </c>
      <c r="B74" s="196" t="s">
        <v>334</v>
      </c>
      <c r="G74" s="209" t="str">
        <f>"Line "&amp;A72&amp;" * "&amp;A73&amp;""</f>
        <v>Line 29 * 30</v>
      </c>
      <c r="H74" s="172">
        <f>H72*H73</f>
        <v>0</v>
      </c>
    </row>
    <row r="76" spans="1:12" x14ac:dyDescent="0.35">
      <c r="A76" s="130"/>
      <c r="B76" s="194" t="s">
        <v>335</v>
      </c>
      <c r="C76" s="130"/>
      <c r="D76" s="130"/>
      <c r="E76" s="130"/>
      <c r="F76" s="130"/>
      <c r="G76" s="130"/>
      <c r="H76" s="130"/>
      <c r="I76" s="205" t="s">
        <v>312</v>
      </c>
      <c r="J76" s="130"/>
      <c r="K76" s="130"/>
      <c r="L76" s="130"/>
    </row>
    <row r="77" spans="1:12" x14ac:dyDescent="0.35">
      <c r="A77" s="201">
        <f>A74+1</f>
        <v>32</v>
      </c>
      <c r="B77" s="184" t="s">
        <v>336</v>
      </c>
      <c r="C77" s="130"/>
      <c r="D77" s="130"/>
      <c r="E77" s="130"/>
      <c r="F77" s="130"/>
      <c r="G77" s="196" t="str">
        <f>" - Line "&amp;A30&amp;", Col. 2"</f>
        <v xml:space="preserve"> - Line 7, Col. 2</v>
      </c>
      <c r="H77" s="213">
        <f>-I30</f>
        <v>2176300</v>
      </c>
      <c r="I77" s="130"/>
      <c r="J77" s="130"/>
      <c r="K77" s="130"/>
      <c r="L77" s="130"/>
    </row>
    <row r="78" spans="1:12" x14ac:dyDescent="0.35">
      <c r="A78" s="201">
        <f>A77+1</f>
        <v>33</v>
      </c>
      <c r="B78" s="184" t="s">
        <v>305</v>
      </c>
      <c r="C78" s="130"/>
      <c r="D78" s="130"/>
      <c r="E78" s="130"/>
      <c r="F78" s="130"/>
      <c r="G78" s="196" t="str">
        <f>"Line "&amp;A59&amp;""</f>
        <v>Line 20</v>
      </c>
      <c r="H78" s="213">
        <f>H59</f>
        <v>-3475597.2250765101</v>
      </c>
      <c r="I78" s="130"/>
      <c r="J78" s="130"/>
      <c r="K78" s="130"/>
      <c r="L78" s="130"/>
    </row>
    <row r="79" spans="1:12" x14ac:dyDescent="0.35">
      <c r="A79" s="201">
        <f>A78+1</f>
        <v>34</v>
      </c>
      <c r="B79" s="184" t="s">
        <v>306</v>
      </c>
      <c r="C79" s="130"/>
      <c r="D79" s="130"/>
      <c r="E79" s="130"/>
      <c r="F79" s="130"/>
      <c r="G79" s="196" t="str">
        <f>"Line "&amp;A66&amp;""</f>
        <v>Line 23</v>
      </c>
      <c r="H79" s="213">
        <f>H66</f>
        <v>-59847.479185296681</v>
      </c>
      <c r="I79" s="130"/>
      <c r="J79" s="130"/>
      <c r="K79" s="130"/>
      <c r="L79" s="130"/>
    </row>
    <row r="80" spans="1:12" x14ac:dyDescent="0.35">
      <c r="A80" s="201">
        <f>A79+1</f>
        <v>35</v>
      </c>
      <c r="B80" s="184" t="s">
        <v>307</v>
      </c>
      <c r="C80" s="130"/>
      <c r="D80" s="130"/>
      <c r="E80" s="130"/>
      <c r="F80" s="130"/>
      <c r="G80" s="196" t="str">
        <f>"- Line "&amp;A33&amp;", Col. 2"</f>
        <v>- Line 10, Col. 2</v>
      </c>
      <c r="H80" s="213">
        <f>-I33</f>
        <v>-511200</v>
      </c>
      <c r="I80" s="130"/>
      <c r="J80" s="130"/>
      <c r="K80" s="130"/>
      <c r="L80" s="130"/>
    </row>
    <row r="81" spans="1:12" x14ac:dyDescent="0.35">
      <c r="A81" s="201">
        <f t="shared" ref="A81:A83" si="2">A80+1</f>
        <v>36</v>
      </c>
      <c r="B81" s="184" t="s">
        <v>337</v>
      </c>
      <c r="C81" s="130"/>
      <c r="D81" s="130"/>
      <c r="E81" s="130"/>
      <c r="F81" s="130"/>
      <c r="G81" s="209" t="str">
        <f>" - Line "&amp;A74&amp;""</f>
        <v xml:space="preserve"> - Line 31</v>
      </c>
      <c r="H81" s="157">
        <f>-H74</f>
        <v>0</v>
      </c>
      <c r="I81" s="130"/>
      <c r="J81" s="130"/>
      <c r="K81" s="130"/>
      <c r="L81" s="130"/>
    </row>
    <row r="82" spans="1:12" x14ac:dyDescent="0.35">
      <c r="A82" s="201">
        <f t="shared" si="2"/>
        <v>37</v>
      </c>
      <c r="B82" s="193" t="s">
        <v>338</v>
      </c>
      <c r="C82" s="130"/>
      <c r="D82" s="130"/>
      <c r="E82" s="130"/>
      <c r="F82" s="130"/>
      <c r="G82" s="209"/>
      <c r="H82" s="214">
        <v>0</v>
      </c>
      <c r="I82" s="196" t="s">
        <v>111</v>
      </c>
      <c r="J82" s="130"/>
      <c r="K82" s="130"/>
      <c r="L82" s="130"/>
    </row>
    <row r="83" spans="1:12" x14ac:dyDescent="0.35">
      <c r="A83" s="201">
        <f t="shared" si="2"/>
        <v>38</v>
      </c>
      <c r="B83" s="130"/>
      <c r="C83" s="130"/>
      <c r="D83" s="130"/>
      <c r="E83" s="130"/>
      <c r="F83" s="130"/>
      <c r="G83" s="203" t="s">
        <v>339</v>
      </c>
      <c r="H83" s="157">
        <f>SUM(H77:H82)</f>
        <v>-1870344.7042618068</v>
      </c>
      <c r="I83" s="130"/>
      <c r="J83" s="130"/>
      <c r="K83" s="130"/>
      <c r="L83" s="130"/>
    </row>
    <row r="84" spans="1:12" x14ac:dyDescent="0.35">
      <c r="A84" s="130"/>
      <c r="B84" s="130"/>
      <c r="C84" s="130"/>
      <c r="D84" s="130"/>
      <c r="E84" s="130"/>
      <c r="F84" s="130"/>
      <c r="G84" s="130"/>
      <c r="H84" s="130"/>
      <c r="I84" s="130"/>
      <c r="J84" s="130"/>
      <c r="K84" s="130"/>
      <c r="L84" s="130"/>
    </row>
    <row r="85" spans="1:12" x14ac:dyDescent="0.35">
      <c r="A85" s="130"/>
      <c r="B85" s="130"/>
      <c r="C85" s="130"/>
      <c r="D85" s="130"/>
      <c r="E85" s="130"/>
      <c r="F85" s="130"/>
      <c r="G85" s="130"/>
      <c r="H85" s="130"/>
      <c r="I85" s="130"/>
      <c r="J85" s="130"/>
      <c r="K85" s="130"/>
      <c r="L85" s="130"/>
    </row>
    <row r="86" spans="1:12" x14ac:dyDescent="0.35">
      <c r="A86" s="130"/>
      <c r="B86" s="130"/>
      <c r="C86" s="130"/>
      <c r="D86" s="130"/>
      <c r="E86" s="130"/>
      <c r="F86" s="130"/>
      <c r="G86" s="130"/>
      <c r="H86" s="130"/>
      <c r="I86" s="130"/>
      <c r="J86" s="130"/>
      <c r="K86" s="130"/>
      <c r="L86" s="130"/>
    </row>
    <row r="87" spans="1:12" x14ac:dyDescent="0.35">
      <c r="A87" s="130"/>
      <c r="B87" s="130"/>
      <c r="C87" s="130"/>
      <c r="D87" s="130"/>
      <c r="E87" s="130"/>
      <c r="F87" s="130"/>
      <c r="G87" s="130"/>
      <c r="H87" s="130"/>
      <c r="I87" s="130"/>
      <c r="J87" s="130"/>
      <c r="K87" s="130"/>
      <c r="L87" s="130"/>
    </row>
    <row r="88" spans="1:12" x14ac:dyDescent="0.35">
      <c r="A88" s="130"/>
      <c r="B88" s="130"/>
      <c r="C88" s="130"/>
      <c r="D88" s="130"/>
      <c r="E88" s="130"/>
      <c r="F88" s="130"/>
      <c r="G88" s="130"/>
      <c r="H88" s="130"/>
      <c r="I88" s="130"/>
      <c r="J88" s="130"/>
      <c r="K88" s="130"/>
      <c r="L88" s="130"/>
    </row>
    <row r="89" spans="1:12" x14ac:dyDescent="0.35">
      <c r="A89" s="130"/>
      <c r="B89" s="130"/>
      <c r="C89" s="130"/>
      <c r="D89" s="130"/>
      <c r="E89" s="130"/>
      <c r="F89" s="130"/>
      <c r="G89" s="130"/>
      <c r="H89" s="130"/>
      <c r="I89" s="130"/>
      <c r="J89" s="130"/>
      <c r="K89" s="130"/>
      <c r="L89" s="130"/>
    </row>
    <row r="90" spans="1:12" x14ac:dyDescent="0.35">
      <c r="A90" s="130"/>
      <c r="B90" s="130"/>
      <c r="C90" s="130"/>
      <c r="D90" s="130"/>
      <c r="E90" s="130"/>
      <c r="F90" s="130"/>
      <c r="G90" s="130"/>
      <c r="H90" s="130"/>
      <c r="I90" s="130"/>
      <c r="J90" s="130"/>
      <c r="K90" s="130"/>
      <c r="L90" s="130"/>
    </row>
    <row r="91" spans="1:12" x14ac:dyDescent="0.35">
      <c r="A91" s="130"/>
      <c r="B91" s="130"/>
      <c r="C91" s="130"/>
      <c r="D91" s="130"/>
      <c r="E91" s="130"/>
      <c r="F91" s="130"/>
      <c r="G91" s="130"/>
      <c r="H91" s="130"/>
      <c r="I91" s="130"/>
      <c r="J91" s="130"/>
      <c r="K91" s="130"/>
      <c r="L91" s="130"/>
    </row>
    <row r="92" spans="1:12" x14ac:dyDescent="0.35">
      <c r="A92" s="130"/>
      <c r="B92" s="130"/>
      <c r="C92" s="130"/>
      <c r="D92" s="130"/>
      <c r="E92" s="130"/>
      <c r="F92" s="130"/>
      <c r="G92" s="130"/>
      <c r="H92" s="130"/>
      <c r="I92" s="130"/>
      <c r="J92" s="130"/>
      <c r="K92" s="130"/>
      <c r="L92" s="130"/>
    </row>
    <row r="93" spans="1:12" x14ac:dyDescent="0.35">
      <c r="A93" s="130"/>
      <c r="B93" s="130"/>
      <c r="C93" s="130"/>
      <c r="D93" s="130"/>
      <c r="E93" s="130"/>
      <c r="F93" s="130"/>
      <c r="G93" s="130"/>
      <c r="H93" s="130"/>
      <c r="I93" s="130"/>
      <c r="J93" s="130"/>
      <c r="K93" s="130"/>
      <c r="L93" s="130"/>
    </row>
    <row r="94" spans="1:12" x14ac:dyDescent="0.35">
      <c r="A94" s="130"/>
      <c r="B94" s="130"/>
      <c r="C94" s="130"/>
      <c r="D94" s="130"/>
      <c r="E94" s="130"/>
      <c r="F94" s="130"/>
      <c r="G94" s="130"/>
      <c r="H94" s="130"/>
      <c r="I94" s="130"/>
      <c r="J94" s="130"/>
      <c r="K94" s="130"/>
      <c r="L94" s="130"/>
    </row>
    <row r="95" spans="1:12" x14ac:dyDescent="0.35">
      <c r="A95" s="130"/>
      <c r="B95" s="130"/>
      <c r="C95" s="130"/>
      <c r="D95" s="130"/>
      <c r="E95" s="130"/>
      <c r="F95" s="130"/>
      <c r="G95" s="130"/>
      <c r="H95" s="130"/>
      <c r="I95" s="130"/>
      <c r="J95" s="130"/>
      <c r="K95" s="130"/>
      <c r="L95" s="130"/>
    </row>
    <row r="96" spans="1:12" x14ac:dyDescent="0.35">
      <c r="A96" s="130"/>
      <c r="B96" s="130"/>
      <c r="C96" s="130"/>
      <c r="D96" s="130"/>
      <c r="E96" s="130"/>
      <c r="F96" s="130"/>
      <c r="G96" s="130"/>
      <c r="H96" s="130"/>
      <c r="I96" s="130"/>
      <c r="J96" s="130"/>
      <c r="K96" s="130"/>
      <c r="L96" s="130"/>
    </row>
    <row r="97" spans="1:12" x14ac:dyDescent="0.35">
      <c r="A97" s="130"/>
      <c r="B97" s="130"/>
      <c r="C97" s="130"/>
      <c r="D97" s="130"/>
      <c r="E97" s="130"/>
      <c r="F97" s="130"/>
      <c r="G97" s="130"/>
      <c r="H97" s="130"/>
      <c r="I97" s="130"/>
      <c r="J97" s="130"/>
      <c r="K97" s="130"/>
      <c r="L97" s="130"/>
    </row>
    <row r="98" spans="1:12" x14ac:dyDescent="0.35">
      <c r="A98" s="130"/>
      <c r="B98" s="130"/>
      <c r="C98" s="130"/>
      <c r="D98" s="130"/>
      <c r="E98" s="130"/>
      <c r="F98" s="130"/>
      <c r="G98" s="130"/>
      <c r="H98" s="130"/>
      <c r="I98" s="130"/>
      <c r="J98" s="130"/>
      <c r="K98" s="130"/>
      <c r="L98" s="130"/>
    </row>
    <row r="99" spans="1:12" x14ac:dyDescent="0.35">
      <c r="A99" s="130"/>
      <c r="B99" s="130"/>
      <c r="C99" s="130"/>
      <c r="D99" s="130"/>
      <c r="E99" s="130"/>
      <c r="F99" s="130"/>
      <c r="G99" s="130"/>
      <c r="H99" s="130"/>
      <c r="I99" s="130"/>
      <c r="J99" s="130"/>
      <c r="K99" s="130"/>
      <c r="L99" s="130"/>
    </row>
    <row r="100" spans="1:12" x14ac:dyDescent="0.35">
      <c r="A100" s="130"/>
      <c r="B100" s="130"/>
      <c r="C100" s="130"/>
      <c r="D100" s="130"/>
      <c r="E100" s="130"/>
      <c r="F100" s="130"/>
      <c r="G100" s="130"/>
      <c r="H100" s="130"/>
      <c r="I100" s="130"/>
      <c r="J100" s="130"/>
      <c r="K100" s="130"/>
      <c r="L100" s="130"/>
    </row>
    <row r="101" spans="1:12" x14ac:dyDescent="0.35">
      <c r="A101" s="130"/>
      <c r="B101" s="130"/>
      <c r="C101" s="130"/>
      <c r="D101" s="130"/>
      <c r="E101" s="130"/>
      <c r="F101" s="130"/>
      <c r="G101" s="130"/>
      <c r="H101" s="130"/>
      <c r="I101" s="130"/>
      <c r="J101" s="130"/>
      <c r="K101" s="130"/>
      <c r="L101" s="130"/>
    </row>
    <row r="102" spans="1:12" x14ac:dyDescent="0.35">
      <c r="A102" s="130"/>
      <c r="B102" s="130"/>
      <c r="C102" s="130"/>
      <c r="D102" s="130"/>
      <c r="E102" s="130"/>
      <c r="F102" s="130"/>
      <c r="G102" s="130"/>
      <c r="H102" s="130"/>
      <c r="I102" s="130"/>
      <c r="J102" s="130"/>
      <c r="K102" s="130"/>
      <c r="L102" s="130"/>
    </row>
    <row r="103" spans="1:12" x14ac:dyDescent="0.35">
      <c r="A103" s="130"/>
      <c r="B103" s="130"/>
      <c r="C103" s="130"/>
      <c r="D103" s="130"/>
      <c r="E103" s="130"/>
      <c r="F103" s="130"/>
      <c r="G103" s="130"/>
      <c r="H103" s="130"/>
      <c r="I103" s="130"/>
      <c r="J103" s="130"/>
      <c r="K103" s="130"/>
      <c r="L103" s="130"/>
    </row>
    <row r="104" spans="1:12" x14ac:dyDescent="0.35">
      <c r="A104" s="130"/>
      <c r="B104" s="130"/>
      <c r="C104" s="130"/>
      <c r="D104" s="130"/>
      <c r="E104" s="130"/>
      <c r="F104" s="130"/>
      <c r="G104" s="130"/>
      <c r="H104" s="130"/>
      <c r="I104" s="130"/>
      <c r="J104" s="130"/>
      <c r="K104" s="130"/>
      <c r="L104" s="130"/>
    </row>
    <row r="105" spans="1:12" x14ac:dyDescent="0.35">
      <c r="A105" s="130"/>
      <c r="B105" s="130"/>
      <c r="C105" s="130"/>
      <c r="D105" s="130"/>
      <c r="E105" s="130"/>
      <c r="F105" s="130"/>
      <c r="G105" s="130"/>
      <c r="H105" s="130"/>
      <c r="I105" s="130"/>
      <c r="J105" s="130"/>
      <c r="K105" s="130"/>
      <c r="L105" s="130"/>
    </row>
    <row r="106" spans="1:12" x14ac:dyDescent="0.35">
      <c r="A106" s="130"/>
      <c r="B106" s="130"/>
      <c r="C106" s="130"/>
      <c r="D106" s="130"/>
      <c r="E106" s="130"/>
      <c r="F106" s="130"/>
      <c r="G106" s="130"/>
      <c r="H106" s="130"/>
      <c r="I106" s="130"/>
      <c r="J106" s="130"/>
      <c r="K106" s="130"/>
      <c r="L106" s="130"/>
    </row>
    <row r="107" spans="1:12" x14ac:dyDescent="0.35">
      <c r="A107" s="130"/>
      <c r="B107" s="130"/>
      <c r="C107" s="130"/>
      <c r="D107" s="130"/>
      <c r="E107" s="130"/>
      <c r="F107" s="130"/>
      <c r="G107" s="130"/>
      <c r="H107" s="130"/>
      <c r="I107" s="130"/>
      <c r="J107" s="130"/>
      <c r="K107" s="130"/>
      <c r="L107" s="130"/>
    </row>
    <row r="108" spans="1:12" x14ac:dyDescent="0.35">
      <c r="A108" s="130"/>
      <c r="B108" s="130"/>
      <c r="C108" s="130"/>
      <c r="D108" s="130"/>
      <c r="E108" s="130"/>
      <c r="F108" s="130"/>
      <c r="G108" s="130"/>
      <c r="H108" s="130"/>
      <c r="I108" s="130"/>
      <c r="J108" s="130"/>
      <c r="K108" s="130"/>
      <c r="L108" s="130"/>
    </row>
    <row r="109" spans="1:12" x14ac:dyDescent="0.35">
      <c r="A109" s="130"/>
      <c r="B109" s="130"/>
      <c r="C109" s="130"/>
      <c r="D109" s="130"/>
      <c r="E109" s="130"/>
      <c r="F109" s="130"/>
      <c r="G109" s="130"/>
      <c r="H109" s="130"/>
      <c r="I109" s="130"/>
      <c r="J109" s="130"/>
      <c r="K109" s="130"/>
      <c r="L109" s="130"/>
    </row>
    <row r="110" spans="1:12" x14ac:dyDescent="0.35">
      <c r="A110" s="130"/>
      <c r="B110" s="130"/>
      <c r="C110" s="130"/>
      <c r="D110" s="130"/>
      <c r="E110" s="130"/>
      <c r="F110" s="130"/>
      <c r="G110" s="130"/>
      <c r="H110" s="130"/>
      <c r="I110" s="130"/>
      <c r="J110" s="130"/>
      <c r="K110" s="130"/>
      <c r="L110" s="130"/>
    </row>
    <row r="111" spans="1:12" x14ac:dyDescent="0.35">
      <c r="A111" s="130"/>
      <c r="B111" s="130"/>
      <c r="C111" s="130"/>
      <c r="D111" s="130"/>
      <c r="E111" s="130"/>
      <c r="F111" s="130"/>
      <c r="G111" s="130"/>
      <c r="H111" s="130"/>
      <c r="I111" s="130"/>
      <c r="J111" s="130"/>
      <c r="K111" s="130"/>
      <c r="L111" s="130"/>
    </row>
    <row r="112" spans="1:12" x14ac:dyDescent="0.35">
      <c r="A112" s="130"/>
      <c r="B112" s="130"/>
      <c r="C112" s="130"/>
      <c r="D112" s="130"/>
      <c r="E112" s="130"/>
      <c r="F112" s="130"/>
      <c r="G112" s="130"/>
      <c r="H112" s="130"/>
      <c r="I112" s="130"/>
      <c r="J112" s="130"/>
      <c r="K112" s="130"/>
      <c r="L112" s="130"/>
    </row>
    <row r="113" spans="1:12" x14ac:dyDescent="0.35">
      <c r="A113" s="130"/>
      <c r="B113" s="130"/>
      <c r="C113" s="130"/>
      <c r="D113" s="130"/>
      <c r="E113" s="130"/>
      <c r="F113" s="130"/>
      <c r="G113" s="130"/>
      <c r="H113" s="130"/>
      <c r="I113" s="130"/>
      <c r="J113" s="130"/>
      <c r="K113" s="130"/>
      <c r="L113" s="130"/>
    </row>
    <row r="114" spans="1:12" x14ac:dyDescent="0.35">
      <c r="A114" s="130"/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</row>
    <row r="115" spans="1:12" x14ac:dyDescent="0.35">
      <c r="A115" s="130"/>
      <c r="B115" s="130"/>
      <c r="C115" s="130"/>
      <c r="D115" s="130"/>
      <c r="E115" s="130"/>
      <c r="F115" s="130"/>
      <c r="G115" s="130"/>
      <c r="H115" s="130"/>
      <c r="I115" s="130"/>
      <c r="J115" s="130"/>
      <c r="K115" s="130"/>
      <c r="L115" s="130"/>
    </row>
    <row r="116" spans="1:12" x14ac:dyDescent="0.35">
      <c r="A116" s="130"/>
      <c r="B116" s="130"/>
      <c r="C116" s="130"/>
      <c r="D116" s="130"/>
      <c r="E116" s="130"/>
      <c r="F116" s="130"/>
      <c r="G116" s="130"/>
      <c r="H116" s="130"/>
      <c r="I116" s="130"/>
      <c r="J116" s="130"/>
      <c r="K116" s="130"/>
      <c r="L116" s="130"/>
    </row>
    <row r="117" spans="1:12" x14ac:dyDescent="0.35">
      <c r="A117" s="130"/>
      <c r="B117" s="130"/>
      <c r="C117" s="130"/>
      <c r="D117" s="130"/>
      <c r="E117" s="130"/>
      <c r="F117" s="130"/>
      <c r="G117" s="130"/>
      <c r="H117" s="130"/>
      <c r="I117" s="130"/>
      <c r="J117" s="130"/>
      <c r="K117" s="130"/>
      <c r="L117" s="130"/>
    </row>
    <row r="118" spans="1:12" x14ac:dyDescent="0.35">
      <c r="A118" s="130"/>
      <c r="B118" s="130"/>
      <c r="C118" s="130"/>
      <c r="D118" s="130"/>
      <c r="E118" s="130"/>
      <c r="F118" s="130"/>
      <c r="G118" s="130"/>
      <c r="H118" s="130"/>
      <c r="I118" s="130"/>
      <c r="J118" s="130"/>
      <c r="K118" s="130"/>
      <c r="L118" s="130"/>
    </row>
    <row r="119" spans="1:12" x14ac:dyDescent="0.35">
      <c r="A119" s="130"/>
      <c r="B119" s="130"/>
      <c r="C119" s="130"/>
      <c r="D119" s="130"/>
      <c r="E119" s="130"/>
      <c r="F119" s="130"/>
      <c r="G119" s="130"/>
      <c r="H119" s="130"/>
      <c r="I119" s="130"/>
      <c r="J119" s="130"/>
      <c r="K119" s="130"/>
      <c r="L119" s="130"/>
    </row>
    <row r="120" spans="1:12" x14ac:dyDescent="0.35">
      <c r="A120" s="130"/>
      <c r="B120" s="130"/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</row>
    <row r="121" spans="1:12" x14ac:dyDescent="0.35">
      <c r="A121" s="130"/>
      <c r="B121" s="130"/>
      <c r="C121" s="130"/>
      <c r="D121" s="130"/>
      <c r="E121" s="130"/>
      <c r="F121" s="130"/>
      <c r="G121" s="130"/>
      <c r="H121" s="130"/>
      <c r="I121" s="130"/>
      <c r="J121" s="130"/>
      <c r="K121" s="130"/>
      <c r="L121" s="130"/>
    </row>
    <row r="122" spans="1:12" x14ac:dyDescent="0.35">
      <c r="A122" s="130"/>
      <c r="B122" s="130"/>
      <c r="C122" s="130"/>
      <c r="D122" s="130"/>
      <c r="E122" s="130"/>
      <c r="F122" s="130"/>
      <c r="G122" s="130"/>
      <c r="H122" s="130"/>
      <c r="I122" s="130"/>
      <c r="J122" s="130"/>
      <c r="K122" s="130"/>
      <c r="L122" s="130"/>
    </row>
    <row r="123" spans="1:12" x14ac:dyDescent="0.35">
      <c r="A123" s="130"/>
      <c r="B123" s="130"/>
      <c r="C123" s="130"/>
      <c r="D123" s="130"/>
      <c r="E123" s="130"/>
      <c r="F123" s="130"/>
      <c r="G123" s="130"/>
      <c r="H123" s="130"/>
      <c r="I123" s="130"/>
      <c r="J123" s="130"/>
      <c r="K123" s="130"/>
      <c r="L123" s="130"/>
    </row>
    <row r="124" spans="1:12" x14ac:dyDescent="0.35">
      <c r="A124" s="130"/>
      <c r="B124" s="130"/>
      <c r="C124" s="130"/>
      <c r="D124" s="130"/>
      <c r="E124" s="130"/>
      <c r="F124" s="130"/>
      <c r="G124" s="130"/>
      <c r="H124" s="130"/>
      <c r="I124" s="130"/>
      <c r="J124" s="130"/>
      <c r="K124" s="130"/>
      <c r="L124" s="130"/>
    </row>
    <row r="125" spans="1:12" x14ac:dyDescent="0.35">
      <c r="A125" s="130"/>
      <c r="B125" s="130"/>
      <c r="C125" s="130"/>
      <c r="D125" s="130"/>
      <c r="E125" s="130"/>
      <c r="F125" s="130"/>
      <c r="G125" s="130"/>
      <c r="H125" s="130"/>
      <c r="I125" s="130"/>
      <c r="J125" s="130"/>
      <c r="K125" s="130"/>
      <c r="L125" s="130"/>
    </row>
    <row r="126" spans="1:12" x14ac:dyDescent="0.35">
      <c r="A126" s="130"/>
      <c r="B126" s="130"/>
      <c r="C126" s="130"/>
      <c r="D126" s="130"/>
      <c r="E126" s="130"/>
      <c r="F126" s="130"/>
      <c r="G126" s="130"/>
      <c r="H126" s="130"/>
      <c r="I126" s="130"/>
      <c r="J126" s="130"/>
      <c r="K126" s="130"/>
      <c r="L126" s="130"/>
    </row>
    <row r="127" spans="1:12" x14ac:dyDescent="0.35">
      <c r="A127" s="130"/>
      <c r="B127" s="130"/>
      <c r="C127" s="130"/>
      <c r="D127" s="130"/>
      <c r="E127" s="130"/>
      <c r="F127" s="130"/>
      <c r="G127" s="130"/>
      <c r="H127" s="130"/>
      <c r="I127" s="130"/>
      <c r="J127" s="130"/>
      <c r="K127" s="130"/>
      <c r="L127" s="130"/>
    </row>
    <row r="128" spans="1:12" x14ac:dyDescent="0.35">
      <c r="A128" s="130"/>
      <c r="B128" s="130"/>
      <c r="C128" s="130"/>
      <c r="D128" s="130"/>
      <c r="E128" s="130"/>
      <c r="F128" s="130"/>
      <c r="G128" s="130"/>
      <c r="H128" s="130"/>
      <c r="I128" s="130"/>
      <c r="J128" s="130"/>
      <c r="K128" s="130"/>
      <c r="L128" s="130"/>
    </row>
    <row r="129" spans="1:12" x14ac:dyDescent="0.35">
      <c r="A129" s="130"/>
      <c r="B129" s="130"/>
      <c r="C129" s="130"/>
      <c r="D129" s="130"/>
      <c r="E129" s="130"/>
      <c r="F129" s="130"/>
      <c r="G129" s="130"/>
      <c r="H129" s="130"/>
      <c r="I129" s="130"/>
      <c r="J129" s="130"/>
      <c r="K129" s="130"/>
      <c r="L129" s="130"/>
    </row>
    <row r="130" spans="1:12" x14ac:dyDescent="0.35">
      <c r="A130" s="130"/>
      <c r="B130" s="130"/>
      <c r="C130" s="130"/>
      <c r="D130" s="130"/>
      <c r="E130" s="130"/>
      <c r="F130" s="130"/>
      <c r="G130" s="130"/>
      <c r="H130" s="130"/>
      <c r="I130" s="130"/>
      <c r="J130" s="130"/>
      <c r="K130" s="130"/>
      <c r="L130" s="130"/>
    </row>
    <row r="131" spans="1:12" x14ac:dyDescent="0.35">
      <c r="A131" s="130"/>
      <c r="B131" s="130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</row>
    <row r="132" spans="1:12" x14ac:dyDescent="0.35">
      <c r="A132" s="130"/>
      <c r="B132" s="130"/>
      <c r="C132" s="130"/>
      <c r="D132" s="130"/>
      <c r="E132" s="130"/>
      <c r="F132" s="130"/>
      <c r="G132" s="130"/>
      <c r="H132" s="130"/>
      <c r="I132" s="130"/>
      <c r="J132" s="130"/>
      <c r="K132" s="130"/>
      <c r="L132" s="130"/>
    </row>
  </sheetData>
  <pageMargins left="0.7" right="0.7" top="0.75" bottom="0.75" header="0.3" footer="0.3"/>
  <pageSetup scale="66" orientation="portrait" cellComments="asDisplayed" horizontalDpi="1200" verticalDpi="1200" r:id="rId1"/>
  <headerFooter>
    <oddHeader>&amp;RTO2025 Annual Update
Attachment 4
WP- Schedule 25 Legacy Wholesale/ Retail Differences 
Page &amp;P of &amp;N</oddHeader>
  </headerFooter>
  <rowBreaks count="1" manualBreakCount="1">
    <brk id="51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Summary</vt:lpstr>
      <vt:lpstr>Workpaper EEI &amp; EPRI</vt:lpstr>
      <vt:lpstr>WP-2022 TO2024 EPRI Adj wInt</vt:lpstr>
      <vt:lpstr>WP-2022 EPRI Additional Excl</vt:lpstr>
      <vt:lpstr>WP-2022 Wholesale TRR Adj</vt:lpstr>
      <vt:lpstr>WP-2022 TO2024 Sch 1-BaseTRR</vt:lpstr>
      <vt:lpstr>WP-2022 TO2024 Sch25-WholesaleD</vt:lpstr>
      <vt:lpstr>Legacy Wholesale&amp;Retail Diff</vt:lpstr>
      <vt:lpstr>'Legacy Wholesale&amp;Retail Diff'!Print_Area</vt:lpstr>
      <vt:lpstr>'WP-2022 EPRI Additional Excl'!Print_Area</vt:lpstr>
      <vt:lpstr>'WP-2022 TO2024 EPRI Adj wInt'!Print_Area</vt:lpstr>
      <vt:lpstr>'WP-2022 TO2024 Sch 1-BaseTRR'!Print_Area</vt:lpstr>
      <vt:lpstr>'WP-2022 TO2024 Sch25-WholesaleD'!Print_Area</vt:lpstr>
      <vt:lpstr>'WP-2022 TO2024 Sch 1-BaseTRR'!Print_Titles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Ocegueda</dc:creator>
  <cp:lastModifiedBy>Katelyn Wright</cp:lastModifiedBy>
  <cp:lastPrinted>2024-11-04T17:25:42Z</cp:lastPrinted>
  <dcterms:created xsi:type="dcterms:W3CDTF">2019-06-03T15:41:20Z</dcterms:created>
  <dcterms:modified xsi:type="dcterms:W3CDTF">2024-11-04T17:27:52Z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2024-04-26T22:02:02Z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10606eab-65cc-42b7-9c9e-9217b28ce408</vt:lpwstr>
  </property>
  <property fmtid="{D5CDD505-2E9C-101B-9397-08002B2CF9AE}" pid="8" name="MSIP_Label_bc3dd1c7-2c40-4a31-84b2-bec599b321a0_ContentBits">
    <vt:lpwstr>0</vt:lpwstr>
  </property>
</Properties>
</file>