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definedNames/>
  <calcPr fullCalcOnLoad="1"/>
</workbook>
</file>

<file path=xl/sharedStrings.xml><?xml version="1.0" encoding="utf-8"?>
<sst xmlns="http://schemas.openxmlformats.org/spreadsheetml/2006/main" count="226" uniqueCount="195">
  <si>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</si>
  <si>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</si>
  <si>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</si>
  <si>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</si>
  <si>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</si>
  <si>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</si>
  <si>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</si>
  <si>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</si>
  <si>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</si>
  <si>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</si>
  <si>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</si>
  <si>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</si>
  <si>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</si>
  <si>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</si>
  <si>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</si>
  <si>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</si>
  <si>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</si>
  <si>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</si>
  <si>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</si>
  <si>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</si>
  <si>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</si>
  <si>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</si>
  <si>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</si>
  <si>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</si>
  <si>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</si>
  <si>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</si>
  <si>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</si>
  <si>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</si>
  <si>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</si>
  <si>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</si>
  <si>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</si>
  <si>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</si>
  <si>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</si>
  <si>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</si>
  <si>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</si>
  <si>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</si>
  <si>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</si>
  <si>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</si>
  <si>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</si>
  <si>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</si>
  <si>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</si>
  <si>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</si>
  <si>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</si>
  <si>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</si>
  <si>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</si>
  <si>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</si>
  <si>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</si>
  <si>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</si>
  <si>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</si>
  <si>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</si>
  <si>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</si>
  <si>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</si>
  <si>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</si>
  <si>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</si>
  <si>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</si>
  <si>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</si>
  <si>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</si>
  <si>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</si>
  <si>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</si>
  <si>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</si>
  <si>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</si>
  <si>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</si>
  <si>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</si>
  <si>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</si>
  <si>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</si>
  <si>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</si>
  <si>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</si>
  <si>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</si>
  <si>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</si>
  <si>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</si>
  <si>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</si>
  <si>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</si>
  <si>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</si>
  <si>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</si>
  <si>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</si>
  <si>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</si>
  <si>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</si>
  <si>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</si>
  <si>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</si>
  <si>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</si>
  <si>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</si>
  <si>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</si>
  <si>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</si>
  <si>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</si>
  <si>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</si>
  <si>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</si>
  <si>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</si>
  <si>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</si>
  <si>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</si>
  <si>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</si>
  <si>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</si>
  <si>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</si>
  <si>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</si>
  <si>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</si>
  <si>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</si>
  <si>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</si>
  <si>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</si>
  <si>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</si>
  <si>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</si>
  <si>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</si>
  <si>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</si>
  <si>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</si>
  <si>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</si>
  <si>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</si>
  <si>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</si>
  <si>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</si>
  <si>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</si>
  <si>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</si>
  <si>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</si>
  <si>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</si>
  <si>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</si>
  <si>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</si>
  <si>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</si>
  <si>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</si>
  <si>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</si>
  <si>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</si>
  <si>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</si>
  <si>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</si>
  <si>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</si>
  <si>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</si>
  <si>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</si>
  <si>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</si>
  <si>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</si>
  <si>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</si>
  <si>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</si>
  <si>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</si>
  <si>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</si>
  <si>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</si>
  <si>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</si>
  <si>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</si>
  <si>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</si>
  <si>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</si>
  <si>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</si>
  <si>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</si>
  <si>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</si>
  <si>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</si>
  <si>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</si>
  <si>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</si>
  <si>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</si>
  <si>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</si>
  <si>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</si>
  <si>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</si>
  <si>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</si>
  <si>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</si>
  <si>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</si>
  <si>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</si>
  <si>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</si>
  <si>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</si>
  <si>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</si>
  <si>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</si>
  <si>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</si>
  <si>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</si>
  <si>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</si>
  <si>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</si>
  <si>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</si>
  <si>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</si>
  <si>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</si>
  <si>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</si>
  <si>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</si>
  <si>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</si>
  <si>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</si>
  <si>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</si>
  <si>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</si>
  <si>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</si>
  <si>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</si>
  <si>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</si>
  <si>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</si>
  <si>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</si>
  <si>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</si>
  <si>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</si>
  <si>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</si>
  <si>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</si>
  <si>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</si>
  <si>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 xml:space="preserve">Long Beach Partnership </t>
  </si>
  <si>
    <t xml:space="preserve">South Gate Partnership </t>
  </si>
  <si>
    <t xml:space="preserve">Orange County Partnership </t>
  </si>
  <si>
    <t xml:space="preserve">Desert Cities Partnership  </t>
  </si>
  <si>
    <t>SCE2575a</t>
  </si>
  <si>
    <t>SCE2576a</t>
  </si>
  <si>
    <t>SCE2577a</t>
  </si>
  <si>
    <t>SCE2578a</t>
  </si>
  <si>
    <t>SCE2579a</t>
  </si>
  <si>
    <t>SCE2580a</t>
  </si>
  <si>
    <t>SCE2581a</t>
  </si>
  <si>
    <t>SCE2582a</t>
  </si>
  <si>
    <t>Beaumont Partnership</t>
  </si>
  <si>
    <t xml:space="preserve">View Partnership </t>
  </si>
  <si>
    <t xml:space="preserve">Simi Valley Partnership </t>
  </si>
  <si>
    <t xml:space="preserve">Redlands Partnership </t>
  </si>
  <si>
    <t>2009 Bridge Funding Monthly Energy Efficiency Program Data Report</t>
  </si>
  <si>
    <t>Virtualization and Server Consolidation Program</t>
  </si>
  <si>
    <t>Transforming the Market for New Energy Star Manufactured (Mobile) Homes</t>
  </si>
  <si>
    <t>SCE2557a</t>
  </si>
  <si>
    <t>SCE2572a</t>
  </si>
  <si>
    <t>Report Month: September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</si>
</sst>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  <numFmt numFmtId="176" formatCode="_(&quot;$&quot;* #,##0.0_);_(&quot;$&quot;* \(#,##0.0\);_(&quot;$&quot;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0" borderId="24" xfId="64" applyNumberFormat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9" fontId="24" fillId="0" borderId="0" xfId="98" applyFont="1" applyFill="1" applyAlignment="1">
      <alignment/>
    </xf>
    <xf numFmtId="170" fontId="24" fillId="0" borderId="0" xfId="61" applyNumberFormat="1" applyFont="1" applyFill="1" applyAlignment="1">
      <alignment/>
    </xf>
    <xf numFmtId="169" fontId="0" fillId="0" borderId="24" xfId="64" applyNumberFormat="1" applyFill="1" applyBorder="1" applyAlignment="1">
      <alignment/>
    </xf>
    <xf numFmtId="170" fontId="0" fillId="0" borderId="0" xfId="61" applyNumberFormat="1" applyAlignment="1">
      <alignment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16384" width="15.710937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189</v>
      </c>
      <c r="B2" s="2"/>
      <c r="C2" s="3"/>
      <c r="D2" s="2"/>
      <c r="E2" s="2"/>
      <c r="F2" s="2"/>
      <c r="G2" s="2"/>
      <c r="H2" s="2"/>
    </row>
    <row r="3" spans="1:23" ht="15.75">
      <c r="A3" s="4" t="s">
        <v>194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3" t="s">
        <v>71</v>
      </c>
      <c r="B6" s="171" t="s">
        <v>72</v>
      </c>
      <c r="C6" s="9"/>
      <c r="D6" s="169" t="s">
        <v>172</v>
      </c>
      <c r="E6" s="169"/>
      <c r="F6" s="169"/>
      <c r="G6" s="169"/>
      <c r="H6" s="169"/>
      <c r="I6" s="10"/>
      <c r="J6" s="169" t="s">
        <v>160</v>
      </c>
      <c r="K6" s="169"/>
      <c r="L6" s="169"/>
      <c r="M6" s="169"/>
      <c r="N6" s="10"/>
      <c r="O6" s="169" t="s">
        <v>161</v>
      </c>
      <c r="P6" s="169"/>
      <c r="Q6" s="169"/>
      <c r="R6" s="169"/>
      <c r="S6" s="10"/>
      <c r="T6" s="169" t="s">
        <v>162</v>
      </c>
      <c r="U6" s="169"/>
      <c r="V6" s="169"/>
      <c r="W6" s="170"/>
    </row>
    <row r="7" spans="1:23" ht="154.5" customHeight="1" thickBot="1">
      <c r="A7" s="174"/>
      <c r="B7" s="172"/>
      <c r="C7" s="11"/>
      <c r="D7" s="12" t="s">
        <v>158</v>
      </c>
      <c r="E7" s="13" t="s">
        <v>159</v>
      </c>
      <c r="F7" s="13" t="s">
        <v>167</v>
      </c>
      <c r="G7" s="13" t="s">
        <v>73</v>
      </c>
      <c r="H7" s="14" t="s">
        <v>166</v>
      </c>
      <c r="I7" s="15"/>
      <c r="J7" s="16" t="s">
        <v>165</v>
      </c>
      <c r="K7" s="13" t="s">
        <v>164</v>
      </c>
      <c r="L7" s="13" t="s">
        <v>89</v>
      </c>
      <c r="M7" s="13" t="s">
        <v>163</v>
      </c>
      <c r="N7" s="17"/>
      <c r="O7" s="16" t="s">
        <v>165</v>
      </c>
      <c r="P7" s="13" t="s">
        <v>164</v>
      </c>
      <c r="Q7" s="13" t="s">
        <v>89</v>
      </c>
      <c r="R7" s="13" t="s">
        <v>163</v>
      </c>
      <c r="S7" s="17"/>
      <c r="T7" s="16" t="s">
        <v>165</v>
      </c>
      <c r="U7" s="13" t="s">
        <v>164</v>
      </c>
      <c r="V7" s="13" t="s">
        <v>89</v>
      </c>
      <c r="W7" s="13" t="s">
        <v>163</v>
      </c>
    </row>
    <row r="8" spans="1:23" ht="12.75">
      <c r="A8" s="18" t="s">
        <v>112</v>
      </c>
      <c r="B8" s="19" t="s">
        <v>90</v>
      </c>
      <c r="C8" s="20"/>
      <c r="D8" s="21">
        <v>11512980</v>
      </c>
      <c r="E8" s="22">
        <v>11512980</v>
      </c>
      <c r="F8" s="22">
        <v>10253130.619088406</v>
      </c>
      <c r="G8" s="22">
        <v>1979084.9267963162</v>
      </c>
      <c r="H8" s="165">
        <v>1585080</v>
      </c>
      <c r="I8" s="24"/>
      <c r="J8" s="25"/>
      <c r="K8" s="26">
        <v>17926.791999999998</v>
      </c>
      <c r="L8" s="26">
        <v>5851.790457247362</v>
      </c>
      <c r="M8" s="27">
        <v>3350.84</v>
      </c>
      <c r="N8" s="28"/>
      <c r="O8" s="25"/>
      <c r="P8" s="26">
        <v>98110571</v>
      </c>
      <c r="Q8" s="30">
        <v>41545523.960120015</v>
      </c>
      <c r="R8" s="31">
        <v>18342592</v>
      </c>
      <c r="S8" s="28"/>
      <c r="T8" s="32">
        <v>0</v>
      </c>
      <c r="U8" s="33">
        <v>0</v>
      </c>
      <c r="V8" s="33">
        <v>0</v>
      </c>
      <c r="W8" s="34">
        <v>0</v>
      </c>
    </row>
    <row r="9" spans="1:23" ht="12.75">
      <c r="A9" s="18" t="s">
        <v>113</v>
      </c>
      <c r="B9" s="19" t="s">
        <v>68</v>
      </c>
      <c r="C9" s="20"/>
      <c r="D9" s="21">
        <v>41897004</v>
      </c>
      <c r="E9" s="22">
        <v>41897004</v>
      </c>
      <c r="F9" s="22">
        <v>26923402.40096674</v>
      </c>
      <c r="G9" s="22">
        <v>10691312.620038135</v>
      </c>
      <c r="H9" s="165">
        <v>7298665.27</v>
      </c>
      <c r="I9" s="24"/>
      <c r="J9" s="25"/>
      <c r="K9" s="26">
        <v>96275.25786561903</v>
      </c>
      <c r="L9" s="26">
        <v>51642.152663902074</v>
      </c>
      <c r="M9" s="27">
        <v>25068.3299243955</v>
      </c>
      <c r="N9" s="28"/>
      <c r="O9" s="25"/>
      <c r="P9" s="26">
        <v>713564967.7392745</v>
      </c>
      <c r="Q9" s="30">
        <v>458640412.5935182</v>
      </c>
      <c r="R9" s="31">
        <v>119754068.20757277</v>
      </c>
      <c r="S9" s="28"/>
      <c r="T9" s="32">
        <v>0</v>
      </c>
      <c r="U9" s="33">
        <v>0</v>
      </c>
      <c r="V9" s="33">
        <v>0</v>
      </c>
      <c r="W9" s="34">
        <v>0</v>
      </c>
    </row>
    <row r="10" spans="1:23" ht="12.75">
      <c r="A10" s="18" t="s">
        <v>114</v>
      </c>
      <c r="B10" s="19" t="s">
        <v>48</v>
      </c>
      <c r="C10" s="20"/>
      <c r="D10" s="21">
        <v>19236576</v>
      </c>
      <c r="E10" s="22">
        <v>19236576</v>
      </c>
      <c r="F10" s="22">
        <v>13252315.590928236</v>
      </c>
      <c r="G10" s="22">
        <v>2885659.4727519006</v>
      </c>
      <c r="H10" s="165">
        <v>7566082</v>
      </c>
      <c r="I10" s="24"/>
      <c r="J10" s="25"/>
      <c r="K10" s="26">
        <v>4594.052582286625</v>
      </c>
      <c r="L10" s="26">
        <v>-171.51923701736268</v>
      </c>
      <c r="M10" s="27">
        <v>2142.52292764846</v>
      </c>
      <c r="N10" s="28"/>
      <c r="O10" s="25"/>
      <c r="P10" s="26">
        <v>38629772.94807511</v>
      </c>
      <c r="Q10" s="30">
        <v>8170402.078941487</v>
      </c>
      <c r="R10" s="31">
        <v>21900019.251336895</v>
      </c>
      <c r="S10" s="28"/>
      <c r="T10" s="32">
        <v>0</v>
      </c>
      <c r="U10" s="33">
        <v>0</v>
      </c>
      <c r="V10" s="33">
        <v>0</v>
      </c>
      <c r="W10" s="34">
        <v>0</v>
      </c>
    </row>
    <row r="11" spans="1:23" ht="12.75">
      <c r="A11" s="18" t="s">
        <v>115</v>
      </c>
      <c r="B11" s="19" t="s">
        <v>24</v>
      </c>
      <c r="C11" s="20"/>
      <c r="D11" s="21">
        <v>2777916</v>
      </c>
      <c r="E11" s="22">
        <v>2777916</v>
      </c>
      <c r="F11" s="22">
        <v>955760.4620375203</v>
      </c>
      <c r="G11" s="22">
        <v>22297.209017606452</v>
      </c>
      <c r="H11" s="165">
        <v>662425.8018292683</v>
      </c>
      <c r="I11" s="24"/>
      <c r="J11" s="25"/>
      <c r="K11" s="26">
        <v>937.4198749999999</v>
      </c>
      <c r="L11" s="26">
        <v>95.49737688160985</v>
      </c>
      <c r="M11" s="27">
        <v>183</v>
      </c>
      <c r="N11" s="28"/>
      <c r="O11" s="25"/>
      <c r="P11" s="26">
        <v>3171949.272500001</v>
      </c>
      <c r="Q11" s="30">
        <v>532133.1939243507</v>
      </c>
      <c r="R11" s="27">
        <v>271594.57875</v>
      </c>
      <c r="S11" s="28"/>
      <c r="T11" s="32">
        <v>0</v>
      </c>
      <c r="U11" s="33">
        <v>0</v>
      </c>
      <c r="V11" s="33">
        <v>0</v>
      </c>
      <c r="W11" s="34">
        <v>0</v>
      </c>
    </row>
    <row r="12" spans="1:23" ht="12.75">
      <c r="A12" s="18" t="s">
        <v>116</v>
      </c>
      <c r="B12" s="19" t="s">
        <v>91</v>
      </c>
      <c r="C12" s="20"/>
      <c r="D12" s="21">
        <v>2371572</v>
      </c>
      <c r="E12" s="22">
        <v>2371572</v>
      </c>
      <c r="F12" s="22">
        <v>1360939.5289004976</v>
      </c>
      <c r="G12" s="22">
        <v>-7399.223531957949</v>
      </c>
      <c r="H12" s="165">
        <v>0</v>
      </c>
      <c r="I12" s="24"/>
      <c r="J12" s="25"/>
      <c r="K12" s="26">
        <v>127.70531691928724</v>
      </c>
      <c r="L12" s="26">
        <v>-65.76854183958548</v>
      </c>
      <c r="M12" s="27">
        <v>0</v>
      </c>
      <c r="N12" s="28"/>
      <c r="O12" s="25"/>
      <c r="P12" s="26">
        <v>970079.5630482916</v>
      </c>
      <c r="Q12" s="30">
        <v>20626.309235623223</v>
      </c>
      <c r="R12" s="27">
        <v>0</v>
      </c>
      <c r="S12" s="28"/>
      <c r="T12" s="32">
        <v>0</v>
      </c>
      <c r="U12" s="33">
        <v>0</v>
      </c>
      <c r="V12" s="33">
        <v>0</v>
      </c>
      <c r="W12" s="34">
        <v>0</v>
      </c>
    </row>
    <row r="13" spans="1:23" ht="12.75">
      <c r="A13" s="18" t="s">
        <v>117</v>
      </c>
      <c r="B13" s="19" t="s">
        <v>79</v>
      </c>
      <c r="C13" s="20"/>
      <c r="D13" s="21">
        <v>2424480</v>
      </c>
      <c r="E13" s="22">
        <v>2424480</v>
      </c>
      <c r="F13" s="22">
        <v>1517166.2347062249</v>
      </c>
      <c r="G13" s="22">
        <v>155549.56673865556</v>
      </c>
      <c r="H13" s="165">
        <v>255000</v>
      </c>
      <c r="I13" s="24"/>
      <c r="J13" s="25"/>
      <c r="K13" s="26">
        <v>572.9714285714285</v>
      </c>
      <c r="L13" s="26">
        <v>131.8936285714293</v>
      </c>
      <c r="M13" s="27">
        <v>255</v>
      </c>
      <c r="N13" s="28"/>
      <c r="O13" s="25"/>
      <c r="P13" s="26">
        <v>377436.5285714286</v>
      </c>
      <c r="Q13" s="30">
        <v>38943.528571428615</v>
      </c>
      <c r="R13" s="31">
        <v>165000</v>
      </c>
      <c r="S13" s="28"/>
      <c r="T13" s="32">
        <v>0</v>
      </c>
      <c r="U13" s="33">
        <v>0</v>
      </c>
      <c r="V13" s="33">
        <v>0</v>
      </c>
      <c r="W13" s="34">
        <v>0</v>
      </c>
    </row>
    <row r="14" spans="1:23" ht="12.75">
      <c r="A14" s="18" t="s">
        <v>118</v>
      </c>
      <c r="B14" s="19" t="s">
        <v>12</v>
      </c>
      <c r="C14" s="20"/>
      <c r="D14" s="21">
        <v>23643324</v>
      </c>
      <c r="E14" s="22">
        <v>23643324</v>
      </c>
      <c r="F14" s="22">
        <v>9942761.070096793</v>
      </c>
      <c r="G14" s="22">
        <v>3518382.02534852</v>
      </c>
      <c r="H14" s="23">
        <v>2128966.18</v>
      </c>
      <c r="I14" s="24"/>
      <c r="J14" s="25"/>
      <c r="K14" s="26">
        <v>15190.543481800147</v>
      </c>
      <c r="L14" s="26">
        <v>3691.14289933301</v>
      </c>
      <c r="M14" s="27">
        <v>3378.6989999999996</v>
      </c>
      <c r="N14" s="28"/>
      <c r="O14" s="25"/>
      <c r="P14" s="26">
        <v>23192292.919000782</v>
      </c>
      <c r="Q14" s="30">
        <v>6822179.296584783</v>
      </c>
      <c r="R14" s="31">
        <v>5251683.38</v>
      </c>
      <c r="S14" s="28"/>
      <c r="T14" s="32">
        <v>0</v>
      </c>
      <c r="U14" s="33">
        <v>0</v>
      </c>
      <c r="V14" s="33">
        <v>0</v>
      </c>
      <c r="W14" s="34">
        <v>0</v>
      </c>
    </row>
    <row r="15" spans="1:23" ht="12.75">
      <c r="A15" s="18" t="s">
        <v>119</v>
      </c>
      <c r="B15" s="19" t="s">
        <v>17</v>
      </c>
      <c r="C15" s="20"/>
      <c r="D15" s="21">
        <v>2514432</v>
      </c>
      <c r="E15" s="22">
        <v>2514432</v>
      </c>
      <c r="F15" s="22">
        <v>1214175.3245004972</v>
      </c>
      <c r="G15" s="22">
        <v>189746.72231894545</v>
      </c>
      <c r="H15" s="23">
        <v>32568</v>
      </c>
      <c r="I15" s="24"/>
      <c r="J15" s="25"/>
      <c r="K15" s="26">
        <v>781.9</v>
      </c>
      <c r="L15" s="26">
        <v>71.8625</v>
      </c>
      <c r="M15" s="27">
        <v>424</v>
      </c>
      <c r="N15" s="28"/>
      <c r="O15" s="25"/>
      <c r="P15" s="26">
        <v>9421893.462499999</v>
      </c>
      <c r="Q15" s="30">
        <v>993533.8624999989</v>
      </c>
      <c r="R15" s="31">
        <v>5152941</v>
      </c>
      <c r="S15" s="28"/>
      <c r="T15" s="32">
        <v>0</v>
      </c>
      <c r="U15" s="33">
        <v>0</v>
      </c>
      <c r="V15" s="33">
        <v>0</v>
      </c>
      <c r="W15" s="34">
        <v>0</v>
      </c>
    </row>
    <row r="16" spans="1:23" ht="12.75">
      <c r="A16" s="18" t="s">
        <v>120</v>
      </c>
      <c r="B16" s="19" t="s">
        <v>80</v>
      </c>
      <c r="C16" s="20"/>
      <c r="D16" s="21">
        <v>14175252</v>
      </c>
      <c r="E16" s="22">
        <v>14175252</v>
      </c>
      <c r="F16" s="22">
        <v>10344452.918250538</v>
      </c>
      <c r="G16" s="22">
        <v>1181858.1849017218</v>
      </c>
      <c r="H16" s="23">
        <v>6771002.951999997</v>
      </c>
      <c r="I16" s="24"/>
      <c r="J16" s="25"/>
      <c r="K16" s="26">
        <v>9898.33</v>
      </c>
      <c r="L16" s="26">
        <v>778.51</v>
      </c>
      <c r="M16" s="27">
        <v>8203.987399999998</v>
      </c>
      <c r="N16" s="28"/>
      <c r="O16" s="25"/>
      <c r="P16" s="26">
        <v>86009944.4</v>
      </c>
      <c r="Q16" s="30">
        <v>7373742.399999991</v>
      </c>
      <c r="R16" s="31">
        <v>76133829.6</v>
      </c>
      <c r="S16" s="28"/>
      <c r="T16" s="32">
        <v>0</v>
      </c>
      <c r="U16" s="33">
        <v>0</v>
      </c>
      <c r="V16" s="33">
        <v>0</v>
      </c>
      <c r="W16" s="34">
        <v>0</v>
      </c>
    </row>
    <row r="17" spans="1:23" ht="12.75">
      <c r="A17" s="18" t="s">
        <v>121</v>
      </c>
      <c r="B17" s="19" t="s">
        <v>49</v>
      </c>
      <c r="C17" s="20"/>
      <c r="D17" s="21">
        <v>5504856</v>
      </c>
      <c r="E17" s="22">
        <v>5504856</v>
      </c>
      <c r="F17" s="22">
        <v>3440490.9843503917</v>
      </c>
      <c r="G17" s="22">
        <v>484629.50754958857</v>
      </c>
      <c r="H17" s="23">
        <v>1569710.3183000002</v>
      </c>
      <c r="I17" s="24"/>
      <c r="J17" s="25"/>
      <c r="K17" s="26">
        <v>4740.722574999853</v>
      </c>
      <c r="L17" s="26">
        <v>774.5237449999713</v>
      </c>
      <c r="M17" s="27">
        <v>3192.9307999999996</v>
      </c>
      <c r="N17" s="28"/>
      <c r="O17" s="25"/>
      <c r="P17" s="26">
        <v>20531901.787000783</v>
      </c>
      <c r="Q17" s="30">
        <v>4124192.550600175</v>
      </c>
      <c r="R17" s="31">
        <v>20051001.740000002</v>
      </c>
      <c r="S17" s="28"/>
      <c r="T17" s="32">
        <v>0</v>
      </c>
      <c r="U17" s="33">
        <v>0</v>
      </c>
      <c r="V17" s="33">
        <v>0</v>
      </c>
      <c r="W17" s="34">
        <v>0</v>
      </c>
    </row>
    <row r="18" spans="1:23" ht="12.75">
      <c r="A18" s="18" t="s">
        <v>122</v>
      </c>
      <c r="B18" s="19" t="s">
        <v>61</v>
      </c>
      <c r="C18" s="20"/>
      <c r="D18" s="21">
        <v>14849124</v>
      </c>
      <c r="E18" s="22">
        <v>14849124</v>
      </c>
      <c r="F18" s="22">
        <v>8549699.611602837</v>
      </c>
      <c r="G18" s="22">
        <v>2042078.3923398824</v>
      </c>
      <c r="H18" s="23">
        <v>5114706</v>
      </c>
      <c r="I18" s="24"/>
      <c r="J18" s="25"/>
      <c r="K18" s="26">
        <v>5550.105138391273</v>
      </c>
      <c r="L18" s="26">
        <v>1879.2753743776748</v>
      </c>
      <c r="M18" s="27">
        <v>3749.7844574780033</v>
      </c>
      <c r="N18" s="28"/>
      <c r="O18" s="25"/>
      <c r="P18" s="26">
        <v>29455573.468862403</v>
      </c>
      <c r="Q18" s="30">
        <v>11994686.660821717</v>
      </c>
      <c r="R18" s="31">
        <v>17049019.999999996</v>
      </c>
      <c r="S18" s="28"/>
      <c r="T18" s="32">
        <v>0</v>
      </c>
      <c r="U18" s="33">
        <v>0</v>
      </c>
      <c r="V18" s="33">
        <v>0</v>
      </c>
      <c r="W18" s="34">
        <v>0</v>
      </c>
    </row>
    <row r="19" spans="1:23" ht="12.75">
      <c r="A19" s="18" t="s">
        <v>123</v>
      </c>
      <c r="B19" s="19" t="s">
        <v>50</v>
      </c>
      <c r="C19" s="20"/>
      <c r="D19" s="21">
        <v>10109196</v>
      </c>
      <c r="E19" s="22">
        <v>10109196</v>
      </c>
      <c r="F19" s="22">
        <v>6332763.178836382</v>
      </c>
      <c r="G19" s="22">
        <v>921896.045868163</v>
      </c>
      <c r="H19" s="23">
        <v>2090359</v>
      </c>
      <c r="I19" s="24"/>
      <c r="J19" s="25"/>
      <c r="K19" s="26">
        <v>9534.1</v>
      </c>
      <c r="L19" s="26">
        <v>1880</v>
      </c>
      <c r="M19" s="27">
        <v>4778.3</v>
      </c>
      <c r="N19" s="28"/>
      <c r="O19" s="25"/>
      <c r="P19" s="26">
        <v>51092715.99999999</v>
      </c>
      <c r="Q19" s="30">
        <v>6918647.000000015</v>
      </c>
      <c r="R19" s="31">
        <v>23379408</v>
      </c>
      <c r="S19" s="28"/>
      <c r="T19" s="32">
        <v>0</v>
      </c>
      <c r="U19" s="33">
        <v>0</v>
      </c>
      <c r="V19" s="33">
        <v>0</v>
      </c>
      <c r="W19" s="34">
        <v>0</v>
      </c>
    </row>
    <row r="20" spans="1:23" ht="12.75">
      <c r="A20" s="18" t="s">
        <v>124</v>
      </c>
      <c r="B20" s="19" t="s">
        <v>42</v>
      </c>
      <c r="C20" s="20"/>
      <c r="D20" s="21">
        <v>7637580</v>
      </c>
      <c r="E20" s="22">
        <v>7637580</v>
      </c>
      <c r="F20" s="22">
        <v>4580456.842046862</v>
      </c>
      <c r="G20" s="22">
        <v>668344.1191606307</v>
      </c>
      <c r="H20" s="23">
        <v>0</v>
      </c>
      <c r="I20" s="24"/>
      <c r="J20" s="25"/>
      <c r="K20" s="26">
        <v>0</v>
      </c>
      <c r="L20" s="26">
        <v>0</v>
      </c>
      <c r="M20" s="27">
        <v>0</v>
      </c>
      <c r="N20" s="28"/>
      <c r="O20" s="25"/>
      <c r="P20" s="26">
        <v>0</v>
      </c>
      <c r="Q20" s="30">
        <v>0</v>
      </c>
      <c r="R20" s="31">
        <v>0</v>
      </c>
      <c r="S20" s="28"/>
      <c r="T20" s="32">
        <v>0</v>
      </c>
      <c r="U20" s="33">
        <v>0</v>
      </c>
      <c r="V20" s="33">
        <v>0</v>
      </c>
      <c r="W20" s="34">
        <v>0</v>
      </c>
    </row>
    <row r="21" spans="1:23" ht="12.75">
      <c r="A21" s="18" t="s">
        <v>125</v>
      </c>
      <c r="B21" s="19" t="s">
        <v>30</v>
      </c>
      <c r="C21" s="20"/>
      <c r="D21" s="21">
        <v>487068</v>
      </c>
      <c r="E21" s="22">
        <v>487068</v>
      </c>
      <c r="F21" s="22">
        <v>306123.0140088961</v>
      </c>
      <c r="G21" s="22">
        <v>25399.354505093943</v>
      </c>
      <c r="H21" s="23">
        <v>0</v>
      </c>
      <c r="I21" s="24"/>
      <c r="J21" s="25"/>
      <c r="K21" s="26">
        <v>0</v>
      </c>
      <c r="L21" s="26">
        <v>0</v>
      </c>
      <c r="M21" s="27">
        <v>0</v>
      </c>
      <c r="N21" s="28"/>
      <c r="O21" s="25"/>
      <c r="P21" s="26">
        <v>0</v>
      </c>
      <c r="Q21" s="30">
        <v>0</v>
      </c>
      <c r="R21" s="31">
        <v>0</v>
      </c>
      <c r="S21" s="28"/>
      <c r="T21" s="32">
        <v>0</v>
      </c>
      <c r="U21" s="33">
        <v>0</v>
      </c>
      <c r="V21" s="33">
        <v>0</v>
      </c>
      <c r="W21" s="34">
        <v>0</v>
      </c>
    </row>
    <row r="22" spans="1:23" ht="12.75">
      <c r="A22" s="18" t="s">
        <v>126</v>
      </c>
      <c r="B22" s="19" t="s">
        <v>43</v>
      </c>
      <c r="C22" s="20"/>
      <c r="D22" s="21">
        <v>1665876</v>
      </c>
      <c r="E22" s="22">
        <v>1665876</v>
      </c>
      <c r="F22" s="22">
        <v>930120.5283053392</v>
      </c>
      <c r="G22" s="22">
        <v>188018.4398933577</v>
      </c>
      <c r="H22" s="23">
        <v>0</v>
      </c>
      <c r="I22" s="24"/>
      <c r="J22" s="25"/>
      <c r="K22" s="26">
        <v>0</v>
      </c>
      <c r="L22" s="26">
        <v>0</v>
      </c>
      <c r="M22" s="27">
        <v>0</v>
      </c>
      <c r="N22" s="28"/>
      <c r="O22" s="25"/>
      <c r="P22" s="26">
        <v>0</v>
      </c>
      <c r="Q22" s="30">
        <v>0</v>
      </c>
      <c r="R22" s="31">
        <v>0</v>
      </c>
      <c r="S22" s="28"/>
      <c r="T22" s="32">
        <v>0</v>
      </c>
      <c r="U22" s="33">
        <v>0</v>
      </c>
      <c r="V22" s="33">
        <v>0</v>
      </c>
      <c r="W22" s="34">
        <v>0</v>
      </c>
    </row>
    <row r="23" spans="1:23" ht="12.75">
      <c r="A23" s="18" t="s">
        <v>127</v>
      </c>
      <c r="B23" s="19" t="s">
        <v>44</v>
      </c>
      <c r="C23" s="20"/>
      <c r="D23" s="21">
        <v>2122404</v>
      </c>
      <c r="E23" s="22">
        <v>2122404</v>
      </c>
      <c r="F23" s="22">
        <v>1009561.2762778872</v>
      </c>
      <c r="G23" s="22">
        <v>145902.64682379633</v>
      </c>
      <c r="H23" s="23">
        <v>0</v>
      </c>
      <c r="I23" s="24"/>
      <c r="J23" s="25"/>
      <c r="K23" s="26">
        <f>11446.9398810231*9/12</f>
        <v>8585.204910767325</v>
      </c>
      <c r="L23" s="26">
        <v>953.911656751925</v>
      </c>
      <c r="M23" s="26">
        <f>11446.9398810231*3/12</f>
        <v>2861.734970255775</v>
      </c>
      <c r="N23" s="28"/>
      <c r="O23" s="25"/>
      <c r="P23" s="30">
        <f>55266198.2756874*9/12</f>
        <v>41449648.70676555</v>
      </c>
      <c r="Q23" s="30">
        <v>4605516.522973947</v>
      </c>
      <c r="R23" s="30">
        <f>55266198.2756874*3/12</f>
        <v>13816549.56892185</v>
      </c>
      <c r="S23" s="28"/>
      <c r="T23" s="32">
        <v>0</v>
      </c>
      <c r="U23" s="33">
        <v>0</v>
      </c>
      <c r="V23" s="33">
        <v>0</v>
      </c>
      <c r="W23" s="34">
        <v>0</v>
      </c>
    </row>
    <row r="24" spans="1:23" ht="12.75">
      <c r="A24" s="18" t="s">
        <v>128</v>
      </c>
      <c r="B24" s="19" t="s">
        <v>11</v>
      </c>
      <c r="C24" s="20"/>
      <c r="D24" s="21">
        <v>50177496</v>
      </c>
      <c r="E24" s="22">
        <v>50177496</v>
      </c>
      <c r="F24" s="22">
        <v>25823899.8463986</v>
      </c>
      <c r="G24" s="22">
        <v>3189238.2452644147</v>
      </c>
      <c r="H24" s="23">
        <v>8588273.028399993</v>
      </c>
      <c r="I24" s="24"/>
      <c r="J24" s="25"/>
      <c r="K24" s="26">
        <v>34994.95844464181</v>
      </c>
      <c r="L24" s="26">
        <v>4419.258341494831</v>
      </c>
      <c r="M24" s="27">
        <v>17062.102062568018</v>
      </c>
      <c r="N24" s="28"/>
      <c r="O24" s="25"/>
      <c r="P24" s="26">
        <v>193377667.99806643</v>
      </c>
      <c r="Q24" s="30">
        <v>23871971.02195123</v>
      </c>
      <c r="R24" s="31">
        <v>108737244.99504629</v>
      </c>
      <c r="S24" s="28"/>
      <c r="T24" s="32">
        <v>0</v>
      </c>
      <c r="U24" s="33">
        <v>0</v>
      </c>
      <c r="V24" s="33">
        <v>0</v>
      </c>
      <c r="W24" s="34">
        <v>0</v>
      </c>
    </row>
    <row r="25" spans="1:23" ht="12.75">
      <c r="A25" s="35" t="s">
        <v>31</v>
      </c>
      <c r="B25" s="19"/>
      <c r="C25" s="20"/>
      <c r="D25" s="21"/>
      <c r="E25" s="22"/>
      <c r="F25" s="22"/>
      <c r="G25" s="22"/>
      <c r="H25" s="23"/>
      <c r="I25" s="28"/>
      <c r="J25" s="25"/>
      <c r="K25" s="26"/>
      <c r="L25" s="26"/>
      <c r="M25" s="27"/>
      <c r="N25" s="28"/>
      <c r="O25" s="25"/>
      <c r="P25" s="29"/>
      <c r="Q25" s="30"/>
      <c r="R25" s="31"/>
      <c r="S25" s="28"/>
      <c r="T25" s="32"/>
      <c r="U25" s="33"/>
      <c r="V25" s="33"/>
      <c r="W25" s="34"/>
    </row>
    <row r="26" spans="1:23" ht="12.75">
      <c r="A26" s="18" t="s">
        <v>129</v>
      </c>
      <c r="B26" s="19" t="s">
        <v>1</v>
      </c>
      <c r="C26" s="20"/>
      <c r="D26" s="21">
        <v>2208719.134195264</v>
      </c>
      <c r="E26" s="22">
        <v>2208719.134195264</v>
      </c>
      <c r="F26" s="22">
        <f>93438.8812104838*(D26/SUM($D$26:$D$53))+270448.043213033</f>
        <v>280259.2079804773</v>
      </c>
      <c r="G26" s="22">
        <v>38303.280414482084</v>
      </c>
      <c r="H26" s="23">
        <v>0</v>
      </c>
      <c r="I26" s="24"/>
      <c r="J26" s="25"/>
      <c r="K26" s="26">
        <v>0</v>
      </c>
      <c r="L26" s="26">
        <v>0</v>
      </c>
      <c r="M26" s="27">
        <v>0</v>
      </c>
      <c r="N26" s="28"/>
      <c r="O26" s="25"/>
      <c r="P26" s="26">
        <v>0</v>
      </c>
      <c r="Q26" s="30">
        <v>0</v>
      </c>
      <c r="R26" s="27">
        <v>0</v>
      </c>
      <c r="S26" s="28"/>
      <c r="T26" s="32">
        <v>0</v>
      </c>
      <c r="U26" s="33">
        <v>0</v>
      </c>
      <c r="V26" s="33">
        <v>0</v>
      </c>
      <c r="W26" s="34">
        <v>0</v>
      </c>
    </row>
    <row r="27" spans="1:23" ht="12.75">
      <c r="A27" s="18" t="s">
        <v>130</v>
      </c>
      <c r="B27" s="19" t="s">
        <v>94</v>
      </c>
      <c r="C27" s="20"/>
      <c r="D27" s="21">
        <v>993164.7719898829</v>
      </c>
      <c r="E27" s="22">
        <v>993164.7719898829</v>
      </c>
      <c r="F27" s="22">
        <f>93438.8812104838*(D27/SUM($D$26:$D$53))+406349.955873548</f>
        <v>410761.6092469246</v>
      </c>
      <c r="G27" s="22">
        <v>122193.04001873982</v>
      </c>
      <c r="H27" s="23">
        <v>0</v>
      </c>
      <c r="I27" s="24"/>
      <c r="J27" s="25"/>
      <c r="K27" s="26">
        <v>77.57544000000003</v>
      </c>
      <c r="L27" s="26">
        <v>0</v>
      </c>
      <c r="M27" s="27">
        <v>0</v>
      </c>
      <c r="N27" s="28"/>
      <c r="O27" s="25"/>
      <c r="P27" s="26">
        <v>453547.91712000006</v>
      </c>
      <c r="Q27" s="30">
        <v>74630.8</v>
      </c>
      <c r="R27" s="27">
        <v>0</v>
      </c>
      <c r="S27" s="28"/>
      <c r="T27" s="32">
        <v>0</v>
      </c>
      <c r="U27" s="33">
        <v>0</v>
      </c>
      <c r="V27" s="33">
        <v>0</v>
      </c>
      <c r="W27" s="34">
        <v>0</v>
      </c>
    </row>
    <row r="28" spans="1:23" ht="12.75">
      <c r="A28" s="18" t="s">
        <v>131</v>
      </c>
      <c r="B28" s="19" t="s">
        <v>28</v>
      </c>
      <c r="C28" s="20"/>
      <c r="D28" s="21">
        <v>524682.5494644975</v>
      </c>
      <c r="E28" s="22">
        <v>524682.5494644975</v>
      </c>
      <c r="F28" s="22">
        <f>93438.8812104838*(D28/SUM($D$26:$D$53))+303861.897936774</f>
        <v>306192.5459869049</v>
      </c>
      <c r="G28" s="22">
        <v>103307.36509080921</v>
      </c>
      <c r="H28" s="23">
        <v>0</v>
      </c>
      <c r="I28" s="24"/>
      <c r="J28" s="25"/>
      <c r="K28" s="26">
        <v>0</v>
      </c>
      <c r="L28" s="26">
        <v>0</v>
      </c>
      <c r="M28" s="27">
        <v>0</v>
      </c>
      <c r="N28" s="28"/>
      <c r="O28" s="25"/>
      <c r="P28" s="26">
        <v>0</v>
      </c>
      <c r="Q28" s="30">
        <v>0</v>
      </c>
      <c r="R28" s="27">
        <v>0</v>
      </c>
      <c r="S28" s="28"/>
      <c r="T28" s="32">
        <v>0</v>
      </c>
      <c r="U28" s="33">
        <v>0</v>
      </c>
      <c r="V28" s="33">
        <v>0</v>
      </c>
      <c r="W28" s="34">
        <v>0</v>
      </c>
    </row>
    <row r="29" spans="1:23" ht="12.75">
      <c r="A29" s="18" t="s">
        <v>132</v>
      </c>
      <c r="B29" s="19" t="s">
        <v>29</v>
      </c>
      <c r="C29" s="20"/>
      <c r="D29" s="21">
        <v>607143.8007384005</v>
      </c>
      <c r="E29" s="22">
        <v>607143.8007384005</v>
      </c>
      <c r="F29" s="22">
        <f>93438.8812104838*(D29/SUM($D$26:$D$53))+134037.055524129</f>
        <v>136733.99773572767</v>
      </c>
      <c r="G29" s="22">
        <v>50279.84719077815</v>
      </c>
      <c r="H29" s="23">
        <v>0</v>
      </c>
      <c r="I29" s="24"/>
      <c r="J29" s="25"/>
      <c r="K29" s="26">
        <v>49.03</v>
      </c>
      <c r="L29" s="26">
        <v>49.03</v>
      </c>
      <c r="M29" s="27">
        <v>0</v>
      </c>
      <c r="N29" s="28"/>
      <c r="O29" s="25"/>
      <c r="P29" s="26">
        <v>296384.414892</v>
      </c>
      <c r="Q29" s="30">
        <v>296384.414892</v>
      </c>
      <c r="R29" s="27">
        <v>0</v>
      </c>
      <c r="S29" s="28"/>
      <c r="T29" s="32">
        <v>0</v>
      </c>
      <c r="U29" s="33">
        <v>0</v>
      </c>
      <c r="V29" s="33">
        <v>0</v>
      </c>
      <c r="W29" s="34">
        <v>0</v>
      </c>
    </row>
    <row r="30" spans="1:23" ht="12.75">
      <c r="A30" s="18" t="s">
        <v>133</v>
      </c>
      <c r="B30" s="19" t="s">
        <v>32</v>
      </c>
      <c r="C30" s="20"/>
      <c r="D30" s="21">
        <v>140537.35852264304</v>
      </c>
      <c r="E30" s="22">
        <v>140537.35852264304</v>
      </c>
      <c r="F30" s="22">
        <f>93438.8812104838*(D30/SUM($D$26:$D$53))+150767.104484194</f>
        <v>151391.37361787423</v>
      </c>
      <c r="G30" s="22">
        <v>33115.371299849285</v>
      </c>
      <c r="H30" s="23">
        <v>0</v>
      </c>
      <c r="I30" s="24"/>
      <c r="J30" s="25"/>
      <c r="K30" s="26">
        <v>0</v>
      </c>
      <c r="L30" s="26">
        <v>0</v>
      </c>
      <c r="M30" s="27">
        <v>0</v>
      </c>
      <c r="N30" s="28"/>
      <c r="O30" s="25"/>
      <c r="P30" s="26">
        <v>0</v>
      </c>
      <c r="Q30" s="30">
        <v>0</v>
      </c>
      <c r="R30" s="27">
        <v>0</v>
      </c>
      <c r="S30" s="28"/>
      <c r="T30" s="32">
        <v>0</v>
      </c>
      <c r="U30" s="33">
        <v>0</v>
      </c>
      <c r="V30" s="33">
        <v>0</v>
      </c>
      <c r="W30" s="34">
        <v>0</v>
      </c>
    </row>
    <row r="31" spans="1:23" ht="12.75">
      <c r="A31" s="18" t="s">
        <v>134</v>
      </c>
      <c r="B31" s="19" t="s">
        <v>33</v>
      </c>
      <c r="C31" s="20"/>
      <c r="D31" s="21">
        <v>1355742.5495015564</v>
      </c>
      <c r="E31" s="22">
        <v>1355742.5495015564</v>
      </c>
      <c r="F31" s="22">
        <f>93438.8812104838*(D31/SUM($D$26:$D$53))+(675884.701747096*(2/3))</f>
        <v>456612.03066845663</v>
      </c>
      <c r="G31" s="22">
        <v>40569.20084456395</v>
      </c>
      <c r="H31" s="23">
        <v>0</v>
      </c>
      <c r="I31" s="24"/>
      <c r="J31" s="25"/>
      <c r="K31" s="26">
        <v>0</v>
      </c>
      <c r="L31" s="26">
        <v>0</v>
      </c>
      <c r="M31" s="27">
        <v>0</v>
      </c>
      <c r="N31" s="28"/>
      <c r="O31" s="25"/>
      <c r="P31" s="26">
        <v>0</v>
      </c>
      <c r="Q31" s="30">
        <v>0</v>
      </c>
      <c r="R31" s="27">
        <v>0</v>
      </c>
      <c r="S31" s="28"/>
      <c r="T31" s="32">
        <v>0</v>
      </c>
      <c r="U31" s="33">
        <v>0</v>
      </c>
      <c r="V31" s="33">
        <v>0</v>
      </c>
      <c r="W31" s="34">
        <v>0</v>
      </c>
    </row>
    <row r="32" spans="1:23" ht="12.75">
      <c r="A32" s="18" t="s">
        <v>135</v>
      </c>
      <c r="B32" s="19" t="s">
        <v>34</v>
      </c>
      <c r="C32" s="20"/>
      <c r="D32" s="21">
        <v>677871.2747507782</v>
      </c>
      <c r="E32" s="22">
        <v>677871.2747507782</v>
      </c>
      <c r="F32" s="22">
        <f>93438.8812104838*(D32/SUM($D$26:$D$53))+(675884.701747096*(1/3))</f>
        <v>228306.01533422832</v>
      </c>
      <c r="G32" s="22">
        <v>20284.600422281976</v>
      </c>
      <c r="H32" s="23">
        <v>0</v>
      </c>
      <c r="I32" s="24"/>
      <c r="J32" s="25"/>
      <c r="K32" s="26">
        <v>74.71496050000002</v>
      </c>
      <c r="L32" s="26">
        <v>30.972099500000027</v>
      </c>
      <c r="M32" s="27">
        <v>0</v>
      </c>
      <c r="N32" s="28"/>
      <c r="O32" s="25"/>
      <c r="P32" s="26">
        <v>850385.860395</v>
      </c>
      <c r="Q32" s="30">
        <v>352101.00939500047</v>
      </c>
      <c r="R32" s="27">
        <v>0</v>
      </c>
      <c r="S32" s="28"/>
      <c r="T32" s="32">
        <v>0</v>
      </c>
      <c r="U32" s="33">
        <v>0</v>
      </c>
      <c r="V32" s="33">
        <v>0</v>
      </c>
      <c r="W32" s="34">
        <v>0</v>
      </c>
    </row>
    <row r="33" spans="1:23" ht="12.75">
      <c r="A33" s="18" t="s">
        <v>136</v>
      </c>
      <c r="B33" s="19" t="s">
        <v>38</v>
      </c>
      <c r="C33" s="20"/>
      <c r="D33" s="21">
        <v>493768.7155304996</v>
      </c>
      <c r="E33" s="22">
        <v>493768.7155304996</v>
      </c>
      <c r="F33" s="22">
        <f>93438.8812104838*(D33/SUM($D$26:$D$53))+310796.587936774</f>
        <v>312989.9162554713</v>
      </c>
      <c r="G33" s="22">
        <v>55078.677641007904</v>
      </c>
      <c r="H33" s="23">
        <v>0</v>
      </c>
      <c r="I33" s="24"/>
      <c r="J33" s="25"/>
      <c r="K33" s="26">
        <v>49.93</v>
      </c>
      <c r="L33" s="26">
        <v>12.7</v>
      </c>
      <c r="M33" s="27">
        <v>0</v>
      </c>
      <c r="N33" s="28"/>
      <c r="O33" s="25"/>
      <c r="P33" s="26">
        <v>405808</v>
      </c>
      <c r="Q33" s="30">
        <v>93404</v>
      </c>
      <c r="R33" s="27">
        <v>0</v>
      </c>
      <c r="S33" s="28"/>
      <c r="T33" s="32">
        <v>0</v>
      </c>
      <c r="U33" s="33">
        <v>0</v>
      </c>
      <c r="V33" s="33">
        <v>0</v>
      </c>
      <c r="W33" s="34">
        <v>0</v>
      </c>
    </row>
    <row r="34" spans="1:23" ht="12.75">
      <c r="A34" s="18" t="s">
        <v>137</v>
      </c>
      <c r="B34" s="19" t="s">
        <v>21</v>
      </c>
      <c r="C34" s="20"/>
      <c r="D34" s="21">
        <v>1401256.6128585457</v>
      </c>
      <c r="E34" s="22">
        <v>1401256.6128585457</v>
      </c>
      <c r="F34" s="22">
        <f>93438.8812104838*(D34/SUM($D$26:$D$53))+775095.90883441</f>
        <v>781320.3125158836</v>
      </c>
      <c r="G34" s="22">
        <v>207819.0636962821</v>
      </c>
      <c r="H34" s="23">
        <v>441868.63579390204</v>
      </c>
      <c r="I34" s="24"/>
      <c r="J34" s="25"/>
      <c r="K34" s="26">
        <v>282</v>
      </c>
      <c r="L34" s="26">
        <v>80.6</v>
      </c>
      <c r="M34" s="27">
        <v>203.72</v>
      </c>
      <c r="N34" s="28"/>
      <c r="O34" s="25"/>
      <c r="P34" s="26">
        <v>2275002.8</v>
      </c>
      <c r="Q34" s="30">
        <v>691591.8</v>
      </c>
      <c r="R34" s="31">
        <v>2080506</v>
      </c>
      <c r="S34" s="28"/>
      <c r="T34" s="32">
        <v>0</v>
      </c>
      <c r="U34" s="33">
        <v>0</v>
      </c>
      <c r="V34" s="33">
        <v>0</v>
      </c>
      <c r="W34" s="34">
        <v>0</v>
      </c>
    </row>
    <row r="35" spans="1:23" ht="12.75">
      <c r="A35" s="18" t="s">
        <v>138</v>
      </c>
      <c r="B35" s="19" t="s">
        <v>39</v>
      </c>
      <c r="C35" s="20"/>
      <c r="D35" s="21">
        <v>891702.1097872814</v>
      </c>
      <c r="E35" s="22">
        <v>891702.1097872814</v>
      </c>
      <c r="F35" s="22">
        <f>93438.8812104838*(D35/SUM($D$26:$D$53))+510369.675621897</f>
        <v>514330.63027074974</v>
      </c>
      <c r="G35" s="22">
        <v>89753.46351541777</v>
      </c>
      <c r="H35" s="23">
        <v>32259.12</v>
      </c>
      <c r="I35" s="24"/>
      <c r="J35" s="25"/>
      <c r="K35" s="26">
        <v>164</v>
      </c>
      <c r="L35" s="26">
        <v>0</v>
      </c>
      <c r="M35" s="27">
        <v>30.8</v>
      </c>
      <c r="N35" s="28"/>
      <c r="O35" s="25"/>
      <c r="P35" s="26">
        <v>2047157</v>
      </c>
      <c r="Q35" s="30">
        <v>781473</v>
      </c>
      <c r="R35" s="31">
        <v>134413</v>
      </c>
      <c r="S35" s="28"/>
      <c r="T35" s="32">
        <v>0</v>
      </c>
      <c r="U35" s="33">
        <v>0</v>
      </c>
      <c r="V35" s="33">
        <v>0</v>
      </c>
      <c r="W35" s="34">
        <v>0</v>
      </c>
    </row>
    <row r="36" spans="1:23" ht="12.75">
      <c r="A36" s="18" t="s">
        <v>139</v>
      </c>
      <c r="B36" s="19" t="s">
        <v>22</v>
      </c>
      <c r="C36" s="20"/>
      <c r="D36" s="21">
        <v>1337553.164680922</v>
      </c>
      <c r="E36" s="22">
        <v>1337553.164680922</v>
      </c>
      <c r="F36" s="22">
        <f>93438.8812104838*(D36/SUM($D$26:$D$53))+139810.718432846</f>
        <v>145752.15040612512</v>
      </c>
      <c r="G36" s="22">
        <v>22210.07027312815</v>
      </c>
      <c r="H36" s="23">
        <v>565281.36</v>
      </c>
      <c r="I36" s="24"/>
      <c r="J36" s="25"/>
      <c r="K36" s="26">
        <v>0</v>
      </c>
      <c r="L36" s="26">
        <v>0</v>
      </c>
      <c r="M36" s="27">
        <v>564.2</v>
      </c>
      <c r="N36" s="28"/>
      <c r="O36" s="25"/>
      <c r="P36" s="26">
        <v>227178</v>
      </c>
      <c r="Q36" s="30">
        <v>0</v>
      </c>
      <c r="R36" s="31">
        <v>3129302</v>
      </c>
      <c r="S36" s="28"/>
      <c r="T36" s="32">
        <v>0</v>
      </c>
      <c r="U36" s="33">
        <v>0</v>
      </c>
      <c r="V36" s="33">
        <v>0</v>
      </c>
      <c r="W36" s="34">
        <v>0</v>
      </c>
    </row>
    <row r="37" spans="1:23" ht="12.75">
      <c r="A37" s="18" t="s">
        <v>140</v>
      </c>
      <c r="B37" s="19" t="s">
        <v>23</v>
      </c>
      <c r="C37" s="20"/>
      <c r="D37" s="21">
        <v>700628.3064292729</v>
      </c>
      <c r="E37" s="22">
        <v>700628.3064292729</v>
      </c>
      <c r="F37" s="22">
        <f>93438.8812104838*(D37/SUM($D$26:$D$53))+126779.734417205</f>
        <v>129891.93625794178</v>
      </c>
      <c r="G37" s="22">
        <v>15562.791848141525</v>
      </c>
      <c r="H37" s="23">
        <v>0</v>
      </c>
      <c r="I37" s="24"/>
      <c r="J37" s="25"/>
      <c r="K37" s="26">
        <v>0.7</v>
      </c>
      <c r="L37" s="26">
        <v>0</v>
      </c>
      <c r="M37" s="27">
        <v>0</v>
      </c>
      <c r="N37" s="28"/>
      <c r="O37" s="25"/>
      <c r="P37" s="26">
        <v>4271</v>
      </c>
      <c r="Q37" s="30">
        <v>0</v>
      </c>
      <c r="R37" s="27">
        <v>0</v>
      </c>
      <c r="S37" s="28"/>
      <c r="T37" s="32">
        <v>0</v>
      </c>
      <c r="U37" s="33">
        <v>0</v>
      </c>
      <c r="V37" s="33">
        <v>0</v>
      </c>
      <c r="W37" s="34">
        <v>0</v>
      </c>
    </row>
    <row r="38" spans="1:23" ht="12.75">
      <c r="A38" s="18" t="s">
        <v>141</v>
      </c>
      <c r="B38" s="19" t="s">
        <v>62</v>
      </c>
      <c r="C38" s="20"/>
      <c r="D38" s="21">
        <v>3184660.8324331087</v>
      </c>
      <c r="E38" s="22">
        <v>3184660.8324331087</v>
      </c>
      <c r="F38" s="22">
        <f>93438.8812104838*(D38/SUM($D$26:$D$53))+1030936.2300782</f>
        <v>1045082.543057379</v>
      </c>
      <c r="G38" s="22">
        <v>185588.95072711445</v>
      </c>
      <c r="H38" s="23">
        <v>1941427.776</v>
      </c>
      <c r="I38" s="24"/>
      <c r="J38" s="25"/>
      <c r="K38" s="26">
        <v>343.5</v>
      </c>
      <c r="L38" s="26">
        <v>293.3</v>
      </c>
      <c r="M38" s="27">
        <v>1438.18</v>
      </c>
      <c r="N38" s="28"/>
      <c r="O38" s="25"/>
      <c r="P38" s="26">
        <v>2152848.4</v>
      </c>
      <c r="Q38" s="30">
        <v>1656491.4</v>
      </c>
      <c r="R38" s="31">
        <v>8089282.400000001</v>
      </c>
      <c r="S38" s="28"/>
      <c r="T38" s="32">
        <v>0</v>
      </c>
      <c r="U38" s="33">
        <v>0</v>
      </c>
      <c r="V38" s="33">
        <v>0</v>
      </c>
      <c r="W38" s="34">
        <v>0</v>
      </c>
    </row>
    <row r="39" spans="1:23" ht="12.75">
      <c r="A39" s="18" t="s">
        <v>142</v>
      </c>
      <c r="B39" s="19" t="s">
        <v>108</v>
      </c>
      <c r="C39" s="20"/>
      <c r="D39" s="21">
        <v>5317398.68369682</v>
      </c>
      <c r="E39" s="22">
        <v>5317398.68369682</v>
      </c>
      <c r="F39" s="22">
        <f>93438.8812104838*(D39/SUM($D$26:$D$53))+5369650.49537412</f>
        <v>5393270.463079497</v>
      </c>
      <c r="G39" s="22">
        <v>221453.20282548014</v>
      </c>
      <c r="H39" s="23">
        <v>0</v>
      </c>
      <c r="I39" s="24"/>
      <c r="J39" s="25"/>
      <c r="K39" s="26">
        <v>3105.3993012945457</v>
      </c>
      <c r="L39" s="26">
        <v>489.8120931042522</v>
      </c>
      <c r="M39" s="27">
        <v>0</v>
      </c>
      <c r="N39" s="28"/>
      <c r="O39" s="25"/>
      <c r="P39" s="26">
        <v>14021320.8939421</v>
      </c>
      <c r="Q39" s="30">
        <v>5420218.941225437</v>
      </c>
      <c r="R39" s="27">
        <v>0</v>
      </c>
      <c r="S39" s="28"/>
      <c r="T39" s="32">
        <v>0</v>
      </c>
      <c r="U39" s="33">
        <v>0</v>
      </c>
      <c r="V39" s="33">
        <v>0</v>
      </c>
      <c r="W39" s="34">
        <v>0</v>
      </c>
    </row>
    <row r="40" spans="1:23" ht="12.75">
      <c r="A40" s="18" t="s">
        <v>143</v>
      </c>
      <c r="B40" s="19" t="s">
        <v>102</v>
      </c>
      <c r="C40" s="20"/>
      <c r="D40" s="21">
        <v>509542.3226796435</v>
      </c>
      <c r="E40" s="22">
        <v>509542.3226796435</v>
      </c>
      <c r="F40" s="22">
        <f>93438.8812104838*(D40/SUM($D$26:$D$53))+113438.513212513</f>
        <v>115701.90813964469</v>
      </c>
      <c r="G40" s="22">
        <v>12440.99731346879</v>
      </c>
      <c r="H40" s="23">
        <v>33920.93023255814</v>
      </c>
      <c r="I40" s="24"/>
      <c r="J40" s="25"/>
      <c r="K40" s="26">
        <v>0</v>
      </c>
      <c r="L40" s="26">
        <v>0</v>
      </c>
      <c r="M40" s="27">
        <v>0</v>
      </c>
      <c r="N40" s="28"/>
      <c r="O40" s="25"/>
      <c r="P40" s="26">
        <v>0</v>
      </c>
      <c r="Q40" s="30">
        <v>0</v>
      </c>
      <c r="R40" s="31">
        <v>486200</v>
      </c>
      <c r="S40" s="28"/>
      <c r="T40" s="32">
        <v>0</v>
      </c>
      <c r="U40" s="33">
        <v>0</v>
      </c>
      <c r="V40" s="33">
        <v>0</v>
      </c>
      <c r="W40" s="34">
        <v>0</v>
      </c>
    </row>
    <row r="41" spans="1:24" ht="12.75">
      <c r="A41" s="18" t="s">
        <v>144</v>
      </c>
      <c r="B41" s="19" t="s">
        <v>77</v>
      </c>
      <c r="C41" s="20"/>
      <c r="D41" s="21">
        <v>0</v>
      </c>
      <c r="E41" s="22">
        <v>0</v>
      </c>
      <c r="F41" s="22">
        <f>93438.8812104838*(D41/SUM($D$26:$D$53))+13163.48</f>
        <v>13163.48</v>
      </c>
      <c r="G41" s="22">
        <v>0</v>
      </c>
      <c r="H41" s="23">
        <v>0</v>
      </c>
      <c r="I41" s="24"/>
      <c r="J41" s="25"/>
      <c r="K41" s="26">
        <v>48.45600000000002</v>
      </c>
      <c r="L41" s="26">
        <v>0</v>
      </c>
      <c r="M41" s="27">
        <v>0</v>
      </c>
      <c r="N41" s="28"/>
      <c r="O41" s="25"/>
      <c r="P41" s="26">
        <v>165753.22</v>
      </c>
      <c r="Q41" s="30">
        <v>0</v>
      </c>
      <c r="R41" s="27">
        <v>0</v>
      </c>
      <c r="S41" s="28"/>
      <c r="T41" s="32">
        <v>0</v>
      </c>
      <c r="U41" s="33">
        <v>0</v>
      </c>
      <c r="V41" s="33">
        <v>0</v>
      </c>
      <c r="W41" s="34">
        <v>0</v>
      </c>
      <c r="X41" s="91"/>
    </row>
    <row r="42" spans="1:24" ht="12.75">
      <c r="A42" s="18" t="s">
        <v>145</v>
      </c>
      <c r="B42" s="19" t="s">
        <v>10</v>
      </c>
      <c r="C42" s="20"/>
      <c r="D42" s="21">
        <v>382159.78710763785</v>
      </c>
      <c r="E42" s="22">
        <v>382159.78710763785</v>
      </c>
      <c r="F42" s="22">
        <f>93438.8812104838*(D42/SUM($D$26:$D$53))+74088.3524093846</f>
        <v>75785.91213110565</v>
      </c>
      <c r="G42" s="22">
        <v>-792.273798049835</v>
      </c>
      <c r="H42" s="23">
        <v>0</v>
      </c>
      <c r="I42" s="24"/>
      <c r="J42" s="25"/>
      <c r="K42" s="26">
        <v>0</v>
      </c>
      <c r="L42" s="26">
        <v>0</v>
      </c>
      <c r="M42" s="27">
        <v>0</v>
      </c>
      <c r="N42" s="28"/>
      <c r="O42" s="25"/>
      <c r="P42" s="26">
        <v>0</v>
      </c>
      <c r="Q42" s="30">
        <v>0</v>
      </c>
      <c r="R42" s="27">
        <v>0</v>
      </c>
      <c r="S42" s="28"/>
      <c r="T42" s="32">
        <v>0</v>
      </c>
      <c r="U42" s="33">
        <v>0</v>
      </c>
      <c r="V42" s="33">
        <v>0</v>
      </c>
      <c r="W42" s="34">
        <v>0</v>
      </c>
      <c r="X42" s="91"/>
    </row>
    <row r="43" spans="1:24" ht="12.75">
      <c r="A43" s="18" t="s">
        <v>146</v>
      </c>
      <c r="B43" s="19" t="s">
        <v>105</v>
      </c>
      <c r="C43" s="20"/>
      <c r="D43" s="21">
        <v>0</v>
      </c>
      <c r="E43" s="22">
        <v>0</v>
      </c>
      <c r="F43" s="22">
        <f>93438.8812104838*(D43/SUM($D$26:$D$53))+355703.24</f>
        <v>355703.24</v>
      </c>
      <c r="G43" s="22">
        <v>47129.32</v>
      </c>
      <c r="H43" s="23">
        <v>0</v>
      </c>
      <c r="I43" s="24"/>
      <c r="J43" s="25"/>
      <c r="K43" s="26">
        <v>426.55</v>
      </c>
      <c r="L43" s="26">
        <v>190.55</v>
      </c>
      <c r="M43" s="27">
        <v>0</v>
      </c>
      <c r="N43" s="28"/>
      <c r="O43" s="25"/>
      <c r="P43" s="26">
        <v>2709812</v>
      </c>
      <c r="Q43" s="30">
        <v>1521977</v>
      </c>
      <c r="R43" s="27">
        <v>0</v>
      </c>
      <c r="S43" s="28"/>
      <c r="T43" s="32">
        <v>0</v>
      </c>
      <c r="U43" s="33">
        <v>0</v>
      </c>
      <c r="V43" s="33">
        <v>0</v>
      </c>
      <c r="W43" s="34">
        <v>0</v>
      </c>
      <c r="X43" s="91"/>
    </row>
    <row r="44" spans="1:24" ht="12.75">
      <c r="A44" s="18" t="s">
        <v>168</v>
      </c>
      <c r="B44" s="19" t="s">
        <v>75</v>
      </c>
      <c r="C44" s="20"/>
      <c r="D44" s="21">
        <v>172864.1178846724</v>
      </c>
      <c r="E44" s="22">
        <v>172864.1178846724</v>
      </c>
      <c r="F44" s="22">
        <f>93438.8812104838*(D44/SUM($D$26:$D$53))+149843.808277871</f>
        <v>150611.67337972487</v>
      </c>
      <c r="G44" s="22">
        <v>15355.936283716612</v>
      </c>
      <c r="H44" s="23">
        <v>0</v>
      </c>
      <c r="I44" s="24"/>
      <c r="J44" s="25"/>
      <c r="K44" s="26">
        <v>0</v>
      </c>
      <c r="L44" s="26">
        <v>0</v>
      </c>
      <c r="M44" s="27">
        <v>0</v>
      </c>
      <c r="N44" s="28"/>
      <c r="O44" s="25"/>
      <c r="P44" s="26">
        <v>0</v>
      </c>
      <c r="Q44" s="30">
        <v>0</v>
      </c>
      <c r="R44" s="27">
        <v>0</v>
      </c>
      <c r="S44" s="28"/>
      <c r="T44" s="32">
        <v>0</v>
      </c>
      <c r="U44" s="33">
        <v>0</v>
      </c>
      <c r="V44" s="33">
        <v>0</v>
      </c>
      <c r="W44" s="34">
        <v>0</v>
      </c>
      <c r="X44" s="91"/>
    </row>
    <row r="45" spans="1:24" ht="12.75">
      <c r="A45" s="18" t="s">
        <v>169</v>
      </c>
      <c r="B45" s="19" t="s">
        <v>101</v>
      </c>
      <c r="C45" s="20"/>
      <c r="D45" s="21">
        <v>135847.90774857323</v>
      </c>
      <c r="E45" s="22">
        <v>135847.90774857323</v>
      </c>
      <c r="F45" s="22">
        <f>93438.8812104838*(D45/SUM($D$26:$D$53))+73766.5822420968</f>
        <v>74370.0207624587</v>
      </c>
      <c r="G45" s="22">
        <v>10614.708707343525</v>
      </c>
      <c r="H45" s="23">
        <v>0</v>
      </c>
      <c r="I45" s="24"/>
      <c r="J45" s="25"/>
      <c r="K45" s="26">
        <v>0</v>
      </c>
      <c r="L45" s="26">
        <v>0</v>
      </c>
      <c r="M45" s="27">
        <v>0</v>
      </c>
      <c r="N45" s="28"/>
      <c r="O45" s="25"/>
      <c r="P45" s="26">
        <v>0</v>
      </c>
      <c r="Q45" s="30">
        <v>0</v>
      </c>
      <c r="R45" s="27">
        <v>0</v>
      </c>
      <c r="S45" s="28"/>
      <c r="T45" s="32">
        <v>0</v>
      </c>
      <c r="U45" s="33">
        <v>0</v>
      </c>
      <c r="V45" s="33">
        <v>0</v>
      </c>
      <c r="W45" s="34">
        <v>0</v>
      </c>
      <c r="X45" s="91"/>
    </row>
    <row r="46" spans="1:24" ht="12.75">
      <c r="A46" s="18" t="s">
        <v>177</v>
      </c>
      <c r="B46" s="19" t="s">
        <v>173</v>
      </c>
      <c r="C46" s="20"/>
      <c r="D46" s="21">
        <v>0</v>
      </c>
      <c r="E46" s="22">
        <v>0</v>
      </c>
      <c r="F46" s="22">
        <f>93438.8812104838*(D46/SUM($D$26:$D$53))+29652.73</f>
        <v>29652.73</v>
      </c>
      <c r="G46" s="22">
        <v>24402.98</v>
      </c>
      <c r="H46" s="23">
        <v>0</v>
      </c>
      <c r="I46" s="24"/>
      <c r="J46" s="25"/>
      <c r="K46" s="26">
        <v>0</v>
      </c>
      <c r="L46" s="26">
        <v>0</v>
      </c>
      <c r="M46" s="27">
        <v>0</v>
      </c>
      <c r="N46" s="28"/>
      <c r="O46" s="25"/>
      <c r="P46" s="26">
        <v>0</v>
      </c>
      <c r="Q46" s="30">
        <v>0</v>
      </c>
      <c r="R46" s="27">
        <v>0</v>
      </c>
      <c r="S46" s="28"/>
      <c r="T46" s="32">
        <v>0</v>
      </c>
      <c r="U46" s="33">
        <v>0</v>
      </c>
      <c r="V46" s="33">
        <v>0</v>
      </c>
      <c r="W46" s="34">
        <v>0</v>
      </c>
      <c r="X46" s="91"/>
    </row>
    <row r="47" spans="1:24" ht="12.75">
      <c r="A47" s="18" t="s">
        <v>178</v>
      </c>
      <c r="B47" s="19" t="s">
        <v>174</v>
      </c>
      <c r="C47" s="20"/>
      <c r="D47" s="21">
        <v>0</v>
      </c>
      <c r="E47" s="22">
        <v>0</v>
      </c>
      <c r="F47" s="22">
        <f>93438.8812104838*(D47/SUM($D$26:$D$53))+10610.2</f>
        <v>10610.2</v>
      </c>
      <c r="G47" s="22">
        <v>5695.09</v>
      </c>
      <c r="H47" s="23">
        <v>0</v>
      </c>
      <c r="I47" s="24"/>
      <c r="J47" s="25"/>
      <c r="K47" s="26">
        <v>0</v>
      </c>
      <c r="L47" s="26">
        <v>0</v>
      </c>
      <c r="M47" s="27">
        <v>0</v>
      </c>
      <c r="N47" s="28"/>
      <c r="O47" s="25"/>
      <c r="P47" s="26">
        <v>0</v>
      </c>
      <c r="Q47" s="30">
        <v>0</v>
      </c>
      <c r="R47" s="27">
        <v>0</v>
      </c>
      <c r="S47" s="28"/>
      <c r="T47" s="32">
        <v>0</v>
      </c>
      <c r="U47" s="33">
        <v>0</v>
      </c>
      <c r="V47" s="33">
        <v>0</v>
      </c>
      <c r="W47" s="34">
        <v>0</v>
      </c>
      <c r="X47" s="91"/>
    </row>
    <row r="48" spans="1:24" ht="12.75">
      <c r="A48" s="18" t="s">
        <v>179</v>
      </c>
      <c r="B48" s="19" t="s">
        <v>175</v>
      </c>
      <c r="C48" s="20"/>
      <c r="D48" s="21">
        <v>0</v>
      </c>
      <c r="E48" s="22">
        <v>0</v>
      </c>
      <c r="F48" s="22">
        <f>93438.8812104838*(D48/SUM($D$26:$D$53))+8315.83</f>
        <v>8315.83</v>
      </c>
      <c r="G48" s="22">
        <v>4174.57</v>
      </c>
      <c r="H48" s="23">
        <v>0</v>
      </c>
      <c r="I48" s="24"/>
      <c r="J48" s="25"/>
      <c r="K48" s="26">
        <v>0</v>
      </c>
      <c r="L48" s="26">
        <v>0</v>
      </c>
      <c r="M48" s="27">
        <v>0</v>
      </c>
      <c r="N48" s="28"/>
      <c r="O48" s="25"/>
      <c r="P48" s="26">
        <v>0</v>
      </c>
      <c r="Q48" s="30">
        <v>0</v>
      </c>
      <c r="R48" s="27">
        <v>0</v>
      </c>
      <c r="S48" s="28"/>
      <c r="T48" s="32">
        <v>0</v>
      </c>
      <c r="U48" s="33">
        <v>0</v>
      </c>
      <c r="V48" s="33">
        <v>0</v>
      </c>
      <c r="W48" s="34">
        <v>0</v>
      </c>
      <c r="X48" s="91"/>
    </row>
    <row r="49" spans="1:24" ht="12.75">
      <c r="A49" s="18" t="s">
        <v>180</v>
      </c>
      <c r="B49" s="19" t="s">
        <v>176</v>
      </c>
      <c r="C49" s="20"/>
      <c r="D49" s="21">
        <v>0</v>
      </c>
      <c r="E49" s="22">
        <v>0</v>
      </c>
      <c r="F49" s="22">
        <f>93438.8812104838*(D49/SUM($D$26:$D$53))+57493.24</f>
        <v>57493.24</v>
      </c>
      <c r="G49" s="22">
        <v>20695.35</v>
      </c>
      <c r="H49" s="23">
        <v>0</v>
      </c>
      <c r="I49" s="24"/>
      <c r="J49" s="25"/>
      <c r="K49" s="26">
        <v>0</v>
      </c>
      <c r="L49" s="26">
        <v>0</v>
      </c>
      <c r="M49" s="27">
        <v>0</v>
      </c>
      <c r="N49" s="28"/>
      <c r="O49" s="25"/>
      <c r="P49" s="26">
        <v>0</v>
      </c>
      <c r="Q49" s="30">
        <v>0</v>
      </c>
      <c r="R49" s="27">
        <v>0</v>
      </c>
      <c r="S49" s="28"/>
      <c r="T49" s="32">
        <v>0</v>
      </c>
      <c r="U49" s="33">
        <v>0</v>
      </c>
      <c r="V49" s="33">
        <v>0</v>
      </c>
      <c r="W49" s="34">
        <v>0</v>
      </c>
      <c r="X49" s="91"/>
    </row>
    <row r="50" spans="1:24" ht="12.75">
      <c r="A50" s="18" t="s">
        <v>181</v>
      </c>
      <c r="B50" s="19" t="s">
        <v>185</v>
      </c>
      <c r="C50" s="20"/>
      <c r="D50" s="21">
        <v>0</v>
      </c>
      <c r="E50" s="22">
        <v>0</v>
      </c>
      <c r="F50" s="22">
        <f>93438.8812104838*(D50/SUM($D$26:$D$53))+20170.22</f>
        <v>20170.22</v>
      </c>
      <c r="G50" s="22">
        <v>7729.25</v>
      </c>
      <c r="H50" s="23">
        <v>0</v>
      </c>
      <c r="I50" s="24"/>
      <c r="J50" s="25"/>
      <c r="K50" s="26">
        <v>0</v>
      </c>
      <c r="L50" s="26">
        <v>0</v>
      </c>
      <c r="M50" s="27">
        <v>0</v>
      </c>
      <c r="N50" s="28"/>
      <c r="O50" s="25"/>
      <c r="P50" s="26">
        <v>0</v>
      </c>
      <c r="Q50" s="30">
        <v>0</v>
      </c>
      <c r="R50" s="27">
        <v>0</v>
      </c>
      <c r="S50" s="28"/>
      <c r="T50" s="32">
        <v>0</v>
      </c>
      <c r="U50" s="33">
        <v>0</v>
      </c>
      <c r="V50" s="33">
        <v>0</v>
      </c>
      <c r="W50" s="34">
        <v>0</v>
      </c>
      <c r="X50" s="91"/>
    </row>
    <row r="51" spans="1:24" ht="12.75">
      <c r="A51" s="18" t="s">
        <v>182</v>
      </c>
      <c r="B51" s="19" t="s">
        <v>186</v>
      </c>
      <c r="C51" s="20"/>
      <c r="D51" s="21">
        <v>0</v>
      </c>
      <c r="E51" s="22">
        <v>0</v>
      </c>
      <c r="F51" s="22">
        <f>93438.8812104838*(D51/SUM($D$26:$D$53))+45692.09</f>
        <v>45692.09</v>
      </c>
      <c r="G51" s="22">
        <v>-85534.46</v>
      </c>
      <c r="H51" s="23">
        <v>0</v>
      </c>
      <c r="I51" s="24"/>
      <c r="J51" s="25"/>
      <c r="K51" s="26">
        <v>0</v>
      </c>
      <c r="L51" s="26">
        <v>0</v>
      </c>
      <c r="M51" s="27">
        <v>0</v>
      </c>
      <c r="N51" s="28"/>
      <c r="O51" s="25"/>
      <c r="P51" s="26">
        <v>0</v>
      </c>
      <c r="Q51" s="30">
        <v>0</v>
      </c>
      <c r="R51" s="27">
        <v>0</v>
      </c>
      <c r="S51" s="28"/>
      <c r="T51" s="32">
        <v>0</v>
      </c>
      <c r="U51" s="33">
        <v>0</v>
      </c>
      <c r="V51" s="33">
        <v>0</v>
      </c>
      <c r="W51" s="34">
        <v>0</v>
      </c>
      <c r="X51" s="91"/>
    </row>
    <row r="52" spans="1:24" ht="12.75">
      <c r="A52" s="18" t="s">
        <v>183</v>
      </c>
      <c r="B52" s="19" t="s">
        <v>187</v>
      </c>
      <c r="C52" s="20"/>
      <c r="D52" s="21">
        <v>0</v>
      </c>
      <c r="E52" s="22">
        <v>0</v>
      </c>
      <c r="F52" s="22">
        <f>93438.8812104838*(D52/SUM($D$26:$D$53))+226.69</f>
        <v>226.69</v>
      </c>
      <c r="G52" s="22">
        <v>142.84</v>
      </c>
      <c r="H52" s="23">
        <v>0</v>
      </c>
      <c r="I52" s="24"/>
      <c r="J52" s="25"/>
      <c r="K52" s="26">
        <v>0</v>
      </c>
      <c r="L52" s="26">
        <v>0</v>
      </c>
      <c r="M52" s="27">
        <v>0</v>
      </c>
      <c r="N52" s="28"/>
      <c r="O52" s="25"/>
      <c r="P52" s="26">
        <v>0</v>
      </c>
      <c r="Q52" s="30">
        <v>0</v>
      </c>
      <c r="R52" s="27">
        <v>0</v>
      </c>
      <c r="S52" s="28"/>
      <c r="T52" s="32">
        <v>0</v>
      </c>
      <c r="U52" s="33">
        <v>0</v>
      </c>
      <c r="V52" s="33">
        <v>0</v>
      </c>
      <c r="W52" s="34">
        <v>0</v>
      </c>
      <c r="X52" s="91"/>
    </row>
    <row r="53" spans="1:24" ht="12.75">
      <c r="A53" s="18" t="s">
        <v>184</v>
      </c>
      <c r="B53" s="19" t="s">
        <v>188</v>
      </c>
      <c r="C53" s="20"/>
      <c r="D53" s="21">
        <v>0</v>
      </c>
      <c r="E53" s="22">
        <v>0</v>
      </c>
      <c r="F53" s="22">
        <f>93438.8812104838*(D53/SUM($D$26:$D$53))+15568.54</f>
        <v>15568.54</v>
      </c>
      <c r="G53" s="22">
        <v>9970.75</v>
      </c>
      <c r="H53" s="23">
        <v>0</v>
      </c>
      <c r="I53" s="24"/>
      <c r="J53" s="25"/>
      <c r="K53" s="26">
        <v>0</v>
      </c>
      <c r="L53" s="26">
        <v>0</v>
      </c>
      <c r="M53" s="27">
        <v>0</v>
      </c>
      <c r="N53" s="28"/>
      <c r="O53" s="25"/>
      <c r="P53" s="26">
        <v>0</v>
      </c>
      <c r="Q53" s="30">
        <v>0</v>
      </c>
      <c r="R53" s="27">
        <v>0</v>
      </c>
      <c r="S53" s="28"/>
      <c r="T53" s="32">
        <v>0</v>
      </c>
      <c r="U53" s="33">
        <v>0</v>
      </c>
      <c r="V53" s="33">
        <v>0</v>
      </c>
      <c r="W53" s="34">
        <v>0</v>
      </c>
      <c r="X53" s="91"/>
    </row>
    <row r="54" spans="1:23" ht="12.75">
      <c r="A54" s="35" t="s">
        <v>40</v>
      </c>
      <c r="B54" s="19"/>
      <c r="C54" s="20"/>
      <c r="D54" s="21"/>
      <c r="E54" s="22"/>
      <c r="F54" s="22"/>
      <c r="G54" s="22"/>
      <c r="H54" s="23"/>
      <c r="I54" s="28"/>
      <c r="J54" s="25"/>
      <c r="K54" s="26"/>
      <c r="L54" s="26"/>
      <c r="M54" s="27"/>
      <c r="N54" s="28"/>
      <c r="O54" s="25"/>
      <c r="P54" s="26"/>
      <c r="Q54" s="30"/>
      <c r="R54" s="31"/>
      <c r="S54" s="28"/>
      <c r="T54" s="32"/>
      <c r="U54" s="33"/>
      <c r="V54" s="33"/>
      <c r="W54" s="34"/>
    </row>
    <row r="55" spans="1:23" ht="12.75">
      <c r="A55" s="18" t="s">
        <v>147</v>
      </c>
      <c r="B55" s="36" t="s">
        <v>41</v>
      </c>
      <c r="C55" s="20"/>
      <c r="D55" s="21">
        <v>1265004</v>
      </c>
      <c r="E55" s="22">
        <v>1265004</v>
      </c>
      <c r="F55" s="22">
        <v>1276877.52</v>
      </c>
      <c r="G55" s="22">
        <v>141362.04</v>
      </c>
      <c r="H55" s="23"/>
      <c r="I55" s="24"/>
      <c r="J55" s="25"/>
      <c r="K55" s="26">
        <v>0</v>
      </c>
      <c r="L55" s="26">
        <v>0</v>
      </c>
      <c r="M55" s="27"/>
      <c r="N55" s="28"/>
      <c r="O55" s="25"/>
      <c r="P55" s="26">
        <v>0</v>
      </c>
      <c r="Q55" s="30">
        <v>0</v>
      </c>
      <c r="R55" s="31"/>
      <c r="S55" s="28"/>
      <c r="T55" s="32">
        <v>0</v>
      </c>
      <c r="U55" s="33">
        <v>0</v>
      </c>
      <c r="V55" s="33">
        <v>0</v>
      </c>
      <c r="W55" s="34">
        <v>0</v>
      </c>
    </row>
    <row r="56" spans="1:23" ht="12.75">
      <c r="A56" s="18" t="s">
        <v>148</v>
      </c>
      <c r="B56" s="36" t="s">
        <v>74</v>
      </c>
      <c r="C56" s="20"/>
      <c r="D56" s="21">
        <v>1705404</v>
      </c>
      <c r="E56" s="22">
        <v>1705404</v>
      </c>
      <c r="F56" s="22">
        <v>712120.8587204712</v>
      </c>
      <c r="G56" s="22">
        <v>113707.73045762198</v>
      </c>
      <c r="H56" s="23">
        <v>1162854.6784000006</v>
      </c>
      <c r="I56" s="24"/>
      <c r="J56" s="25"/>
      <c r="K56" s="26">
        <v>610.675</v>
      </c>
      <c r="L56" s="26">
        <v>174.775</v>
      </c>
      <c r="M56" s="27">
        <v>2797.44</v>
      </c>
      <c r="N56" s="28"/>
      <c r="O56" s="25"/>
      <c r="P56" s="26">
        <v>2953385.875</v>
      </c>
      <c r="Q56" s="30">
        <v>785840.1749999998</v>
      </c>
      <c r="R56" s="31">
        <v>8991916.620000001</v>
      </c>
      <c r="S56" s="28"/>
      <c r="T56" s="32">
        <v>0</v>
      </c>
      <c r="U56" s="33">
        <v>0</v>
      </c>
      <c r="V56" s="33">
        <v>0</v>
      </c>
      <c r="W56" s="34">
        <v>0</v>
      </c>
    </row>
    <row r="57" spans="1:23" ht="12.75">
      <c r="A57" s="18" t="s">
        <v>149</v>
      </c>
      <c r="B57" s="36" t="s">
        <v>92</v>
      </c>
      <c r="C57" s="20"/>
      <c r="D57" s="21">
        <v>236652</v>
      </c>
      <c r="E57" s="22">
        <v>236652</v>
      </c>
      <c r="F57" s="22">
        <v>34484.08899872228</v>
      </c>
      <c r="G57" s="22">
        <v>6640.545660429445</v>
      </c>
      <c r="H57" s="23">
        <v>0</v>
      </c>
      <c r="I57" s="24"/>
      <c r="J57" s="25"/>
      <c r="K57" s="26">
        <v>0</v>
      </c>
      <c r="L57" s="26">
        <v>0</v>
      </c>
      <c r="M57" s="27">
        <v>0</v>
      </c>
      <c r="N57" s="28"/>
      <c r="O57" s="25"/>
      <c r="P57" s="26">
        <v>0</v>
      </c>
      <c r="Q57" s="30">
        <v>0</v>
      </c>
      <c r="R57" s="27">
        <v>0</v>
      </c>
      <c r="S57" s="28"/>
      <c r="T57" s="32">
        <v>0</v>
      </c>
      <c r="U57" s="33">
        <v>0</v>
      </c>
      <c r="V57" s="33">
        <v>0</v>
      </c>
      <c r="W57" s="34">
        <v>0</v>
      </c>
    </row>
    <row r="58" spans="1:23" ht="12.75">
      <c r="A58" s="18" t="s">
        <v>150</v>
      </c>
      <c r="B58" s="36" t="s">
        <v>19</v>
      </c>
      <c r="C58" s="20"/>
      <c r="D58" s="21">
        <v>1329036</v>
      </c>
      <c r="E58" s="22">
        <v>1329036</v>
      </c>
      <c r="F58" s="22">
        <v>174801.65726761668</v>
      </c>
      <c r="G58" s="22">
        <v>9997.894398308155</v>
      </c>
      <c r="H58" s="23">
        <v>412960.83204</v>
      </c>
      <c r="I58" s="24"/>
      <c r="J58" s="25"/>
      <c r="K58" s="26">
        <v>0</v>
      </c>
      <c r="L58" s="26">
        <v>0</v>
      </c>
      <c r="M58" s="27">
        <v>479.61400000000003</v>
      </c>
      <c r="N58" s="28"/>
      <c r="O58" s="25"/>
      <c r="P58" s="26">
        <v>0</v>
      </c>
      <c r="Q58" s="30">
        <v>0</v>
      </c>
      <c r="R58" s="31">
        <v>2310863.28</v>
      </c>
      <c r="S58" s="28"/>
      <c r="T58" s="32">
        <v>0</v>
      </c>
      <c r="U58" s="33">
        <v>0</v>
      </c>
      <c r="V58" s="33">
        <v>0</v>
      </c>
      <c r="W58" s="34">
        <v>0</v>
      </c>
    </row>
    <row r="59" spans="1:23" ht="12.75">
      <c r="A59" s="18" t="s">
        <v>151</v>
      </c>
      <c r="B59" s="36" t="s">
        <v>20</v>
      </c>
      <c r="C59" s="20"/>
      <c r="D59" s="21">
        <v>489348</v>
      </c>
      <c r="E59" s="22">
        <v>489348</v>
      </c>
      <c r="F59" s="22">
        <v>278179.40837558976</v>
      </c>
      <c r="G59" s="22">
        <v>37624.70430727204</v>
      </c>
      <c r="H59" s="23">
        <v>0</v>
      </c>
      <c r="I59" s="24"/>
      <c r="J59" s="25"/>
      <c r="K59" s="26">
        <v>0</v>
      </c>
      <c r="L59" s="26">
        <v>0</v>
      </c>
      <c r="M59" s="27">
        <v>0</v>
      </c>
      <c r="N59" s="28"/>
      <c r="O59" s="25"/>
      <c r="P59" s="26">
        <v>0</v>
      </c>
      <c r="Q59" s="30">
        <v>0</v>
      </c>
      <c r="R59" s="27">
        <v>0</v>
      </c>
      <c r="S59" s="28"/>
      <c r="T59" s="32">
        <v>0</v>
      </c>
      <c r="U59" s="33">
        <v>0</v>
      </c>
      <c r="V59" s="33">
        <v>0</v>
      </c>
      <c r="W59" s="34">
        <v>0</v>
      </c>
    </row>
    <row r="60" spans="1:23" ht="12.75">
      <c r="A60" s="18" t="s">
        <v>152</v>
      </c>
      <c r="B60" s="36" t="s">
        <v>103</v>
      </c>
      <c r="C60" s="20"/>
      <c r="D60" s="21">
        <v>331320</v>
      </c>
      <c r="E60" s="22">
        <v>331320</v>
      </c>
      <c r="F60" s="22">
        <v>178394.6605153503</v>
      </c>
      <c r="G60" s="22">
        <v>11523.849351980025</v>
      </c>
      <c r="H60" s="23">
        <v>15000</v>
      </c>
      <c r="I60" s="24"/>
      <c r="J60" s="25"/>
      <c r="K60" s="26">
        <v>5.77</v>
      </c>
      <c r="L60" s="26">
        <v>0</v>
      </c>
      <c r="M60" s="27">
        <v>51</v>
      </c>
      <c r="N60" s="28"/>
      <c r="O60" s="25"/>
      <c r="P60" s="26">
        <v>26565.13</v>
      </c>
      <c r="Q60" s="30">
        <v>0</v>
      </c>
      <c r="R60" s="31">
        <v>272681</v>
      </c>
      <c r="S60" s="28"/>
      <c r="T60" s="32">
        <v>0</v>
      </c>
      <c r="U60" s="33">
        <v>0</v>
      </c>
      <c r="V60" s="33">
        <v>0</v>
      </c>
      <c r="W60" s="34">
        <v>0</v>
      </c>
    </row>
    <row r="61" spans="1:23" ht="12.75">
      <c r="A61" s="18" t="s">
        <v>192</v>
      </c>
      <c r="B61" s="36" t="s">
        <v>191</v>
      </c>
      <c r="C61" s="20"/>
      <c r="D61" s="21">
        <v>0</v>
      </c>
      <c r="E61" s="22">
        <v>0</v>
      </c>
      <c r="F61" s="22">
        <v>0</v>
      </c>
      <c r="G61" s="22">
        <v>0</v>
      </c>
      <c r="H61" s="23">
        <v>0</v>
      </c>
      <c r="I61" s="24"/>
      <c r="J61" s="25"/>
      <c r="K61" s="26">
        <v>3.794</v>
      </c>
      <c r="L61" s="26">
        <v>0</v>
      </c>
      <c r="M61" s="27">
        <v>0</v>
      </c>
      <c r="N61" s="28"/>
      <c r="O61" s="25"/>
      <c r="P61" s="26">
        <v>8275.5</v>
      </c>
      <c r="Q61" s="30">
        <v>0</v>
      </c>
      <c r="R61" s="27">
        <v>0</v>
      </c>
      <c r="S61" s="28"/>
      <c r="T61" s="32">
        <v>0</v>
      </c>
      <c r="U61" s="33">
        <v>0</v>
      </c>
      <c r="V61" s="33">
        <v>0</v>
      </c>
      <c r="W61" s="34">
        <v>0</v>
      </c>
    </row>
    <row r="62" spans="1:23" ht="12.75">
      <c r="A62" s="18" t="s">
        <v>153</v>
      </c>
      <c r="B62" s="36" t="s">
        <v>18</v>
      </c>
      <c r="C62" s="20"/>
      <c r="D62" s="21">
        <v>28224</v>
      </c>
      <c r="E62" s="22">
        <v>28224</v>
      </c>
      <c r="F62" s="22">
        <v>226530.06962880128</v>
      </c>
      <c r="G62" s="22">
        <v>84574.19197880212</v>
      </c>
      <c r="H62" s="23">
        <v>116655.04799999998</v>
      </c>
      <c r="I62" s="24"/>
      <c r="J62" s="25"/>
      <c r="K62" s="26">
        <v>49.25</v>
      </c>
      <c r="L62" s="26">
        <v>25.07</v>
      </c>
      <c r="M62" s="27">
        <v>215.08</v>
      </c>
      <c r="N62" s="28"/>
      <c r="O62" s="25"/>
      <c r="P62" s="26">
        <v>421157.7</v>
      </c>
      <c r="Q62" s="30">
        <v>209314.7</v>
      </c>
      <c r="R62" s="31">
        <v>1293045</v>
      </c>
      <c r="S62" s="28"/>
      <c r="T62" s="32">
        <v>0</v>
      </c>
      <c r="U62" s="33">
        <v>0</v>
      </c>
      <c r="V62" s="33">
        <v>0</v>
      </c>
      <c r="W62" s="34">
        <v>0</v>
      </c>
    </row>
    <row r="63" spans="1:23" ht="12.75">
      <c r="A63" s="18" t="s">
        <v>154</v>
      </c>
      <c r="B63" s="36" t="s">
        <v>104</v>
      </c>
      <c r="C63" s="20"/>
      <c r="D63" s="21">
        <v>615900</v>
      </c>
      <c r="E63" s="22">
        <v>615900</v>
      </c>
      <c r="F63" s="22">
        <v>18216.22</v>
      </c>
      <c r="G63" s="22">
        <v>2986.12</v>
      </c>
      <c r="H63" s="23">
        <v>0</v>
      </c>
      <c r="I63" s="24"/>
      <c r="J63" s="25"/>
      <c r="K63" s="26">
        <v>661.65</v>
      </c>
      <c r="L63" s="26">
        <v>0</v>
      </c>
      <c r="M63" s="27">
        <v>0</v>
      </c>
      <c r="N63" s="28"/>
      <c r="O63" s="25"/>
      <c r="P63" s="26">
        <v>1246551</v>
      </c>
      <c r="Q63" s="30">
        <v>0</v>
      </c>
      <c r="R63" s="27">
        <v>0</v>
      </c>
      <c r="S63" s="28"/>
      <c r="T63" s="32">
        <v>0</v>
      </c>
      <c r="U63" s="33">
        <v>0</v>
      </c>
      <c r="V63" s="33">
        <v>0</v>
      </c>
      <c r="W63" s="34">
        <v>0</v>
      </c>
    </row>
    <row r="64" spans="1:23" ht="12.75">
      <c r="A64" s="18" t="s">
        <v>193</v>
      </c>
      <c r="B64" s="36" t="s">
        <v>190</v>
      </c>
      <c r="C64" s="20"/>
      <c r="D64" s="21">
        <v>0</v>
      </c>
      <c r="E64" s="22">
        <v>0</v>
      </c>
      <c r="F64" s="22"/>
      <c r="G64" s="22">
        <v>0</v>
      </c>
      <c r="H64" s="23">
        <v>0</v>
      </c>
      <c r="I64" s="24"/>
      <c r="J64" s="25"/>
      <c r="K64" s="26">
        <v>54.2</v>
      </c>
      <c r="L64" s="26">
        <v>12.4</v>
      </c>
      <c r="M64" s="27">
        <v>0</v>
      </c>
      <c r="N64" s="28"/>
      <c r="O64" s="25"/>
      <c r="P64" s="26">
        <v>475302</v>
      </c>
      <c r="Q64" s="30">
        <v>108748</v>
      </c>
      <c r="R64" s="27">
        <v>0</v>
      </c>
      <c r="S64" s="28"/>
      <c r="T64" s="32">
        <v>0</v>
      </c>
      <c r="U64" s="33">
        <v>0</v>
      </c>
      <c r="V64" s="33">
        <v>0</v>
      </c>
      <c r="W64" s="34">
        <v>0</v>
      </c>
    </row>
    <row r="65" spans="1:23" ht="12.75">
      <c r="A65" s="35" t="s">
        <v>98</v>
      </c>
      <c r="B65" s="19"/>
      <c r="C65" s="20"/>
      <c r="D65" s="21"/>
      <c r="E65" s="22"/>
      <c r="F65" s="22"/>
      <c r="G65" s="22"/>
      <c r="H65" s="23"/>
      <c r="I65" s="28"/>
      <c r="J65" s="25"/>
      <c r="K65" s="26"/>
      <c r="L65" s="26"/>
      <c r="M65" s="27"/>
      <c r="N65" s="28"/>
      <c r="O65" s="25"/>
      <c r="P65" s="26"/>
      <c r="Q65" s="30"/>
      <c r="R65" s="31"/>
      <c r="S65" s="28"/>
      <c r="T65" s="32"/>
      <c r="U65" s="33"/>
      <c r="V65" s="33"/>
      <c r="W65" s="34"/>
    </row>
    <row r="66" spans="1:23" ht="12.75">
      <c r="A66" s="18" t="s">
        <v>155</v>
      </c>
      <c r="B66" s="19" t="s">
        <v>99</v>
      </c>
      <c r="C66" s="20"/>
      <c r="D66" s="21">
        <v>4197775.123480262</v>
      </c>
      <c r="E66" s="22">
        <v>4197775.123480262</v>
      </c>
      <c r="F66" s="22">
        <f>3648.02*(D66/SUM($D$66:$D$68))-4131298.34</f>
        <v>-4128636.573665332</v>
      </c>
      <c r="G66" s="22">
        <v>-4131298.34</v>
      </c>
      <c r="H66" s="23">
        <v>0</v>
      </c>
      <c r="I66" s="24"/>
      <c r="J66" s="25"/>
      <c r="K66" s="26">
        <v>0</v>
      </c>
      <c r="L66" s="26">
        <v>0</v>
      </c>
      <c r="M66" s="27">
        <v>0</v>
      </c>
      <c r="N66" s="28"/>
      <c r="O66" s="25"/>
      <c r="P66" s="26">
        <v>0</v>
      </c>
      <c r="Q66" s="30">
        <v>0</v>
      </c>
      <c r="R66" s="31">
        <v>0</v>
      </c>
      <c r="S66" s="28"/>
      <c r="T66" s="32">
        <v>0</v>
      </c>
      <c r="U66" s="33">
        <v>0</v>
      </c>
      <c r="V66" s="33">
        <v>0</v>
      </c>
      <c r="W66" s="34">
        <v>0</v>
      </c>
    </row>
    <row r="67" spans="1:23" ht="12.75">
      <c r="A67" s="18" t="s">
        <v>156</v>
      </c>
      <c r="B67" s="19" t="s">
        <v>100</v>
      </c>
      <c r="C67" s="20"/>
      <c r="D67" s="21">
        <v>851011.9837075335</v>
      </c>
      <c r="E67" s="22">
        <v>851011.9837075335</v>
      </c>
      <c r="F67" s="22">
        <f>3648.02*(D67/SUM($D$66:$D$68))-406871.16</f>
        <v>-406331.5419923651</v>
      </c>
      <c r="G67" s="22">
        <v>-406871.16</v>
      </c>
      <c r="H67" s="23">
        <v>0</v>
      </c>
      <c r="I67" s="24"/>
      <c r="J67" s="25"/>
      <c r="K67" s="26">
        <v>0</v>
      </c>
      <c r="L67" s="26">
        <v>0</v>
      </c>
      <c r="M67" s="27">
        <v>0</v>
      </c>
      <c r="N67" s="28"/>
      <c r="O67" s="25"/>
      <c r="P67" s="26">
        <v>0</v>
      </c>
      <c r="Q67" s="30">
        <v>0</v>
      </c>
      <c r="R67" s="31">
        <v>0</v>
      </c>
      <c r="S67" s="28"/>
      <c r="T67" s="32">
        <v>0</v>
      </c>
      <c r="U67" s="33">
        <v>0</v>
      </c>
      <c r="V67" s="33">
        <v>0</v>
      </c>
      <c r="W67" s="34">
        <v>0</v>
      </c>
    </row>
    <row r="68" spans="1:23" ht="12.75">
      <c r="A68" s="18" t="s">
        <v>157</v>
      </c>
      <c r="B68" s="19" t="s">
        <v>87</v>
      </c>
      <c r="C68" s="20"/>
      <c r="D68" s="21">
        <v>704372.8928122048</v>
      </c>
      <c r="E68" s="22">
        <v>704372.8928122048</v>
      </c>
      <c r="F68" s="22">
        <f>3648.02*(D68/SUM($D$66:$D$68))-195889.84</f>
        <v>-195443.20434230287</v>
      </c>
      <c r="G68" s="22">
        <v>-196506.39</v>
      </c>
      <c r="H68" s="23">
        <v>0</v>
      </c>
      <c r="I68" s="24"/>
      <c r="J68" s="25"/>
      <c r="K68" s="26">
        <v>0</v>
      </c>
      <c r="L68" s="26">
        <v>0</v>
      </c>
      <c r="M68" s="27">
        <v>0</v>
      </c>
      <c r="N68" s="28"/>
      <c r="O68" s="25"/>
      <c r="P68" s="26">
        <v>0</v>
      </c>
      <c r="Q68" s="30">
        <v>0</v>
      </c>
      <c r="R68" s="31">
        <v>0</v>
      </c>
      <c r="S68" s="28"/>
      <c r="T68" s="32">
        <v>0</v>
      </c>
      <c r="U68" s="33">
        <v>0</v>
      </c>
      <c r="V68" s="33">
        <v>0</v>
      </c>
      <c r="W68" s="34">
        <v>0</v>
      </c>
    </row>
    <row r="69" spans="1:23" ht="13.5" thickBot="1">
      <c r="A69" s="37"/>
      <c r="B69" s="38"/>
      <c r="C69" s="39"/>
      <c r="D69" s="40"/>
      <c r="E69" s="41"/>
      <c r="F69" s="42"/>
      <c r="G69" s="42"/>
      <c r="H69" s="43"/>
      <c r="I69" s="44"/>
      <c r="J69" s="45"/>
      <c r="K69" s="46"/>
      <c r="L69" s="46"/>
      <c r="M69" s="47"/>
      <c r="N69" s="44"/>
      <c r="O69" s="45"/>
      <c r="P69" s="46"/>
      <c r="Q69" s="46"/>
      <c r="R69" s="47"/>
      <c r="S69" s="44"/>
      <c r="T69" s="48"/>
      <c r="U69" s="49"/>
      <c r="V69" s="49"/>
      <c r="W69" s="50"/>
    </row>
    <row r="70" spans="1:23" ht="13.5" thickBot="1">
      <c r="A70" s="167" t="s">
        <v>16</v>
      </c>
      <c r="B70" s="168"/>
      <c r="C70" s="51"/>
      <c r="D70" s="52">
        <f>SUM(D8:D68)</f>
        <v>245896427.99999997</v>
      </c>
      <c r="E70" s="53">
        <f>SUM(E8:E68)</f>
        <v>245896427.99999997</v>
      </c>
      <c r="F70" s="54">
        <f>SUM(F8:F68)</f>
        <v>136172373.1016358</v>
      </c>
      <c r="G70" s="55">
        <f>SUM(G8:G68)</f>
        <v>25233283.426253747</v>
      </c>
      <c r="H70" s="56">
        <f>SUM(H8:H68)</f>
        <v>48385066.93099571</v>
      </c>
      <c r="I70" s="57"/>
      <c r="J70" s="58">
        <f>SUM(J8:J68)</f>
        <v>0</v>
      </c>
      <c r="K70" s="59">
        <f>SUM(K8:K68)</f>
        <v>215717.25832079127</v>
      </c>
      <c r="L70" s="59">
        <f>SUM(L8:L68)</f>
        <v>73291.74005730721</v>
      </c>
      <c r="M70" s="60">
        <f>SUM(M8:M68)</f>
        <v>80431.26554234576</v>
      </c>
      <c r="N70" s="57"/>
      <c r="O70" s="58">
        <f>SUM(O8:O68)</f>
        <v>0</v>
      </c>
      <c r="P70" s="59">
        <f>SUM(P8:P68)</f>
        <v>1340097122.5050144</v>
      </c>
      <c r="Q70" s="59">
        <f>SUM(Q8:Q68)</f>
        <v>587644686.2202551</v>
      </c>
      <c r="R70" s="60">
        <f>SUM(R8:R68)</f>
        <v>456793161.6216278</v>
      </c>
      <c r="S70" s="57"/>
      <c r="T70" s="58">
        <v>0</v>
      </c>
      <c r="U70" s="61">
        <v>0</v>
      </c>
      <c r="V70" s="61">
        <v>0</v>
      </c>
      <c r="W70" s="62">
        <v>0</v>
      </c>
    </row>
    <row r="71" spans="3:18" ht="13.5" thickBot="1">
      <c r="C71" s="63"/>
      <c r="F71" s="64"/>
      <c r="G71" s="64"/>
      <c r="J71" s="65"/>
      <c r="K71" s="66"/>
      <c r="L71" s="66"/>
      <c r="M71" s="66"/>
      <c r="P71" s="66"/>
      <c r="Q71" s="67"/>
      <c r="R71" s="66"/>
    </row>
    <row r="72" spans="1:23" ht="13.5" thickBot="1">
      <c r="A72" s="68"/>
      <c r="B72" s="69" t="s">
        <v>93</v>
      </c>
      <c r="C72" s="70"/>
      <c r="D72" s="71">
        <v>55742000</v>
      </c>
      <c r="E72" s="72">
        <v>55742000</v>
      </c>
      <c r="F72" s="73">
        <v>29831111.16000001</v>
      </c>
      <c r="G72" s="73">
        <v>4183788.130000014</v>
      </c>
      <c r="H72" s="85">
        <v>0</v>
      </c>
      <c r="I72" s="74"/>
      <c r="J72" s="75"/>
      <c r="K72" s="76">
        <v>4256.394871870001</v>
      </c>
      <c r="L72" s="76">
        <v>909.7758914799997</v>
      </c>
      <c r="M72" s="77">
        <v>3101.33</v>
      </c>
      <c r="N72" s="78"/>
      <c r="O72" s="75"/>
      <c r="P72" s="76">
        <v>15600971.247999998</v>
      </c>
      <c r="Q72" s="76">
        <v>3142198.292000003</v>
      </c>
      <c r="R72" s="77">
        <v>9144653.11</v>
      </c>
      <c r="S72" s="78"/>
      <c r="T72" s="75">
        <v>0</v>
      </c>
      <c r="U72" s="79">
        <v>0</v>
      </c>
      <c r="V72" s="79">
        <v>0</v>
      </c>
      <c r="W72" s="80">
        <v>0</v>
      </c>
    </row>
    <row r="73" spans="3:18" ht="13.5" thickBot="1">
      <c r="C73" s="63"/>
      <c r="G73" s="81"/>
      <c r="J73" s="65"/>
      <c r="K73" s="66"/>
      <c r="L73" s="66"/>
      <c r="M73" s="66"/>
      <c r="P73" s="66"/>
      <c r="Q73" s="67"/>
      <c r="R73" s="66"/>
    </row>
    <row r="74" spans="1:23" ht="13.5" thickBot="1">
      <c r="A74" s="167" t="s">
        <v>88</v>
      </c>
      <c r="B74" s="168"/>
      <c r="C74" s="82"/>
      <c r="D74" s="83">
        <f>SUM(D70:D72)</f>
        <v>301638428</v>
      </c>
      <c r="E74" s="73">
        <f>SUM(E70:E72)</f>
        <v>301638428</v>
      </c>
      <c r="F74" s="84">
        <f>SUM(F70:F72)</f>
        <v>166003484.26163584</v>
      </c>
      <c r="G74" s="73">
        <f>SUM(G70:G72)</f>
        <v>29417071.55625376</v>
      </c>
      <c r="H74" s="85">
        <f>SUM(H70:H72)</f>
        <v>48385066.93099571</v>
      </c>
      <c r="I74" s="86"/>
      <c r="J74" s="87">
        <f>SUM(J70:J72)</f>
        <v>0</v>
      </c>
      <c r="K74" s="76">
        <f>SUM(K70:K72)</f>
        <v>219973.65319266127</v>
      </c>
      <c r="L74" s="76">
        <f>SUM(L70:L72)</f>
        <v>74201.51594878722</v>
      </c>
      <c r="M74" s="77">
        <f>SUM(M70:M72)</f>
        <v>83532.59554234576</v>
      </c>
      <c r="N74" s="86"/>
      <c r="O74" s="87">
        <f>SUM(O70:O72)</f>
        <v>0</v>
      </c>
      <c r="P74" s="76">
        <f>SUM(P70:P72)</f>
        <v>1355698093.7530143</v>
      </c>
      <c r="Q74" s="76">
        <f>SUM(Q70:Q72)</f>
        <v>590786884.5122552</v>
      </c>
      <c r="R74" s="77">
        <f>SUM(R70:R72)</f>
        <v>465937814.7316278</v>
      </c>
      <c r="S74" s="86"/>
      <c r="T74" s="75">
        <v>0</v>
      </c>
      <c r="U74" s="79">
        <v>0</v>
      </c>
      <c r="V74" s="79">
        <v>0</v>
      </c>
      <c r="W74" s="80">
        <v>0</v>
      </c>
    </row>
    <row r="75" spans="1:18" ht="14.25">
      <c r="A75" s="88" t="s">
        <v>0</v>
      </c>
      <c r="C75" s="63"/>
      <c r="H75" s="65"/>
      <c r="K75" s="89"/>
      <c r="L75" s="89"/>
      <c r="P75" s="166"/>
      <c r="R75" s="90"/>
    </row>
    <row r="76" spans="18:29" ht="12.75"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</row>
    <row r="77" spans="19:29" ht="12.75"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</row>
    <row r="78" spans="4:7" ht="12.75">
      <c r="D78" s="67"/>
      <c r="E78" s="67"/>
      <c r="F78" s="67"/>
      <c r="G78" s="67"/>
    </row>
  </sheetData>
  <mergeCells count="8">
    <mergeCell ref="A74:B74"/>
    <mergeCell ref="J6:M6"/>
    <mergeCell ref="O6:R6"/>
    <mergeCell ref="T6:W6"/>
    <mergeCell ref="A70:B70"/>
    <mergeCell ref="B6:B7"/>
    <mergeCell ref="A6:A7"/>
    <mergeCell ref="D6:H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46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2" t="str">
        <f>'Program Costs &amp; Impacts'!A1</f>
        <v>Southern California Edison</v>
      </c>
      <c r="B1" s="93"/>
    </row>
    <row r="2" spans="1:2" ht="20.25">
      <c r="A2" s="92" t="str">
        <f>'Program Costs &amp; Impacts'!A2</f>
        <v>2009 Bridge Funding Monthly Energy Efficiency Program Data Report</v>
      </c>
      <c r="B2" s="93"/>
    </row>
    <row r="3" spans="1:2" ht="20.25">
      <c r="A3" s="92" t="str">
        <f>'Program Costs &amp; Impacts'!A3</f>
        <v>Report Month: September 2009</v>
      </c>
      <c r="B3" s="95"/>
    </row>
    <row r="5" spans="1:2" ht="16.5" thickBot="1">
      <c r="A5" s="94" t="s">
        <v>81</v>
      </c>
      <c r="B5" s="95"/>
    </row>
    <row r="6" spans="1:2" ht="15">
      <c r="A6" s="96" t="s">
        <v>82</v>
      </c>
      <c r="B6" s="97">
        <f>'Program Costs &amp; Impacts'!D70</f>
        <v>245896427.99999997</v>
      </c>
    </row>
    <row r="7" spans="1:2" ht="15">
      <c r="A7" s="98" t="s">
        <v>83</v>
      </c>
      <c r="B7" s="99">
        <f>'Program Costs &amp; Impacts'!F70</f>
        <v>136172373.1016358</v>
      </c>
    </row>
    <row r="8" spans="1:2" ht="15">
      <c r="A8" s="98" t="s">
        <v>84</v>
      </c>
      <c r="B8" s="99">
        <f>'Program Costs &amp; Impacts'!G70</f>
        <v>25233283.426253747</v>
      </c>
    </row>
    <row r="9" spans="1:2" ht="15.75" thickBot="1">
      <c r="A9" s="100" t="s">
        <v>85</v>
      </c>
      <c r="B9" s="101">
        <f>'Program Costs &amp; Impacts'!H70</f>
        <v>48385066.93099571</v>
      </c>
    </row>
    <row r="12" spans="1:2" ht="16.5" thickBot="1">
      <c r="A12" s="94" t="s">
        <v>86</v>
      </c>
      <c r="B12" s="95"/>
    </row>
    <row r="13" spans="1:2" ht="15">
      <c r="A13" s="102" t="s">
        <v>55</v>
      </c>
      <c r="B13" s="103">
        <f>'Program Costs &amp; Impacts'!L74</f>
        <v>74201.51594878722</v>
      </c>
    </row>
    <row r="14" spans="1:2" ht="15">
      <c r="A14" s="104" t="s">
        <v>56</v>
      </c>
      <c r="B14" s="105">
        <f>'Program Costs &amp; Impacts'!Q74</f>
        <v>590786884.5122552</v>
      </c>
    </row>
    <row r="15" spans="1:2" ht="15">
      <c r="A15" s="104" t="s">
        <v>57</v>
      </c>
      <c r="B15" s="105">
        <f>'Program Costs &amp; Impacts'!V74</f>
        <v>0</v>
      </c>
    </row>
    <row r="16" spans="1:2" ht="30">
      <c r="A16" s="106" t="s">
        <v>46</v>
      </c>
      <c r="B16" s="107">
        <f>'Program Costs &amp; Impacts'!M74</f>
        <v>83532.59554234576</v>
      </c>
    </row>
    <row r="17" spans="1:20" ht="30">
      <c r="A17" s="106" t="s">
        <v>47</v>
      </c>
      <c r="B17" s="107">
        <f>'Program Costs &amp; Impacts'!R74</f>
        <v>465937814.7316278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30.75" thickBot="1">
      <c r="A18" s="108" t="s">
        <v>109</v>
      </c>
      <c r="B18" s="109">
        <f>'Program Costs &amp; Impacts'!W74</f>
        <v>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5">
      <c r="A19" s="110"/>
      <c r="B19" s="111"/>
      <c r="C19" s="111"/>
      <c r="D19" s="111"/>
      <c r="E19" s="111"/>
      <c r="F19" s="111"/>
      <c r="G19" s="111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5">
      <c r="A20" s="110"/>
      <c r="B20" s="111"/>
      <c r="C20" s="111"/>
      <c r="D20" s="111"/>
      <c r="E20" s="111"/>
      <c r="F20" s="111"/>
      <c r="G20" s="111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6.5" thickBot="1">
      <c r="A21" s="94" t="s">
        <v>110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5">
      <c r="A22" s="112"/>
      <c r="B22" s="175" t="s">
        <v>111</v>
      </c>
      <c r="C22" s="176"/>
      <c r="D22" s="177"/>
      <c r="E22" s="175" t="s">
        <v>35</v>
      </c>
      <c r="F22" s="176"/>
      <c r="G22" s="177"/>
      <c r="H22" s="175" t="s">
        <v>36</v>
      </c>
      <c r="I22" s="176"/>
      <c r="J22" s="177"/>
      <c r="K22" s="175" t="s">
        <v>37</v>
      </c>
      <c r="L22" s="176"/>
      <c r="M22" s="178"/>
      <c r="N22" s="95"/>
      <c r="O22" s="95"/>
      <c r="P22" s="95"/>
      <c r="Q22" s="95"/>
      <c r="R22" s="95"/>
      <c r="S22" s="95"/>
      <c r="T22" s="95"/>
    </row>
    <row r="23" spans="1:20" ht="15">
      <c r="A23" s="113"/>
      <c r="B23" s="114">
        <v>2009</v>
      </c>
      <c r="C23" s="114">
        <v>2010</v>
      </c>
      <c r="D23" s="114">
        <v>2011</v>
      </c>
      <c r="E23" s="115">
        <v>2009</v>
      </c>
      <c r="F23" s="114">
        <v>2010</v>
      </c>
      <c r="G23" s="114">
        <v>2011</v>
      </c>
      <c r="H23" s="115">
        <v>2009</v>
      </c>
      <c r="I23" s="114">
        <v>2010</v>
      </c>
      <c r="J23" s="114">
        <v>2011</v>
      </c>
      <c r="K23" s="115">
        <v>2009</v>
      </c>
      <c r="L23" s="114">
        <v>2010</v>
      </c>
      <c r="M23" s="116">
        <v>2011</v>
      </c>
      <c r="N23" s="95"/>
      <c r="O23" s="95"/>
      <c r="P23" s="95"/>
      <c r="Q23" s="95"/>
      <c r="R23" s="95"/>
      <c r="S23" s="95"/>
      <c r="T23" s="95"/>
    </row>
    <row r="24" spans="1:20" ht="15">
      <c r="A24" s="117" t="s">
        <v>25</v>
      </c>
      <c r="B24" s="118">
        <v>249000</v>
      </c>
      <c r="C24" s="118">
        <v>247000</v>
      </c>
      <c r="D24" s="118">
        <v>245000</v>
      </c>
      <c r="E24" s="118">
        <v>0</v>
      </c>
      <c r="F24" s="118">
        <v>0</v>
      </c>
      <c r="G24" s="118">
        <v>0</v>
      </c>
      <c r="H24" s="118">
        <f>'Program Costs &amp; Impacts'!K74</f>
        <v>219973.65319266127</v>
      </c>
      <c r="I24" s="118">
        <v>0</v>
      </c>
      <c r="J24" s="118">
        <v>0</v>
      </c>
      <c r="K24" s="119">
        <f>H24/B24</f>
        <v>0.8834283260749448</v>
      </c>
      <c r="L24" s="118">
        <v>0</v>
      </c>
      <c r="M24" s="120">
        <v>0</v>
      </c>
      <c r="N24" s="95"/>
      <c r="O24" s="95"/>
      <c r="P24" s="95"/>
      <c r="Q24" s="95"/>
      <c r="R24" s="95"/>
      <c r="S24" s="95"/>
      <c r="T24" s="95"/>
    </row>
    <row r="25" spans="1:20" ht="15">
      <c r="A25" s="121" t="s">
        <v>26</v>
      </c>
      <c r="B25" s="118">
        <v>1189000000</v>
      </c>
      <c r="C25" s="118">
        <v>1176000000</v>
      </c>
      <c r="D25" s="118">
        <v>1164000000</v>
      </c>
      <c r="E25" s="118">
        <v>0</v>
      </c>
      <c r="F25" s="118">
        <v>0</v>
      </c>
      <c r="G25" s="118">
        <v>0</v>
      </c>
      <c r="H25" s="118">
        <f>'Program Costs &amp; Impacts'!P74</f>
        <v>1355698093.7530143</v>
      </c>
      <c r="I25" s="118">
        <v>0</v>
      </c>
      <c r="J25" s="118">
        <v>0</v>
      </c>
      <c r="K25" s="119">
        <f>H25/B25</f>
        <v>1.140200247058885</v>
      </c>
      <c r="L25" s="118">
        <v>0</v>
      </c>
      <c r="M25" s="120">
        <v>0</v>
      </c>
      <c r="N25" s="95"/>
      <c r="O25" s="95"/>
      <c r="P25" s="95"/>
      <c r="Q25" s="95"/>
      <c r="R25" s="95"/>
      <c r="S25" s="95"/>
      <c r="T25" s="95"/>
    </row>
    <row r="26" spans="1:20" ht="15.75" thickBot="1">
      <c r="A26" s="122" t="s">
        <v>27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4">
        <f>IF(E26&lt;0,H26/E26,0)</f>
        <v>0</v>
      </c>
      <c r="L26" s="123">
        <v>0</v>
      </c>
      <c r="M26" s="125">
        <v>0</v>
      </c>
      <c r="N26" s="95"/>
      <c r="O26" s="95"/>
      <c r="P26" s="95"/>
      <c r="Q26" s="95"/>
      <c r="R26" s="95"/>
      <c r="S26" s="95"/>
      <c r="T26" s="95"/>
    </row>
    <row r="27" spans="1:20" ht="15">
      <c r="A27" s="126"/>
      <c r="B27" s="95"/>
      <c r="C27" s="12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9" spans="1:20" ht="16.5" thickBot="1">
      <c r="A29" s="94" t="s">
        <v>170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5">
      <c r="A30" s="128"/>
      <c r="B30" s="175" t="s">
        <v>64</v>
      </c>
      <c r="C30" s="176"/>
      <c r="D30" s="177"/>
      <c r="E30" s="175" t="s">
        <v>65</v>
      </c>
      <c r="F30" s="176"/>
      <c r="G30" s="177"/>
      <c r="H30" s="175" t="s">
        <v>66</v>
      </c>
      <c r="I30" s="176"/>
      <c r="J30" s="177"/>
      <c r="K30" s="175" t="s">
        <v>67</v>
      </c>
      <c r="L30" s="176"/>
      <c r="M30" s="178"/>
      <c r="N30" s="95"/>
      <c r="O30" s="95"/>
      <c r="P30" s="95"/>
      <c r="Q30" s="95"/>
      <c r="R30" s="95"/>
      <c r="S30" s="95"/>
      <c r="T30" s="95"/>
    </row>
    <row r="31" spans="1:20" ht="15">
      <c r="A31" s="129"/>
      <c r="B31" s="115">
        <v>2009</v>
      </c>
      <c r="C31" s="114">
        <v>2010</v>
      </c>
      <c r="D31" s="114">
        <v>2011</v>
      </c>
      <c r="E31" s="115">
        <v>2009</v>
      </c>
      <c r="F31" s="114">
        <v>2010</v>
      </c>
      <c r="G31" s="114">
        <v>2011</v>
      </c>
      <c r="H31" s="115">
        <v>2009</v>
      </c>
      <c r="I31" s="114">
        <v>2010</v>
      </c>
      <c r="J31" s="114">
        <v>2011</v>
      </c>
      <c r="K31" s="115">
        <v>2009</v>
      </c>
      <c r="L31" s="114">
        <v>2010</v>
      </c>
      <c r="M31" s="116">
        <v>2011</v>
      </c>
      <c r="N31" s="95"/>
      <c r="O31" s="95"/>
      <c r="P31" s="95"/>
      <c r="Q31" s="95"/>
      <c r="R31" s="95"/>
      <c r="S31" s="95"/>
      <c r="T31" s="95"/>
    </row>
    <row r="32" spans="1:20" ht="15">
      <c r="A32" s="117" t="s">
        <v>25</v>
      </c>
      <c r="B32" s="118">
        <v>249000</v>
      </c>
      <c r="C32" s="118">
        <v>247000</v>
      </c>
      <c r="D32" s="118">
        <v>245000</v>
      </c>
      <c r="E32" s="118">
        <v>0</v>
      </c>
      <c r="F32" s="118">
        <v>0</v>
      </c>
      <c r="G32" s="118">
        <v>0</v>
      </c>
      <c r="H32" s="118">
        <f>'Program Costs &amp; Impacts'!K74</f>
        <v>219973.65319266127</v>
      </c>
      <c r="I32" s="118">
        <v>0</v>
      </c>
      <c r="J32" s="118">
        <v>0</v>
      </c>
      <c r="K32" s="119">
        <f>H32/B32</f>
        <v>0.8834283260749448</v>
      </c>
      <c r="L32" s="118">
        <v>0</v>
      </c>
      <c r="M32" s="120">
        <v>0</v>
      </c>
      <c r="N32" s="95"/>
      <c r="O32" s="95"/>
      <c r="P32" s="95"/>
      <c r="Q32" s="95"/>
      <c r="R32" s="95"/>
      <c r="S32" s="95"/>
      <c r="T32" s="95"/>
    </row>
    <row r="33" spans="1:20" ht="15">
      <c r="A33" s="121" t="s">
        <v>26</v>
      </c>
      <c r="B33" s="118">
        <v>1189000000</v>
      </c>
      <c r="C33" s="118">
        <v>1176000000</v>
      </c>
      <c r="D33" s="118">
        <v>1164000000</v>
      </c>
      <c r="E33" s="118">
        <v>0</v>
      </c>
      <c r="F33" s="118">
        <v>0</v>
      </c>
      <c r="G33" s="118">
        <v>0</v>
      </c>
      <c r="H33" s="118">
        <f>'Program Costs &amp; Impacts'!P74</f>
        <v>1355698093.7530143</v>
      </c>
      <c r="I33" s="118">
        <v>0</v>
      </c>
      <c r="J33" s="118">
        <v>0</v>
      </c>
      <c r="K33" s="119">
        <f>H33/B33</f>
        <v>1.140200247058885</v>
      </c>
      <c r="L33" s="118">
        <v>0</v>
      </c>
      <c r="M33" s="120">
        <v>0</v>
      </c>
      <c r="N33" s="95"/>
      <c r="O33" s="95"/>
      <c r="P33" s="95"/>
      <c r="Q33" s="95"/>
      <c r="R33" s="95"/>
      <c r="S33" s="95"/>
      <c r="T33" s="95"/>
    </row>
    <row r="34" spans="1:20" ht="15.75" thickBot="1">
      <c r="A34" s="130" t="s">
        <v>27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4">
        <f>IF(E34&lt;0,H34/E34,0)</f>
        <v>0</v>
      </c>
      <c r="L34" s="123">
        <v>0</v>
      </c>
      <c r="M34" s="125">
        <v>0</v>
      </c>
      <c r="N34" s="95"/>
      <c r="O34" s="95"/>
      <c r="P34" s="95"/>
      <c r="Q34" s="95"/>
      <c r="R34" s="95"/>
      <c r="S34" s="95"/>
      <c r="T34" s="95"/>
    </row>
    <row r="37" spans="1:20" ht="16.5" thickBot="1">
      <c r="A37" s="94" t="s">
        <v>171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5">
      <c r="A38" s="128"/>
      <c r="B38" s="175" t="s">
        <v>64</v>
      </c>
      <c r="C38" s="176"/>
      <c r="D38" s="177"/>
      <c r="E38" s="175" t="s">
        <v>65</v>
      </c>
      <c r="F38" s="176"/>
      <c r="G38" s="177"/>
      <c r="H38" s="175" t="s">
        <v>66</v>
      </c>
      <c r="I38" s="176"/>
      <c r="J38" s="177"/>
      <c r="K38" s="175" t="s">
        <v>67</v>
      </c>
      <c r="L38" s="176"/>
      <c r="M38" s="178"/>
      <c r="N38" s="95"/>
      <c r="O38" s="95"/>
      <c r="P38" s="95"/>
      <c r="Q38" s="95"/>
      <c r="R38" s="95"/>
      <c r="S38" s="95"/>
      <c r="T38" s="95"/>
    </row>
    <row r="39" spans="1:20" ht="15">
      <c r="A39" s="129"/>
      <c r="B39" s="115">
        <v>2009</v>
      </c>
      <c r="C39" s="114">
        <v>2010</v>
      </c>
      <c r="D39" s="114">
        <v>2011</v>
      </c>
      <c r="E39" s="115">
        <v>2009</v>
      </c>
      <c r="F39" s="114">
        <v>2010</v>
      </c>
      <c r="G39" s="114">
        <v>2011</v>
      </c>
      <c r="H39" s="115">
        <v>2009</v>
      </c>
      <c r="I39" s="114">
        <v>2010</v>
      </c>
      <c r="J39" s="114">
        <v>2011</v>
      </c>
      <c r="K39" s="115">
        <v>2009</v>
      </c>
      <c r="L39" s="114">
        <v>2010</v>
      </c>
      <c r="M39" s="116">
        <v>2011</v>
      </c>
      <c r="N39" s="95"/>
      <c r="O39" s="95"/>
      <c r="P39" s="95"/>
      <c r="Q39" s="95"/>
      <c r="R39" s="95"/>
      <c r="S39" s="95"/>
      <c r="T39" s="95"/>
    </row>
    <row r="40" spans="1:20" ht="15">
      <c r="A40" s="131" t="s">
        <v>25</v>
      </c>
      <c r="B40" s="118">
        <v>1255000</v>
      </c>
      <c r="C40" s="118">
        <v>1502000</v>
      </c>
      <c r="D40" s="118">
        <v>1747000</v>
      </c>
      <c r="E40" s="118">
        <v>0</v>
      </c>
      <c r="F40" s="118">
        <v>0</v>
      </c>
      <c r="G40" s="118">
        <v>0</v>
      </c>
      <c r="H40" s="118">
        <f>246690+745963+H24</f>
        <v>1212626.6531926612</v>
      </c>
      <c r="I40" s="118">
        <v>0</v>
      </c>
      <c r="J40" s="118">
        <v>0</v>
      </c>
      <c r="K40" s="119">
        <f>H40/B40</f>
        <v>0.9662363770459452</v>
      </c>
      <c r="L40" s="118">
        <v>0</v>
      </c>
      <c r="M40" s="120">
        <v>0</v>
      </c>
      <c r="N40" s="95"/>
      <c r="O40" s="95"/>
      <c r="P40" s="95"/>
      <c r="Q40" s="95"/>
      <c r="R40" s="95"/>
      <c r="S40" s="95"/>
      <c r="T40" s="95"/>
    </row>
    <row r="41" spans="1:20" ht="15">
      <c r="A41" s="132" t="s">
        <v>26</v>
      </c>
      <c r="B41" s="118">
        <v>5977000000</v>
      </c>
      <c r="C41" s="118">
        <v>7153000000</v>
      </c>
      <c r="D41" s="118">
        <v>8317000000</v>
      </c>
      <c r="E41" s="118">
        <v>0</v>
      </c>
      <c r="F41" s="118">
        <v>0</v>
      </c>
      <c r="G41" s="118">
        <v>0</v>
      </c>
      <c r="H41" s="118">
        <f>1430555000+4119626221+H25</f>
        <v>6905879314.753015</v>
      </c>
      <c r="I41" s="118">
        <v>0</v>
      </c>
      <c r="J41" s="118">
        <v>0</v>
      </c>
      <c r="K41" s="119">
        <f>H41/B41</f>
        <v>1.1554089534470495</v>
      </c>
      <c r="L41" s="118">
        <v>0</v>
      </c>
      <c r="M41" s="120">
        <v>0</v>
      </c>
      <c r="N41" s="95"/>
      <c r="O41" s="95"/>
      <c r="P41" s="95"/>
      <c r="Q41" s="95"/>
      <c r="R41" s="95"/>
      <c r="S41" s="95"/>
      <c r="T41" s="95"/>
    </row>
    <row r="42" spans="1:20" ht="15.75" thickBot="1">
      <c r="A42" s="130" t="s">
        <v>27</v>
      </c>
      <c r="B42" s="123">
        <v>0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4">
        <f>IF(E42&lt;0,H42/E42,0)</f>
        <v>0</v>
      </c>
      <c r="L42" s="123">
        <v>0</v>
      </c>
      <c r="M42" s="125">
        <v>0</v>
      </c>
      <c r="N42" s="95"/>
      <c r="O42" s="95"/>
      <c r="P42" s="95"/>
      <c r="Q42" s="95"/>
      <c r="R42" s="95"/>
      <c r="S42" s="95"/>
      <c r="T42" s="95"/>
    </row>
    <row r="45" spans="1:20" ht="16.5" thickBot="1">
      <c r="A45" s="94" t="s">
        <v>107</v>
      </c>
      <c r="B45" s="133"/>
      <c r="C45" s="133"/>
      <c r="D45" s="13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45.75" thickBot="1">
      <c r="A46" s="134"/>
      <c r="B46" s="135" t="s">
        <v>58</v>
      </c>
      <c r="C46" s="135" t="s">
        <v>59</v>
      </c>
      <c r="D46" s="136" t="s">
        <v>60</v>
      </c>
      <c r="E46" s="95"/>
      <c r="F46" s="95"/>
      <c r="G46" s="95"/>
      <c r="H46" s="137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5.75">
      <c r="A47" s="138" t="s">
        <v>14</v>
      </c>
      <c r="B47" s="139">
        <v>613593163.6363233</v>
      </c>
      <c r="C47" s="139">
        <v>77055.30293419372</v>
      </c>
      <c r="D47" s="140">
        <v>0</v>
      </c>
      <c r="E47" s="163"/>
      <c r="F47" s="163"/>
      <c r="G47" s="164"/>
      <c r="H47" s="16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5">
      <c r="A48" s="141" t="s">
        <v>2</v>
      </c>
      <c r="B48" s="142">
        <v>75860323.9827318</v>
      </c>
      <c r="C48" s="142">
        <v>12919.83115261014</v>
      </c>
      <c r="D48" s="143">
        <v>0</v>
      </c>
      <c r="E48" s="163"/>
      <c r="F48" s="163"/>
      <c r="G48" s="164"/>
      <c r="H48" s="164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8" ht="15">
      <c r="A49" s="141" t="s">
        <v>3</v>
      </c>
      <c r="B49" s="142">
        <v>0</v>
      </c>
      <c r="C49" s="142">
        <v>0</v>
      </c>
      <c r="D49" s="143">
        <v>0</v>
      </c>
      <c r="E49" s="163"/>
      <c r="F49" s="163"/>
      <c r="G49" s="164"/>
      <c r="H49" s="164"/>
    </row>
    <row r="50" spans="1:8" ht="15">
      <c r="A50" s="141" t="s">
        <v>4</v>
      </c>
      <c r="B50" s="142">
        <v>0</v>
      </c>
      <c r="C50" s="142">
        <v>0</v>
      </c>
      <c r="D50" s="143">
        <v>0</v>
      </c>
      <c r="E50" s="163"/>
      <c r="F50" s="163"/>
      <c r="G50" s="164"/>
      <c r="H50" s="164"/>
    </row>
    <row r="51" spans="1:8" ht="15">
      <c r="A51" s="141" t="s">
        <v>53</v>
      </c>
      <c r="B51" s="142">
        <v>22140458.984546687</v>
      </c>
      <c r="C51" s="142">
        <v>20020.86837759644</v>
      </c>
      <c r="D51" s="143">
        <v>0</v>
      </c>
      <c r="E51" s="163"/>
      <c r="F51" s="163"/>
      <c r="G51" s="164"/>
      <c r="H51" s="164"/>
    </row>
    <row r="52" spans="1:8" ht="15">
      <c r="A52" s="141" t="s">
        <v>51</v>
      </c>
      <c r="B52" s="142">
        <v>506983626.66021234</v>
      </c>
      <c r="C52" s="142">
        <v>41547.94078349465</v>
      </c>
      <c r="D52" s="143">
        <v>0</v>
      </c>
      <c r="E52" s="163"/>
      <c r="F52" s="163"/>
      <c r="G52" s="164"/>
      <c r="H52" s="164"/>
    </row>
    <row r="53" spans="1:8" ht="15">
      <c r="A53" s="141" t="s">
        <v>5</v>
      </c>
      <c r="B53" s="142">
        <v>1888672.3048081987</v>
      </c>
      <c r="C53" s="142">
        <v>376.03967158916936</v>
      </c>
      <c r="D53" s="143">
        <v>0</v>
      </c>
      <c r="E53" s="163"/>
      <c r="F53" s="163"/>
      <c r="G53" s="164"/>
      <c r="H53" s="164"/>
    </row>
    <row r="54" spans="1:8" ht="15">
      <c r="A54" s="141" t="s">
        <v>63</v>
      </c>
      <c r="B54" s="142">
        <v>0</v>
      </c>
      <c r="C54" s="142">
        <v>0</v>
      </c>
      <c r="D54" s="143">
        <v>0</v>
      </c>
      <c r="E54" s="163"/>
      <c r="F54" s="163"/>
      <c r="G54" s="164"/>
      <c r="H54" s="164"/>
    </row>
    <row r="55" spans="1:8" ht="15">
      <c r="A55" s="141" t="s">
        <v>6</v>
      </c>
      <c r="B55" s="142">
        <v>67565.57449029804</v>
      </c>
      <c r="C55" s="142">
        <v>7.965209776571792</v>
      </c>
      <c r="D55" s="143">
        <v>0</v>
      </c>
      <c r="E55" s="163"/>
      <c r="F55" s="163"/>
      <c r="G55" s="164"/>
      <c r="H55" s="164"/>
    </row>
    <row r="56" spans="1:8" ht="15">
      <c r="A56" s="141" t="s">
        <v>52</v>
      </c>
      <c r="B56" s="142">
        <v>6652516.12953413</v>
      </c>
      <c r="C56" s="142">
        <v>2182.6577391268033</v>
      </c>
      <c r="D56" s="143">
        <v>0</v>
      </c>
      <c r="E56" s="163"/>
      <c r="F56" s="163"/>
      <c r="G56" s="164"/>
      <c r="H56" s="164"/>
    </row>
    <row r="57" spans="1:8" ht="15.75">
      <c r="A57" s="144" t="s">
        <v>15</v>
      </c>
      <c r="B57" s="145">
        <v>685054310.1619253</v>
      </c>
      <c r="C57" s="145">
        <v>130076.75047583022</v>
      </c>
      <c r="D57" s="146">
        <v>0</v>
      </c>
      <c r="E57" s="163"/>
      <c r="F57" s="163"/>
      <c r="G57" s="164"/>
      <c r="H57" s="164"/>
    </row>
    <row r="58" spans="1:8" ht="15">
      <c r="A58" s="147" t="s">
        <v>53</v>
      </c>
      <c r="B58" s="148">
        <v>57989955.9108262</v>
      </c>
      <c r="C58" s="148">
        <v>16241.246874669412</v>
      </c>
      <c r="D58" s="149">
        <v>0</v>
      </c>
      <c r="E58" s="163"/>
      <c r="F58" s="163"/>
      <c r="G58" s="164"/>
      <c r="H58" s="164"/>
    </row>
    <row r="59" spans="1:8" ht="15">
      <c r="A59" s="150" t="s">
        <v>51</v>
      </c>
      <c r="B59" s="148">
        <v>482644196.4644031</v>
      </c>
      <c r="C59" s="148">
        <v>94093.70838437407</v>
      </c>
      <c r="D59" s="143">
        <v>0</v>
      </c>
      <c r="E59" s="163"/>
      <c r="F59" s="163"/>
      <c r="G59" s="164"/>
      <c r="H59" s="164"/>
    </row>
    <row r="60" spans="1:8" ht="15">
      <c r="A60" s="150" t="s">
        <v>7</v>
      </c>
      <c r="B60" s="148">
        <v>1752.0299596909153</v>
      </c>
      <c r="C60" s="148">
        <v>0.2896474210201998</v>
      </c>
      <c r="D60" s="143">
        <v>0</v>
      </c>
      <c r="E60" s="163"/>
      <c r="F60" s="163"/>
      <c r="G60" s="164"/>
      <c r="H60" s="164"/>
    </row>
    <row r="61" spans="1:8" ht="15">
      <c r="A61" s="150" t="s">
        <v>69</v>
      </c>
      <c r="B61" s="148">
        <v>86829985.43048695</v>
      </c>
      <c r="C61" s="148">
        <v>12912.794415027483</v>
      </c>
      <c r="D61" s="143">
        <v>0</v>
      </c>
      <c r="E61" s="163"/>
      <c r="F61" s="163"/>
      <c r="G61" s="164"/>
      <c r="H61" s="164"/>
    </row>
    <row r="62" spans="1:8" ht="15">
      <c r="A62" s="150" t="s">
        <v>63</v>
      </c>
      <c r="B62" s="148">
        <v>17537784.840914514</v>
      </c>
      <c r="C62" s="148">
        <v>1369.072782821138</v>
      </c>
      <c r="D62" s="143">
        <v>0</v>
      </c>
      <c r="E62" s="163"/>
      <c r="F62" s="163"/>
      <c r="G62" s="164"/>
      <c r="H62" s="164"/>
    </row>
    <row r="63" spans="1:8" ht="15">
      <c r="A63" s="150" t="s">
        <v>52</v>
      </c>
      <c r="B63" s="148">
        <v>40050635.48533504</v>
      </c>
      <c r="C63" s="148">
        <v>5459.638371517131</v>
      </c>
      <c r="D63" s="143">
        <v>0</v>
      </c>
      <c r="E63" s="163"/>
      <c r="F63" s="163"/>
      <c r="G63" s="164"/>
      <c r="H63" s="164"/>
    </row>
    <row r="64" spans="1:7" ht="15.75">
      <c r="A64" s="151" t="s">
        <v>93</v>
      </c>
      <c r="B64" s="142">
        <f>'Program Costs &amp; Impacts'!P72</f>
        <v>15600971.247999998</v>
      </c>
      <c r="C64" s="152">
        <f>'Program Costs &amp; Impacts'!K72</f>
        <v>4256.394871870001</v>
      </c>
      <c r="D64" s="143">
        <v>0</v>
      </c>
      <c r="E64" s="95"/>
      <c r="F64" s="163"/>
      <c r="G64" s="137"/>
    </row>
    <row r="65" spans="1:7" ht="15.75">
      <c r="A65" s="151" t="s">
        <v>78</v>
      </c>
      <c r="B65" s="142">
        <f>'Program Costs &amp; Impacts'!P23</f>
        <v>41449648.70676555</v>
      </c>
      <c r="C65" s="142">
        <f>'Program Costs &amp; Impacts'!K23</f>
        <v>8585.204910767325</v>
      </c>
      <c r="D65" s="143">
        <v>0</v>
      </c>
      <c r="E65" s="95"/>
      <c r="F65" s="163"/>
      <c r="G65" s="95"/>
    </row>
    <row r="66" spans="1:7" ht="16.5" thickBot="1">
      <c r="A66" s="153" t="s">
        <v>45</v>
      </c>
      <c r="B66" s="154">
        <f>+H25</f>
        <v>1355698093.7530143</v>
      </c>
      <c r="C66" s="154">
        <f>+H24</f>
        <v>219973.65319266127</v>
      </c>
      <c r="D66" s="155">
        <v>0</v>
      </c>
      <c r="E66" s="95"/>
      <c r="F66" s="137"/>
      <c r="G66" s="137"/>
    </row>
    <row r="68" spans="1:7" ht="16.5" thickBot="1">
      <c r="A68" s="94" t="s">
        <v>106</v>
      </c>
      <c r="B68" s="133"/>
      <c r="C68" s="133"/>
      <c r="D68" s="133"/>
      <c r="E68" s="95"/>
      <c r="F68" s="95"/>
      <c r="G68" s="95"/>
    </row>
    <row r="69" spans="1:7" ht="45.75" thickBot="1">
      <c r="A69" s="134"/>
      <c r="B69" s="135" t="s">
        <v>58</v>
      </c>
      <c r="C69" s="135" t="s">
        <v>59</v>
      </c>
      <c r="D69" s="136" t="s">
        <v>60</v>
      </c>
      <c r="E69" s="95"/>
      <c r="F69" s="95"/>
      <c r="G69" s="95"/>
    </row>
    <row r="70" spans="1:8" ht="15.75">
      <c r="A70" s="156" t="s">
        <v>14</v>
      </c>
      <c r="B70" s="142">
        <v>642937229.1748004</v>
      </c>
      <c r="C70" s="142">
        <v>76389.22340982349</v>
      </c>
      <c r="D70" s="143">
        <v>0</v>
      </c>
      <c r="E70" s="163"/>
      <c r="F70" s="163"/>
      <c r="G70" s="164"/>
      <c r="H70" s="164"/>
    </row>
    <row r="71" spans="1:8" ht="15">
      <c r="A71" s="150" t="s">
        <v>8</v>
      </c>
      <c r="B71" s="142">
        <v>573018783.5251234</v>
      </c>
      <c r="C71" s="142">
        <v>69181.50373170633</v>
      </c>
      <c r="D71" s="143">
        <v>0</v>
      </c>
      <c r="E71" s="163"/>
      <c r="F71" s="163"/>
      <c r="G71" s="164"/>
      <c r="H71" s="164"/>
    </row>
    <row r="72" spans="1:8" ht="15">
      <c r="A72" s="150" t="s">
        <v>95</v>
      </c>
      <c r="B72" s="142">
        <v>64426297.789858505</v>
      </c>
      <c r="C72" s="142">
        <v>3677.480361365389</v>
      </c>
      <c r="D72" s="143">
        <v>0</v>
      </c>
      <c r="E72" s="163"/>
      <c r="F72" s="163"/>
      <c r="G72" s="164"/>
      <c r="H72" s="164"/>
    </row>
    <row r="73" spans="1:8" ht="15">
      <c r="A73" s="150" t="s">
        <v>96</v>
      </c>
      <c r="B73" s="142">
        <v>5492147.859818452</v>
      </c>
      <c r="C73" s="142">
        <v>3530.239316751779</v>
      </c>
      <c r="D73" s="143">
        <v>0</v>
      </c>
      <c r="E73" s="163"/>
      <c r="F73" s="163"/>
      <c r="G73" s="164"/>
      <c r="H73" s="164"/>
    </row>
    <row r="74" spans="1:8" ht="15.75">
      <c r="A74" s="156" t="s">
        <v>15</v>
      </c>
      <c r="B74" s="142">
        <v>663457959.4384226</v>
      </c>
      <c r="C74" s="142">
        <v>132606.51754843246</v>
      </c>
      <c r="D74" s="143">
        <v>0</v>
      </c>
      <c r="E74" s="163"/>
      <c r="F74" s="163"/>
      <c r="G74" s="164"/>
      <c r="H74" s="164"/>
    </row>
    <row r="75" spans="1:8" ht="15">
      <c r="A75" s="150" t="s">
        <v>9</v>
      </c>
      <c r="B75" s="142">
        <v>521619362.98302174</v>
      </c>
      <c r="C75" s="142">
        <v>112859.86027394225</v>
      </c>
      <c r="D75" s="143">
        <v>0</v>
      </c>
      <c r="E75" s="163"/>
      <c r="F75" s="163"/>
      <c r="G75" s="164"/>
      <c r="H75" s="164"/>
    </row>
    <row r="76" spans="1:8" ht="15">
      <c r="A76" s="150" t="s">
        <v>13</v>
      </c>
      <c r="B76" s="142">
        <v>112455689.6406371</v>
      </c>
      <c r="C76" s="142">
        <v>12629.864909285365</v>
      </c>
      <c r="D76" s="143">
        <v>0</v>
      </c>
      <c r="E76" s="163"/>
      <c r="F76" s="163"/>
      <c r="G76" s="164"/>
      <c r="H76" s="164"/>
    </row>
    <row r="77" spans="1:8" ht="15">
      <c r="A77" s="150" t="s">
        <v>54</v>
      </c>
      <c r="B77" s="142">
        <v>29382906.8147637</v>
      </c>
      <c r="C77" s="142">
        <v>7116.792365204834</v>
      </c>
      <c r="D77" s="143">
        <v>0</v>
      </c>
      <c r="E77" s="163"/>
      <c r="F77" s="163"/>
      <c r="G77" s="164"/>
      <c r="H77" s="164"/>
    </row>
    <row r="78" spans="1:7" ht="15.75">
      <c r="A78" s="151" t="s">
        <v>93</v>
      </c>
      <c r="B78" s="142">
        <v>12458772.955999995</v>
      </c>
      <c r="C78" s="142">
        <v>3346.6189803900015</v>
      </c>
      <c r="D78" s="157">
        <v>0</v>
      </c>
      <c r="E78" s="95"/>
      <c r="F78" s="95"/>
      <c r="G78" s="95"/>
    </row>
    <row r="79" spans="1:7" ht="15.75">
      <c r="A79" s="151" t="s">
        <v>78</v>
      </c>
      <c r="B79" s="142">
        <v>36844132.1837916</v>
      </c>
      <c r="C79" s="142">
        <v>7631.2932540154</v>
      </c>
      <c r="D79" s="143">
        <v>0</v>
      </c>
      <c r="E79" s="95"/>
      <c r="F79" s="95"/>
      <c r="G79" s="95"/>
    </row>
    <row r="80" spans="1:7" ht="16.5" thickBot="1">
      <c r="A80" s="153" t="s">
        <v>45</v>
      </c>
      <c r="B80" s="154">
        <f>+H33</f>
        <v>1355698093.7530143</v>
      </c>
      <c r="C80" s="154">
        <f>+H32</f>
        <v>219973.65319266127</v>
      </c>
      <c r="D80" s="158">
        <v>0</v>
      </c>
      <c r="E80" s="137"/>
      <c r="F80" s="137"/>
      <c r="G80" s="137"/>
    </row>
    <row r="81" spans="1:4" ht="15">
      <c r="A81" s="159" t="s">
        <v>76</v>
      </c>
      <c r="B81" s="160"/>
      <c r="C81" s="160"/>
      <c r="D81" s="160"/>
    </row>
    <row r="83" spans="1:4" ht="15">
      <c r="A83" s="161"/>
      <c r="B83" s="137"/>
      <c r="C83" s="137"/>
      <c r="D83" s="95"/>
    </row>
    <row r="84" spans="1:4" ht="15">
      <c r="A84" s="126"/>
      <c r="B84" s="137"/>
      <c r="C84" s="137"/>
      <c r="D84" s="95"/>
    </row>
    <row r="85" spans="1:4" ht="15">
      <c r="A85" s="161"/>
      <c r="B85" s="160"/>
      <c r="C85" s="160"/>
      <c r="D85" s="160"/>
    </row>
    <row r="86" spans="1:4" ht="15">
      <c r="A86" s="159"/>
      <c r="B86" s="95"/>
      <c r="C86" s="95"/>
      <c r="D86" s="95"/>
    </row>
    <row r="93" spans="1:4" ht="15">
      <c r="A93" s="162"/>
      <c r="B93" s="95"/>
      <c r="C93" s="95"/>
      <c r="D93" s="95"/>
    </row>
  </sheetData>
  <mergeCells count="12">
    <mergeCell ref="H22:J22"/>
    <mergeCell ref="K22:M22"/>
    <mergeCell ref="E22:G22"/>
    <mergeCell ref="B22:D22"/>
    <mergeCell ref="B30:D30"/>
    <mergeCell ref="E30:G30"/>
    <mergeCell ref="H30:J30"/>
    <mergeCell ref="K30:M30"/>
    <mergeCell ref="B38:D38"/>
    <mergeCell ref="E38:G38"/>
    <mergeCell ref="H38:J38"/>
    <mergeCell ref="K38:M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2009-11-04T22:47:32Z</dcterms:modified>
  <cp:category/>
  <cp:version/>
  <cp:contentType/>
  <cp:contentStatus/>
</cp:coreProperties>
</file>