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<sst xmlns="http://schemas.openxmlformats.org/spreadsheetml/2006/main" count="209" uniqueCount="176">
  <si>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</si>
  <si>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</si>
  <si>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</si>
  <si>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</si>
  <si>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</si>
  <si>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</si>
  <si>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</si>
  <si>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</si>
  <si>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</si>
  <si>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</si>
  <si>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</si>
  <si>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</si>
  <si>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</si>
  <si>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</si>
  <si>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</si>
  <si>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</si>
  <si>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</si>
  <si>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</si>
  <si>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</si>
  <si>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</si>
  <si>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</si>
  <si>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</si>
  <si>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</si>
  <si>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</si>
  <si>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</si>
  <si>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</si>
  <si>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</si>
  <si>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</si>
  <si>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</si>
  <si>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</si>
  <si>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</si>
  <si>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</si>
  <si>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</si>
  <si>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</si>
  <si>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</si>
  <si>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</si>
  <si>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</si>
  <si>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</si>
  <si>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</si>
  <si>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</si>
  <si>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</si>
  <si>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</si>
  <si>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</si>
  <si>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</si>
  <si>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</si>
  <si>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</si>
  <si>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</si>
  <si>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</si>
  <si>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</si>
  <si>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</si>
  <si>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</si>
  <si>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</si>
  <si>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</si>
  <si>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</si>
  <si>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</si>
  <si>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</si>
  <si>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</si>
  <si>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</si>
  <si>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</si>
  <si>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</si>
  <si>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</si>
  <si>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</si>
  <si>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</si>
  <si>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</si>
  <si>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</si>
  <si>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</si>
  <si>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</si>
  <si>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</si>
  <si>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</si>
  <si>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</si>
  <si>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</si>
  <si>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</si>
  <si>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</si>
  <si>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</si>
  <si>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</si>
  <si>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</si>
  <si>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</si>
  <si>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</si>
  <si>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</si>
  <si>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</si>
  <si>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</si>
  <si>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</si>
  <si>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</si>
  <si>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</si>
  <si>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</si>
  <si>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</si>
  <si>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</si>
  <si>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</si>
  <si>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</si>
  <si>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</si>
  <si>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</si>
  <si>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</si>
  <si>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</si>
  <si>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</si>
  <si>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</si>
  <si>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</si>
  <si>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</si>
  <si>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</si>
  <si>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</si>
  <si>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</si>
  <si>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</si>
  <si>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</si>
  <si>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</si>
  <si>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</si>
  <si>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</si>
  <si>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</si>
  <si>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</si>
  <si>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</si>
  <si>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</si>
  <si>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</si>
  <si>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</si>
  <si>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</si>
  <si>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2009-2011 Bridge Funding Monthly Energy Efficiency Program Data Report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</si>
  <si>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</si>
  <si>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</si>
  <si>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</si>
  <si>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</si>
  <si>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</si>
  <si>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</si>
  <si>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</si>
  <si>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</si>
  <si>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</si>
  <si>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</si>
  <si>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</si>
  <si>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</si>
  <si>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</si>
  <si>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</si>
  <si>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</si>
  <si>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</si>
  <si>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</si>
  <si>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</si>
  <si>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</si>
  <si>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</si>
  <si>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</si>
  <si>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</si>
  <si>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</si>
  <si>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</si>
  <si>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</si>
  <si>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</si>
  <si>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</si>
  <si>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</si>
  <si>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</si>
  <si>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</si>
  <si>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</si>
  <si>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</si>
  <si>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</si>
  <si>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</si>
  <si>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</si>
  <si>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</si>
  <si>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</si>
  <si>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</si>
  <si>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</si>
  <si>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</si>
  <si>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</si>
  <si>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</si>
  <si>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</si>
  <si>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</si>
  <si>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</si>
  <si>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</si>
  <si>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</si>
  <si>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</si>
  <si>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</si>
  <si>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</si>
  <si>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</si>
  <si>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</si>
  <si>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</si>
  <si>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</si>
  <si>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</si>
  <si>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</si>
  <si>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</si>
  <si>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</si>
  <si>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</si>
  <si>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</si>
  <si>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</si>
  <si>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>Report Month: April 2009</t>
  </si>
  <si>
    <t>Report Month: May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</si>
</sst>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0" borderId="42" xfId="64" applyNumberFormat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43" fontId="24" fillId="0" borderId="0" xfId="94" applyNumberFormat="1" applyFont="1" applyFill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69" fontId="0" fillId="0" borderId="0" xfId="0" applyNumberFormat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26" width="15.7109375" style="0" customWidth="1"/>
    <col min="27" max="16384" width="76.2812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112</v>
      </c>
      <c r="B2" s="2"/>
      <c r="C2" s="3"/>
      <c r="D2" s="2"/>
      <c r="E2" s="2"/>
      <c r="F2" s="2"/>
      <c r="G2" s="2"/>
      <c r="H2" s="2"/>
    </row>
    <row r="3" spans="1:23" ht="15.75">
      <c r="A3" s="4" t="s">
        <v>175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4" t="s">
        <v>71</v>
      </c>
      <c r="B6" s="172" t="s">
        <v>72</v>
      </c>
      <c r="C6" s="9"/>
      <c r="D6" s="170" t="s">
        <v>173</v>
      </c>
      <c r="E6" s="170"/>
      <c r="F6" s="170"/>
      <c r="G6" s="170"/>
      <c r="H6" s="170"/>
      <c r="I6" s="10"/>
      <c r="J6" s="170" t="s">
        <v>161</v>
      </c>
      <c r="K6" s="170"/>
      <c r="L6" s="170"/>
      <c r="M6" s="170"/>
      <c r="N6" s="10"/>
      <c r="O6" s="170" t="s">
        <v>162</v>
      </c>
      <c r="P6" s="170"/>
      <c r="Q6" s="170"/>
      <c r="R6" s="170"/>
      <c r="S6" s="10"/>
      <c r="T6" s="170" t="s">
        <v>163</v>
      </c>
      <c r="U6" s="170"/>
      <c r="V6" s="170"/>
      <c r="W6" s="171"/>
    </row>
    <row r="7" spans="1:23" ht="154.5" customHeight="1" thickBot="1">
      <c r="A7" s="175"/>
      <c r="B7" s="173"/>
      <c r="C7" s="11"/>
      <c r="D7" s="12" t="s">
        <v>159</v>
      </c>
      <c r="E7" s="13" t="s">
        <v>160</v>
      </c>
      <c r="F7" s="13" t="s">
        <v>168</v>
      </c>
      <c r="G7" s="13" t="s">
        <v>73</v>
      </c>
      <c r="H7" s="14" t="s">
        <v>167</v>
      </c>
      <c r="I7" s="15"/>
      <c r="J7" s="16" t="s">
        <v>166</v>
      </c>
      <c r="K7" s="13" t="s">
        <v>165</v>
      </c>
      <c r="L7" s="13" t="s">
        <v>89</v>
      </c>
      <c r="M7" s="13" t="s">
        <v>164</v>
      </c>
      <c r="N7" s="17"/>
      <c r="O7" s="16" t="s">
        <v>166</v>
      </c>
      <c r="P7" s="13" t="s">
        <v>165</v>
      </c>
      <c r="Q7" s="13" t="s">
        <v>89</v>
      </c>
      <c r="R7" s="13" t="s">
        <v>164</v>
      </c>
      <c r="S7" s="17"/>
      <c r="T7" s="16" t="s">
        <v>166</v>
      </c>
      <c r="U7" s="13" t="s">
        <v>165</v>
      </c>
      <c r="V7" s="13" t="s">
        <v>89</v>
      </c>
      <c r="W7" s="13" t="s">
        <v>164</v>
      </c>
    </row>
    <row r="8" spans="1:26" ht="12.75">
      <c r="A8" s="18" t="s">
        <v>113</v>
      </c>
      <c r="B8" s="19" t="s">
        <v>90</v>
      </c>
      <c r="C8" s="20"/>
      <c r="D8" s="21">
        <v>11512980</v>
      </c>
      <c r="E8" s="22">
        <v>11512980</v>
      </c>
      <c r="F8" s="22">
        <v>3863986.5548700998</v>
      </c>
      <c r="G8" s="22">
        <v>979496.4012913979</v>
      </c>
      <c r="H8" s="23">
        <v>238700</v>
      </c>
      <c r="I8" s="24"/>
      <c r="J8" s="25"/>
      <c r="K8" s="26">
        <v>7980</v>
      </c>
      <c r="L8" s="26">
        <v>2105.1240000000007</v>
      </c>
      <c r="M8" s="27">
        <v>1413.28</v>
      </c>
      <c r="N8" s="28"/>
      <c r="O8" s="25"/>
      <c r="P8" s="26">
        <v>43647680</v>
      </c>
      <c r="Q8" s="30">
        <v>11476982</v>
      </c>
      <c r="R8" s="31">
        <v>7737614</v>
      </c>
      <c r="S8" s="28"/>
      <c r="T8" s="32">
        <v>0</v>
      </c>
      <c r="U8" s="33">
        <v>0</v>
      </c>
      <c r="V8" s="33">
        <v>0</v>
      </c>
      <c r="W8" s="34">
        <v>0</v>
      </c>
      <c r="Y8">
        <v>2884490.153578702</v>
      </c>
      <c r="Z8" s="167">
        <f>+F8-Y8</f>
        <v>979496.4012913979</v>
      </c>
    </row>
    <row r="9" spans="1:26" ht="12.75">
      <c r="A9" s="18" t="s">
        <v>114</v>
      </c>
      <c r="B9" s="19" t="s">
        <v>68</v>
      </c>
      <c r="C9" s="20"/>
      <c r="D9" s="21">
        <v>41897004</v>
      </c>
      <c r="E9" s="22">
        <v>41897004</v>
      </c>
      <c r="F9" s="22">
        <v>2350091.778311222</v>
      </c>
      <c r="G9" s="22">
        <v>837953.1373911272</v>
      </c>
      <c r="H9" s="23">
        <v>1377636.952619959</v>
      </c>
      <c r="I9" s="24"/>
      <c r="J9" s="25"/>
      <c r="K9" s="26">
        <v>8960</v>
      </c>
      <c r="L9" s="26">
        <v>2809.964735198201</v>
      </c>
      <c r="M9" s="27">
        <v>5750.9684391</v>
      </c>
      <c r="N9" s="28"/>
      <c r="O9" s="25"/>
      <c r="P9" s="26">
        <v>69392160</v>
      </c>
      <c r="Q9" s="30">
        <v>28281088.297922976</v>
      </c>
      <c r="R9" s="31">
        <v>45595932.35912</v>
      </c>
      <c r="S9" s="28"/>
      <c r="T9" s="32">
        <v>0</v>
      </c>
      <c r="U9" s="33">
        <v>0</v>
      </c>
      <c r="V9" s="33">
        <v>0</v>
      </c>
      <c r="W9" s="34">
        <v>0</v>
      </c>
      <c r="Y9">
        <v>1512138.6409200947</v>
      </c>
      <c r="Z9" s="167">
        <f aca="true" t="shared" si="0" ref="Z9:Z21">+F9-Y9</f>
        <v>837953.1373911272</v>
      </c>
    </row>
    <row r="10" spans="1:26" ht="12.75">
      <c r="A10" s="18" t="s">
        <v>115</v>
      </c>
      <c r="B10" s="19" t="s">
        <v>48</v>
      </c>
      <c r="C10" s="20"/>
      <c r="D10" s="21">
        <v>19236576</v>
      </c>
      <c r="E10" s="22">
        <v>19236576</v>
      </c>
      <c r="F10" s="22">
        <v>4193210.7497138986</v>
      </c>
      <c r="G10" s="22">
        <v>2387701.5215912717</v>
      </c>
      <c r="H10" s="23">
        <v>1258642.5</v>
      </c>
      <c r="I10" s="24"/>
      <c r="J10" s="25"/>
      <c r="K10" s="26">
        <v>1030.3410957740589</v>
      </c>
      <c r="L10" s="26">
        <v>746.294744674059</v>
      </c>
      <c r="M10" s="27">
        <v>95.8618557908385</v>
      </c>
      <c r="N10" s="28"/>
      <c r="O10" s="25"/>
      <c r="P10" s="26">
        <v>12314410</v>
      </c>
      <c r="Q10" s="30">
        <v>6410371.603589999</v>
      </c>
      <c r="R10" s="31">
        <v>2843612.90767</v>
      </c>
      <c r="S10" s="28"/>
      <c r="T10" s="32">
        <v>0</v>
      </c>
      <c r="U10" s="33">
        <v>0</v>
      </c>
      <c r="V10" s="33">
        <v>0</v>
      </c>
      <c r="W10" s="34">
        <v>0</v>
      </c>
      <c r="Y10">
        <v>1805509.228122627</v>
      </c>
      <c r="Z10" s="167">
        <f t="shared" si="0"/>
        <v>2387701.5215912717</v>
      </c>
    </row>
    <row r="11" spans="1:26" ht="12.75">
      <c r="A11" s="18" t="s">
        <v>116</v>
      </c>
      <c r="B11" s="19" t="s">
        <v>24</v>
      </c>
      <c r="C11" s="20"/>
      <c r="D11" s="21">
        <v>2777916</v>
      </c>
      <c r="E11" s="22">
        <v>2777916</v>
      </c>
      <c r="F11" s="22">
        <v>558483.9534661548</v>
      </c>
      <c r="G11" s="22">
        <v>119939.3872657101</v>
      </c>
      <c r="H11" s="23">
        <v>0</v>
      </c>
      <c r="I11" s="24"/>
      <c r="J11" s="25"/>
      <c r="K11" s="26">
        <v>322.584775</v>
      </c>
      <c r="L11" s="26">
        <v>0</v>
      </c>
      <c r="M11" s="27">
        <v>0</v>
      </c>
      <c r="N11" s="28"/>
      <c r="O11" s="25"/>
      <c r="P11" s="26">
        <v>927372.2857</v>
      </c>
      <c r="Q11" s="30">
        <v>0</v>
      </c>
      <c r="R11" s="31">
        <v>0</v>
      </c>
      <c r="S11" s="28"/>
      <c r="T11" s="32">
        <v>0</v>
      </c>
      <c r="U11" s="33">
        <v>0</v>
      </c>
      <c r="V11" s="33">
        <v>0</v>
      </c>
      <c r="W11" s="34">
        <v>0</v>
      </c>
      <c r="Y11">
        <v>438544.56620044465</v>
      </c>
      <c r="Z11" s="167">
        <f t="shared" si="0"/>
        <v>119939.3872657101</v>
      </c>
    </row>
    <row r="12" spans="1:26" ht="12.75">
      <c r="A12" s="18" t="s">
        <v>117</v>
      </c>
      <c r="B12" s="19" t="s">
        <v>91</v>
      </c>
      <c r="C12" s="20"/>
      <c r="D12" s="21">
        <v>2371572</v>
      </c>
      <c r="E12" s="22">
        <v>2371572</v>
      </c>
      <c r="F12" s="22">
        <v>843815.8125549549</v>
      </c>
      <c r="G12" s="22">
        <v>301811.548791824</v>
      </c>
      <c r="H12" s="23">
        <v>0</v>
      </c>
      <c r="I12" s="24"/>
      <c r="J12" s="25"/>
      <c r="K12" s="26">
        <v>13.71219155</v>
      </c>
      <c r="L12" s="26">
        <v>13.44488165</v>
      </c>
      <c r="M12" s="27">
        <v>0</v>
      </c>
      <c r="N12" s="28"/>
      <c r="O12" s="25"/>
      <c r="P12" s="26">
        <v>114527.7173714</v>
      </c>
      <c r="Q12" s="30">
        <v>111483.5922302</v>
      </c>
      <c r="R12" s="31">
        <v>0</v>
      </c>
      <c r="S12" s="28"/>
      <c r="T12" s="32">
        <v>0</v>
      </c>
      <c r="U12" s="33">
        <v>0</v>
      </c>
      <c r="V12" s="33">
        <v>0</v>
      </c>
      <c r="W12" s="34">
        <v>0</v>
      </c>
      <c r="Y12">
        <v>542004.2637631309</v>
      </c>
      <c r="Z12" s="167">
        <f t="shared" si="0"/>
        <v>301811.548791824</v>
      </c>
    </row>
    <row r="13" spans="1:26" ht="12.75">
      <c r="A13" s="18" t="s">
        <v>118</v>
      </c>
      <c r="B13" s="19" t="s">
        <v>79</v>
      </c>
      <c r="C13" s="20"/>
      <c r="D13" s="21">
        <v>2424480</v>
      </c>
      <c r="E13" s="22">
        <v>2424480</v>
      </c>
      <c r="F13" s="22">
        <v>907480.7034476442</v>
      </c>
      <c r="G13" s="22">
        <v>408777.95627560717</v>
      </c>
      <c r="H13" s="23">
        <v>4809270</v>
      </c>
      <c r="I13" s="24"/>
      <c r="J13" s="25"/>
      <c r="K13" s="26">
        <v>247.43459000000004</v>
      </c>
      <c r="L13" s="26">
        <v>100.37209000000004</v>
      </c>
      <c r="M13" s="27">
        <v>3982.69878</v>
      </c>
      <c r="N13" s="28"/>
      <c r="O13" s="25"/>
      <c r="P13" s="26">
        <v>220110.25</v>
      </c>
      <c r="Q13" s="30">
        <v>78666.75</v>
      </c>
      <c r="R13" s="31">
        <v>2952013</v>
      </c>
      <c r="S13" s="28"/>
      <c r="T13" s="32">
        <v>0</v>
      </c>
      <c r="U13" s="33">
        <v>0</v>
      </c>
      <c r="V13" s="33">
        <v>0</v>
      </c>
      <c r="W13" s="34">
        <v>0</v>
      </c>
      <c r="Y13">
        <v>498702.7471720371</v>
      </c>
      <c r="Z13" s="167">
        <f t="shared" si="0"/>
        <v>408777.95627560717</v>
      </c>
    </row>
    <row r="14" spans="1:26" ht="12.75">
      <c r="A14" s="18" t="s">
        <v>119</v>
      </c>
      <c r="B14" s="19" t="s">
        <v>12</v>
      </c>
      <c r="C14" s="20"/>
      <c r="D14" s="21">
        <v>23643324</v>
      </c>
      <c r="E14" s="22">
        <v>23643324</v>
      </c>
      <c r="F14" s="22">
        <v>2016519.2920626397</v>
      </c>
      <c r="G14" s="22">
        <v>1361158.4987522971</v>
      </c>
      <c r="H14" s="23">
        <v>0</v>
      </c>
      <c r="I14" s="24"/>
      <c r="J14" s="25"/>
      <c r="K14" s="26">
        <v>7543.700455233367</v>
      </c>
      <c r="L14" s="26">
        <v>0</v>
      </c>
      <c r="M14" s="27">
        <v>0</v>
      </c>
      <c r="N14" s="28"/>
      <c r="O14" s="25"/>
      <c r="P14" s="26">
        <v>11399590.333745206</v>
      </c>
      <c r="Q14" s="30">
        <v>0</v>
      </c>
      <c r="R14" s="31">
        <v>0</v>
      </c>
      <c r="S14" s="28"/>
      <c r="T14" s="32">
        <v>0</v>
      </c>
      <c r="U14" s="33">
        <v>0</v>
      </c>
      <c r="V14" s="33">
        <v>0</v>
      </c>
      <c r="W14" s="34">
        <v>0</v>
      </c>
      <c r="Y14">
        <v>655360.7933103426</v>
      </c>
      <c r="Z14" s="167">
        <f t="shared" si="0"/>
        <v>1361158.4987522971</v>
      </c>
    </row>
    <row r="15" spans="1:26" ht="12.75">
      <c r="A15" s="18" t="s">
        <v>120</v>
      </c>
      <c r="B15" s="19" t="s">
        <v>17</v>
      </c>
      <c r="C15" s="20"/>
      <c r="D15" s="21">
        <v>2514432</v>
      </c>
      <c r="E15" s="22">
        <v>2514432</v>
      </c>
      <c r="F15" s="22">
        <v>550380.9206796763</v>
      </c>
      <c r="G15" s="22">
        <v>35023.841686591506</v>
      </c>
      <c r="H15" s="23">
        <v>115710.0001</v>
      </c>
      <c r="I15" s="24"/>
      <c r="J15" s="25"/>
      <c r="K15" s="26">
        <v>611.225</v>
      </c>
      <c r="L15" s="26">
        <v>0</v>
      </c>
      <c r="M15" s="27">
        <v>169.526718522</v>
      </c>
      <c r="N15" s="28"/>
      <c r="O15" s="25"/>
      <c r="P15" s="26">
        <v>5499796.274999999</v>
      </c>
      <c r="Q15" s="30">
        <v>0</v>
      </c>
      <c r="R15" s="31">
        <v>768938.812836</v>
      </c>
      <c r="S15" s="28"/>
      <c r="T15" s="32">
        <v>0</v>
      </c>
      <c r="U15" s="33">
        <v>0</v>
      </c>
      <c r="V15" s="33">
        <v>0</v>
      </c>
      <c r="W15" s="34">
        <v>0</v>
      </c>
      <c r="Y15">
        <v>515357.07899308484</v>
      </c>
      <c r="Z15" s="167">
        <f t="shared" si="0"/>
        <v>35023.841686591506</v>
      </c>
    </row>
    <row r="16" spans="1:26" ht="12.75">
      <c r="A16" s="18" t="s">
        <v>121</v>
      </c>
      <c r="B16" s="19" t="s">
        <v>80</v>
      </c>
      <c r="C16" s="20"/>
      <c r="D16" s="21">
        <v>14175252</v>
      </c>
      <c r="E16" s="22">
        <v>14175252</v>
      </c>
      <c r="F16" s="22">
        <v>5791314.711443687</v>
      </c>
      <c r="G16" s="22">
        <v>2739075.6460438063</v>
      </c>
      <c r="H16" s="23">
        <v>26577168.240000002</v>
      </c>
      <c r="I16" s="24"/>
      <c r="J16" s="25"/>
      <c r="K16" s="26">
        <v>7774.93</v>
      </c>
      <c r="L16" s="26">
        <v>3425.210898876405</v>
      </c>
      <c r="M16" s="27">
        <v>66442.9206</v>
      </c>
      <c r="N16" s="28"/>
      <c r="O16" s="25"/>
      <c r="P16" s="26">
        <v>65357167.00000002</v>
      </c>
      <c r="Q16" s="30">
        <v>30599032.168539345</v>
      </c>
      <c r="R16" s="31">
        <v>332214603</v>
      </c>
      <c r="S16" s="28"/>
      <c r="T16" s="32">
        <v>0</v>
      </c>
      <c r="U16" s="33">
        <v>0</v>
      </c>
      <c r="V16" s="33">
        <v>0</v>
      </c>
      <c r="W16" s="34">
        <v>0</v>
      </c>
      <c r="Y16">
        <v>3052239.0653998805</v>
      </c>
      <c r="Z16" s="167">
        <f t="shared" si="0"/>
        <v>2739075.6460438063</v>
      </c>
    </row>
    <row r="17" spans="1:26" ht="12.75">
      <c r="A17" s="18" t="s">
        <v>122</v>
      </c>
      <c r="B17" s="19" t="s">
        <v>49</v>
      </c>
      <c r="C17" s="20"/>
      <c r="D17" s="21">
        <v>5504856</v>
      </c>
      <c r="E17" s="22">
        <v>5504856</v>
      </c>
      <c r="F17" s="22">
        <v>1654917.349342015</v>
      </c>
      <c r="G17" s="22">
        <v>471909.51550109405</v>
      </c>
      <c r="H17" s="23">
        <v>5849106.5</v>
      </c>
      <c r="I17" s="24"/>
      <c r="J17" s="25"/>
      <c r="K17" s="26">
        <v>2732.194833333333</v>
      </c>
      <c r="L17" s="26">
        <v>560.4262333333736</v>
      </c>
      <c r="M17" s="27">
        <v>5828.6901</v>
      </c>
      <c r="N17" s="28"/>
      <c r="O17" s="25"/>
      <c r="P17" s="26">
        <v>10030689.18</v>
      </c>
      <c r="Q17" s="30">
        <v>2352999.16279996</v>
      </c>
      <c r="R17" s="31">
        <v>34339017.85</v>
      </c>
      <c r="S17" s="28"/>
      <c r="T17" s="32">
        <v>0</v>
      </c>
      <c r="U17" s="33">
        <v>0</v>
      </c>
      <c r="V17" s="33">
        <v>0</v>
      </c>
      <c r="W17" s="34">
        <v>0</v>
      </c>
      <c r="Y17">
        <v>1183007.833840921</v>
      </c>
      <c r="Z17" s="167">
        <f t="shared" si="0"/>
        <v>471909.51550109405</v>
      </c>
    </row>
    <row r="18" spans="1:26" ht="12.75">
      <c r="A18" s="18" t="s">
        <v>123</v>
      </c>
      <c r="B18" s="19" t="s">
        <v>61</v>
      </c>
      <c r="C18" s="20"/>
      <c r="D18" s="21">
        <v>14849124</v>
      </c>
      <c r="E18" s="22">
        <v>14849124</v>
      </c>
      <c r="F18" s="22">
        <v>1203710.73</v>
      </c>
      <c r="G18" s="22">
        <v>-1936604.84</v>
      </c>
      <c r="H18" s="23">
        <v>1603968.7705499954</v>
      </c>
      <c r="I18" s="24"/>
      <c r="J18" s="25"/>
      <c r="K18" s="26">
        <v>369.39347342000053</v>
      </c>
      <c r="L18" s="26">
        <v>332.60180675333385</v>
      </c>
      <c r="M18" s="27">
        <v>485.551218686</v>
      </c>
      <c r="N18" s="28"/>
      <c r="O18" s="25"/>
      <c r="P18" s="26">
        <v>2468792.657931997</v>
      </c>
      <c r="Q18" s="30">
        <v>1680535.3662653302</v>
      </c>
      <c r="R18" s="31">
        <v>2370640.0529444</v>
      </c>
      <c r="S18" s="28"/>
      <c r="T18" s="32">
        <v>0</v>
      </c>
      <c r="U18" s="33">
        <v>0</v>
      </c>
      <c r="V18" s="33">
        <v>0</v>
      </c>
      <c r="W18" s="34">
        <v>0</v>
      </c>
      <c r="Y18">
        <v>3140315.57</v>
      </c>
      <c r="Z18" s="167">
        <f t="shared" si="0"/>
        <v>-1936604.8399999999</v>
      </c>
    </row>
    <row r="19" spans="1:26" ht="12.75">
      <c r="A19" s="18" t="s">
        <v>124</v>
      </c>
      <c r="B19" s="19" t="s">
        <v>50</v>
      </c>
      <c r="C19" s="20"/>
      <c r="D19" s="21">
        <v>10109196</v>
      </c>
      <c r="E19" s="22">
        <v>10109196</v>
      </c>
      <c r="F19" s="22">
        <v>3252502.52</v>
      </c>
      <c r="G19" s="22">
        <v>762061.37</v>
      </c>
      <c r="H19" s="23">
        <v>0</v>
      </c>
      <c r="I19" s="24"/>
      <c r="J19" s="25"/>
      <c r="K19" s="26">
        <v>5230.2</v>
      </c>
      <c r="L19" s="26">
        <v>1113.7</v>
      </c>
      <c r="M19" s="27">
        <v>0</v>
      </c>
      <c r="N19" s="28"/>
      <c r="O19" s="25"/>
      <c r="P19" s="26">
        <v>29675037.999999985</v>
      </c>
      <c r="Q19" s="30">
        <v>6224411.999999985</v>
      </c>
      <c r="R19" s="31">
        <v>0</v>
      </c>
      <c r="S19" s="28"/>
      <c r="T19" s="32">
        <v>0</v>
      </c>
      <c r="U19" s="33">
        <v>0</v>
      </c>
      <c r="V19" s="33">
        <v>0</v>
      </c>
      <c r="W19" s="34">
        <v>0</v>
      </c>
      <c r="Y19">
        <v>2490441.15</v>
      </c>
      <c r="Z19" s="167">
        <f t="shared" si="0"/>
        <v>762061.3700000001</v>
      </c>
    </row>
    <row r="20" spans="1:26" ht="12.75">
      <c r="A20" s="18" t="s">
        <v>125</v>
      </c>
      <c r="B20" s="19" t="s">
        <v>42</v>
      </c>
      <c r="C20" s="20"/>
      <c r="D20" s="21">
        <v>7637580</v>
      </c>
      <c r="E20" s="22">
        <v>7637580</v>
      </c>
      <c r="F20" s="22">
        <v>2059538.0383722896</v>
      </c>
      <c r="G20" s="22">
        <v>553138.0493775636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9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  <c r="Y20">
        <v>1506399.988994726</v>
      </c>
      <c r="Z20" s="167">
        <f t="shared" si="0"/>
        <v>553138.0493775636</v>
      </c>
    </row>
    <row r="21" spans="1:26" ht="12.75">
      <c r="A21" s="18" t="s">
        <v>126</v>
      </c>
      <c r="B21" s="19" t="s">
        <v>30</v>
      </c>
      <c r="C21" s="20"/>
      <c r="D21" s="21">
        <v>487068</v>
      </c>
      <c r="E21" s="22">
        <v>487068</v>
      </c>
      <c r="F21" s="22">
        <v>177847.02</v>
      </c>
      <c r="G21" s="22">
        <v>36380.32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9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  <c r="Y21">
        <v>141466.7</v>
      </c>
      <c r="Z21" s="167">
        <f t="shared" si="0"/>
        <v>36380.31999999998</v>
      </c>
    </row>
    <row r="22" spans="1:26" ht="12.75">
      <c r="A22" s="18" t="s">
        <v>127</v>
      </c>
      <c r="B22" s="19" t="s">
        <v>43</v>
      </c>
      <c r="C22" s="20"/>
      <c r="D22" s="21">
        <v>1665876</v>
      </c>
      <c r="E22" s="22">
        <v>1665876</v>
      </c>
      <c r="F22" s="22">
        <v>393463.92160564574</v>
      </c>
      <c r="G22" s="22">
        <v>103342.38267989765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9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  <c r="Y22">
        <v>290121.5389257481</v>
      </c>
      <c r="Z22" s="167">
        <f aca="true" t="shared" si="1" ref="Z22:Z64">+F22-Y22</f>
        <v>103342.38267989765</v>
      </c>
    </row>
    <row r="23" spans="1:26" ht="12.75">
      <c r="A23" s="18" t="s">
        <v>128</v>
      </c>
      <c r="B23" s="19" t="s">
        <v>44</v>
      </c>
      <c r="C23" s="20"/>
      <c r="D23" s="21">
        <v>2122404</v>
      </c>
      <c r="E23" s="22">
        <v>2122404</v>
      </c>
      <c r="F23" s="22">
        <v>421817.13130760833</v>
      </c>
      <c r="G23" s="22">
        <v>244297.6454176779</v>
      </c>
      <c r="H23" s="23">
        <v>0</v>
      </c>
      <c r="I23" s="24"/>
      <c r="J23" s="25"/>
      <c r="K23" s="26">
        <f>11446.9398810231*5/12</f>
        <v>4769.558283759625</v>
      </c>
      <c r="L23" s="26">
        <f>11446.9398810231*1/12</f>
        <v>953.911656751925</v>
      </c>
      <c r="M23" s="26">
        <f>11446.9398810231*7/12</f>
        <v>6677.381597263474</v>
      </c>
      <c r="N23" s="28"/>
      <c r="O23" s="25"/>
      <c r="P23" s="30">
        <f>55266198.2756874*5/12</f>
        <v>23027582.614869747</v>
      </c>
      <c r="Q23" s="30">
        <f>55266198.2756874*1/12</f>
        <v>4605516.52297395</v>
      </c>
      <c r="R23" s="30">
        <f>55266198.2756874*7/12</f>
        <v>32238615.66081765</v>
      </c>
      <c r="S23" s="28"/>
      <c r="T23" s="32">
        <v>0</v>
      </c>
      <c r="U23" s="33">
        <v>0</v>
      </c>
      <c r="V23" s="33">
        <v>0</v>
      </c>
      <c r="W23" s="34">
        <v>0</v>
      </c>
      <c r="Y23">
        <v>177519.48588993042</v>
      </c>
      <c r="Z23" s="167">
        <f t="shared" si="1"/>
        <v>244297.6454176779</v>
      </c>
    </row>
    <row r="24" spans="1:26" ht="12.75">
      <c r="A24" s="18" t="s">
        <v>129</v>
      </c>
      <c r="B24" s="19" t="s">
        <v>11</v>
      </c>
      <c r="C24" s="20"/>
      <c r="D24" s="21">
        <v>50177496</v>
      </c>
      <c r="E24" s="22">
        <v>50177496</v>
      </c>
      <c r="F24" s="22">
        <v>12519816.773062224</v>
      </c>
      <c r="G24" s="22">
        <v>2666024.536677204</v>
      </c>
      <c r="H24" s="23">
        <v>15019425.920340002</v>
      </c>
      <c r="I24" s="24"/>
      <c r="J24" s="25"/>
      <c r="K24" s="26">
        <v>17572.28871712798</v>
      </c>
      <c r="L24" s="26">
        <v>5041.902249865336</v>
      </c>
      <c r="M24" s="27">
        <v>21948.4406449858</v>
      </c>
      <c r="N24" s="28"/>
      <c r="O24" s="25"/>
      <c r="P24" s="26">
        <v>95526658.58142762</v>
      </c>
      <c r="Q24" s="30">
        <v>23462822.94716589</v>
      </c>
      <c r="R24" s="31">
        <v>151851581.078506</v>
      </c>
      <c r="S24" s="28"/>
      <c r="T24" s="32">
        <v>0</v>
      </c>
      <c r="U24" s="33">
        <v>0</v>
      </c>
      <c r="V24" s="33">
        <v>0</v>
      </c>
      <c r="W24" s="34">
        <v>0</v>
      </c>
      <c r="Y24">
        <v>9853792.23638502</v>
      </c>
      <c r="Z24" s="167">
        <f t="shared" si="1"/>
        <v>2666024.536677204</v>
      </c>
    </row>
    <row r="25" spans="1:26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  <c r="Z25" s="167">
        <f t="shared" si="1"/>
        <v>0</v>
      </c>
    </row>
    <row r="26" spans="1:26" ht="12.75">
      <c r="A26" s="18" t="s">
        <v>130</v>
      </c>
      <c r="B26" s="19" t="s">
        <v>1</v>
      </c>
      <c r="C26" s="20"/>
      <c r="D26" s="21">
        <v>2208719.134195264</v>
      </c>
      <c r="E26" s="22">
        <v>2208719.134195264</v>
      </c>
      <c r="F26" s="22">
        <f>52818.6474891098*(D26/SUM($D$26:$D$45))+170454.941941077</f>
        <v>176000.94641582953</v>
      </c>
      <c r="G26" s="22">
        <v>24686.69139010046</v>
      </c>
      <c r="H26" s="23">
        <v>0</v>
      </c>
      <c r="I26" s="24"/>
      <c r="J26" s="25"/>
      <c r="K26" s="26">
        <v>0</v>
      </c>
      <c r="L26" s="26">
        <v>0</v>
      </c>
      <c r="M26" s="27">
        <v>0</v>
      </c>
      <c r="N26" s="28"/>
      <c r="O26" s="25"/>
      <c r="P26" s="29">
        <v>0</v>
      </c>
      <c r="Q26" s="30">
        <v>0</v>
      </c>
      <c r="R26" s="31">
        <v>0</v>
      </c>
      <c r="S26" s="28"/>
      <c r="T26" s="32">
        <v>0</v>
      </c>
      <c r="U26" s="33">
        <v>0</v>
      </c>
      <c r="V26" s="33">
        <v>0</v>
      </c>
      <c r="W26" s="34">
        <v>0</v>
      </c>
      <c r="Y26">
        <v>151314.25502572907</v>
      </c>
      <c r="Z26" s="167">
        <f t="shared" si="1"/>
        <v>24686.69139010046</v>
      </c>
    </row>
    <row r="27" spans="1:26" ht="12.75">
      <c r="A27" s="18" t="s">
        <v>131</v>
      </c>
      <c r="B27" s="19" t="s">
        <v>94</v>
      </c>
      <c r="C27" s="20"/>
      <c r="D27" s="21">
        <v>993164.7719898829</v>
      </c>
      <c r="E27" s="22">
        <v>993164.7719898829</v>
      </c>
      <c r="F27" s="22">
        <f>52818.6474891098*(D27/SUM($D$26:$D$45))+161567.397965151</f>
        <v>164061.19456624275</v>
      </c>
      <c r="G27" s="22">
        <v>17622.00783449202</v>
      </c>
      <c r="H27" s="23">
        <v>9253</v>
      </c>
      <c r="I27" s="24"/>
      <c r="J27" s="25"/>
      <c r="K27" s="26">
        <v>56.18</v>
      </c>
      <c r="L27" s="26">
        <v>0</v>
      </c>
      <c r="M27" s="27">
        <v>15.6</v>
      </c>
      <c r="N27" s="28"/>
      <c r="O27" s="25"/>
      <c r="P27" s="26">
        <v>264547.62</v>
      </c>
      <c r="Q27" s="30">
        <v>0</v>
      </c>
      <c r="R27" s="31">
        <v>44529.2</v>
      </c>
      <c r="S27" s="28"/>
      <c r="T27" s="32">
        <v>0</v>
      </c>
      <c r="U27" s="33">
        <v>0</v>
      </c>
      <c r="V27" s="33">
        <v>0</v>
      </c>
      <c r="W27" s="34">
        <v>0</v>
      </c>
      <c r="Y27">
        <v>146439.18673175073</v>
      </c>
      <c r="Z27" s="167">
        <f t="shared" si="1"/>
        <v>17622.00783449202</v>
      </c>
    </row>
    <row r="28" spans="1:26" ht="12.75">
      <c r="A28" s="18" t="s">
        <v>132</v>
      </c>
      <c r="B28" s="19" t="s">
        <v>28</v>
      </c>
      <c r="C28" s="20"/>
      <c r="D28" s="21">
        <v>524682.5494644975</v>
      </c>
      <c r="E28" s="22">
        <v>524682.5494644975</v>
      </c>
      <c r="F28" s="22">
        <f>52818.6474891098*(D28/SUM($D$26:$D$45))+113758.493982576</f>
        <v>115075.95065785167</v>
      </c>
      <c r="G28" s="22">
        <v>12730.629261485446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6">
        <v>0</v>
      </c>
      <c r="Q28" s="30">
        <v>0</v>
      </c>
      <c r="R28" s="31">
        <v>0</v>
      </c>
      <c r="S28" s="28"/>
      <c r="T28" s="32">
        <v>0</v>
      </c>
      <c r="U28" s="33">
        <v>0</v>
      </c>
      <c r="V28" s="33">
        <v>0</v>
      </c>
      <c r="W28" s="34">
        <v>0</v>
      </c>
      <c r="Y28">
        <v>102345.32139636623</v>
      </c>
      <c r="Z28" s="167">
        <f t="shared" si="1"/>
        <v>12730.629261485446</v>
      </c>
    </row>
    <row r="29" spans="1:26" ht="12.75">
      <c r="A29" s="18" t="s">
        <v>133</v>
      </c>
      <c r="B29" s="19" t="s">
        <v>29</v>
      </c>
      <c r="C29" s="20"/>
      <c r="D29" s="21">
        <v>607143.8007384005</v>
      </c>
      <c r="E29" s="22">
        <v>607143.8007384005</v>
      </c>
      <c r="F29" s="22">
        <f>52818.6474891098*(D29/SUM($D$26:$D$45))+53219.4647790909</f>
        <v>54743.978323426294</v>
      </c>
      <c r="G29" s="22">
        <v>22155.636342568676</v>
      </c>
      <c r="H29" s="23">
        <v>0</v>
      </c>
      <c r="I29" s="24"/>
      <c r="J29" s="25"/>
      <c r="K29" s="26">
        <v>0</v>
      </c>
      <c r="L29" s="26">
        <v>0</v>
      </c>
      <c r="M29" s="27">
        <v>0</v>
      </c>
      <c r="N29" s="28"/>
      <c r="O29" s="25"/>
      <c r="P29" s="26">
        <v>0</v>
      </c>
      <c r="Q29" s="30">
        <v>0</v>
      </c>
      <c r="R29" s="31">
        <v>0</v>
      </c>
      <c r="S29" s="28"/>
      <c r="T29" s="32">
        <v>0</v>
      </c>
      <c r="U29" s="33">
        <v>0</v>
      </c>
      <c r="V29" s="33">
        <v>0</v>
      </c>
      <c r="W29" s="34">
        <v>0</v>
      </c>
      <c r="Y29">
        <v>32588.34198085762</v>
      </c>
      <c r="Z29" s="167">
        <f t="shared" si="1"/>
        <v>22155.636342568676</v>
      </c>
    </row>
    <row r="30" spans="1:26" ht="12.75">
      <c r="A30" s="18" t="s">
        <v>134</v>
      </c>
      <c r="B30" s="19" t="s">
        <v>32</v>
      </c>
      <c r="C30" s="20"/>
      <c r="D30" s="21">
        <v>140537.35852264304</v>
      </c>
      <c r="E30" s="22">
        <v>140537.35852264304</v>
      </c>
      <c r="F30" s="22">
        <f>52818.6474891098*(D30/SUM($D$26:$D$45))+60163.6809956439</f>
        <v>60516.56462270609</v>
      </c>
      <c r="G30" s="22">
        <v>16223.8565967842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6">
        <v>0</v>
      </c>
      <c r="Q30" s="30">
        <v>0</v>
      </c>
      <c r="R30" s="31">
        <v>0</v>
      </c>
      <c r="S30" s="28"/>
      <c r="T30" s="32">
        <v>0</v>
      </c>
      <c r="U30" s="33">
        <v>0</v>
      </c>
      <c r="V30" s="33">
        <v>0</v>
      </c>
      <c r="W30" s="34">
        <v>0</v>
      </c>
      <c r="Y30">
        <v>44292.70802592189</v>
      </c>
      <c r="Z30" s="167">
        <f t="shared" si="1"/>
        <v>16223.8565967842</v>
      </c>
    </row>
    <row r="31" spans="1:26" ht="12.75">
      <c r="A31" s="18" t="s">
        <v>135</v>
      </c>
      <c r="B31" s="19" t="s">
        <v>33</v>
      </c>
      <c r="C31" s="20"/>
      <c r="D31" s="21">
        <v>1355742.5495015564</v>
      </c>
      <c r="E31" s="22">
        <v>1355742.5495015564</v>
      </c>
      <c r="F31" s="22">
        <f>52818.6474891098*(D31/SUM($D$26:$D$45))+(155863.945930303*(2/3))</f>
        <v>107313.51203275463</v>
      </c>
      <c r="G31" s="22">
        <v>76892.26914165114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6">
        <v>0</v>
      </c>
      <c r="Q31" s="30">
        <v>0</v>
      </c>
      <c r="R31" s="31">
        <v>0</v>
      </c>
      <c r="S31" s="28"/>
      <c r="T31" s="32">
        <v>0</v>
      </c>
      <c r="U31" s="33">
        <v>0</v>
      </c>
      <c r="V31" s="33">
        <v>0</v>
      </c>
      <c r="W31" s="34">
        <v>0</v>
      </c>
      <c r="Y31">
        <v>30421.242891103488</v>
      </c>
      <c r="Z31" s="167">
        <f t="shared" si="1"/>
        <v>76892.26914165114</v>
      </c>
    </row>
    <row r="32" spans="1:26" ht="12.75">
      <c r="A32" s="18" t="s">
        <v>136</v>
      </c>
      <c r="B32" s="19" t="s">
        <v>34</v>
      </c>
      <c r="C32" s="20"/>
      <c r="D32" s="21">
        <v>677871.2747507782</v>
      </c>
      <c r="E32" s="22">
        <v>677871.2747507782</v>
      </c>
      <c r="F32" s="22">
        <f>52818.6474891098*(D32/SUM($D$26:$D$45))+(155863.945930303*(1/3))</f>
        <v>53656.756016377316</v>
      </c>
      <c r="G32" s="22">
        <v>38446.13457082557</v>
      </c>
      <c r="H32" s="23">
        <v>0</v>
      </c>
      <c r="I32" s="24"/>
      <c r="J32" s="25"/>
      <c r="K32" s="26">
        <v>0</v>
      </c>
      <c r="L32" s="26">
        <v>0</v>
      </c>
      <c r="M32" s="27">
        <v>0</v>
      </c>
      <c r="N32" s="28"/>
      <c r="O32" s="25"/>
      <c r="P32" s="26">
        <v>0</v>
      </c>
      <c r="Q32" s="30">
        <v>0</v>
      </c>
      <c r="R32" s="31">
        <v>0</v>
      </c>
      <c r="S32" s="28"/>
      <c r="T32" s="32">
        <v>0</v>
      </c>
      <c r="U32" s="33">
        <v>0</v>
      </c>
      <c r="V32" s="33">
        <v>0</v>
      </c>
      <c r="W32" s="34">
        <v>0</v>
      </c>
      <c r="Y32">
        <v>15210.621445551744</v>
      </c>
      <c r="Z32" s="167">
        <f t="shared" si="1"/>
        <v>38446.13457082557</v>
      </c>
    </row>
    <row r="33" spans="1:26" ht="12.75">
      <c r="A33" s="18" t="s">
        <v>137</v>
      </c>
      <c r="B33" s="19" t="s">
        <v>38</v>
      </c>
      <c r="C33" s="20"/>
      <c r="D33" s="21">
        <v>493768.7155304996</v>
      </c>
      <c r="E33" s="22">
        <v>493768.7155304996</v>
      </c>
      <c r="F33" s="22">
        <f>52818.6474891098*(D33/SUM($D$26:$D$45))+116811.273982576</f>
        <v>118051.10727030759</v>
      </c>
      <c r="G33" s="22">
        <v>31353.405254689438</v>
      </c>
      <c r="H33" s="23">
        <v>49660.36</v>
      </c>
      <c r="I33" s="24"/>
      <c r="J33" s="25"/>
      <c r="K33" s="26">
        <v>0.88</v>
      </c>
      <c r="L33" s="26">
        <v>0.88</v>
      </c>
      <c r="M33" s="27">
        <v>29.15</v>
      </c>
      <c r="N33" s="28"/>
      <c r="O33" s="25"/>
      <c r="P33" s="26">
        <v>10883</v>
      </c>
      <c r="Q33" s="30">
        <v>10883</v>
      </c>
      <c r="R33" s="31">
        <v>248301</v>
      </c>
      <c r="S33" s="28"/>
      <c r="T33" s="32">
        <v>0</v>
      </c>
      <c r="U33" s="33">
        <v>0</v>
      </c>
      <c r="V33" s="33">
        <v>0</v>
      </c>
      <c r="W33" s="34">
        <v>0</v>
      </c>
      <c r="Y33">
        <v>86697.70201561815</v>
      </c>
      <c r="Z33" s="167">
        <f t="shared" si="1"/>
        <v>31353.405254689438</v>
      </c>
    </row>
    <row r="34" spans="1:26" ht="12.75">
      <c r="A34" s="18" t="s">
        <v>138</v>
      </c>
      <c r="B34" s="19" t="s">
        <v>21</v>
      </c>
      <c r="C34" s="20"/>
      <c r="D34" s="21">
        <v>1401256.6128585457</v>
      </c>
      <c r="E34" s="22">
        <v>1401256.6128585457</v>
      </c>
      <c r="F34" s="22">
        <f>52818.6474891098*(D34/SUM($D$26:$D$45))+153836.644598479</f>
        <v>157355.14331788343</v>
      </c>
      <c r="G34" s="22">
        <v>26163.907235660037</v>
      </c>
      <c r="H34" s="23">
        <v>244301.712</v>
      </c>
      <c r="I34" s="24"/>
      <c r="J34" s="25"/>
      <c r="K34" s="26">
        <v>20</v>
      </c>
      <c r="L34" s="26">
        <v>0</v>
      </c>
      <c r="M34" s="27">
        <v>49.83</v>
      </c>
      <c r="N34" s="28"/>
      <c r="O34" s="25"/>
      <c r="P34" s="26">
        <v>345468</v>
      </c>
      <c r="Q34" s="30">
        <v>0</v>
      </c>
      <c r="R34" s="31">
        <v>1017923.8</v>
      </c>
      <c r="S34" s="28"/>
      <c r="T34" s="32">
        <v>0</v>
      </c>
      <c r="U34" s="33">
        <v>0</v>
      </c>
      <c r="V34" s="33">
        <v>0</v>
      </c>
      <c r="W34" s="34">
        <v>0</v>
      </c>
      <c r="Y34">
        <v>131191.2360822234</v>
      </c>
      <c r="Z34" s="167">
        <f t="shared" si="1"/>
        <v>26163.907235660037</v>
      </c>
    </row>
    <row r="35" spans="1:26" ht="12.75">
      <c r="A35" s="18" t="s">
        <v>139</v>
      </c>
      <c r="B35" s="19" t="s">
        <v>39</v>
      </c>
      <c r="C35" s="20"/>
      <c r="D35" s="21">
        <v>891702.1097872814</v>
      </c>
      <c r="E35" s="22">
        <v>891702.1097872814</v>
      </c>
      <c r="F35" s="22">
        <f>52818.6474891098*(D35/SUM($D$26:$D$45))+375753.79838085</f>
        <v>377992.82633803226</v>
      </c>
      <c r="G35" s="22">
        <v>315890.92164426873</v>
      </c>
      <c r="H35" s="23">
        <v>0</v>
      </c>
      <c r="I35" s="24"/>
      <c r="J35" s="25"/>
      <c r="K35" s="26">
        <v>164</v>
      </c>
      <c r="L35" s="26">
        <v>164</v>
      </c>
      <c r="M35" s="27">
        <v>0</v>
      </c>
      <c r="N35" s="28"/>
      <c r="O35" s="25"/>
      <c r="P35" s="26">
        <v>1265684</v>
      </c>
      <c r="Q35" s="30">
        <v>1265684</v>
      </c>
      <c r="R35" s="31">
        <v>0</v>
      </c>
      <c r="S35" s="28"/>
      <c r="T35" s="32">
        <v>0</v>
      </c>
      <c r="U35" s="33">
        <v>0</v>
      </c>
      <c r="V35" s="33">
        <v>0</v>
      </c>
      <c r="W35" s="34">
        <v>0</v>
      </c>
      <c r="Y35">
        <v>62101.904693763536</v>
      </c>
      <c r="Z35" s="167">
        <f t="shared" si="1"/>
        <v>315890.92164426873</v>
      </c>
    </row>
    <row r="36" spans="1:26" ht="12.75">
      <c r="A36" s="18" t="s">
        <v>140</v>
      </c>
      <c r="B36" s="19" t="s">
        <v>22</v>
      </c>
      <c r="C36" s="20"/>
      <c r="D36" s="21">
        <v>1337553.164680922</v>
      </c>
      <c r="E36" s="22">
        <v>1337553.164680922</v>
      </c>
      <c r="F36" s="22">
        <f>52818.6474891098*(D36/SUM($D$26:$D$45))+62413.8525712757</f>
        <v>65772.39450704904</v>
      </c>
      <c r="G36" s="22">
        <v>3738.272466403687</v>
      </c>
      <c r="H36" s="23">
        <v>578001.36</v>
      </c>
      <c r="I36" s="24"/>
      <c r="J36" s="25"/>
      <c r="K36" s="26">
        <v>0</v>
      </c>
      <c r="L36" s="26">
        <v>0</v>
      </c>
      <c r="M36" s="27">
        <v>0.7</v>
      </c>
      <c r="N36" s="28"/>
      <c r="O36" s="25"/>
      <c r="P36" s="26">
        <v>0</v>
      </c>
      <c r="Q36" s="30">
        <v>0</v>
      </c>
      <c r="R36" s="31">
        <v>3200302</v>
      </c>
      <c r="S36" s="28"/>
      <c r="T36" s="32">
        <v>0</v>
      </c>
      <c r="U36" s="33">
        <v>0</v>
      </c>
      <c r="V36" s="33">
        <v>0</v>
      </c>
      <c r="W36" s="34">
        <v>0</v>
      </c>
      <c r="Y36">
        <v>62034.12204064536</v>
      </c>
      <c r="Z36" s="167">
        <f t="shared" si="1"/>
        <v>3738.272466403687</v>
      </c>
    </row>
    <row r="37" spans="1:26" ht="12.75">
      <c r="A37" s="18" t="s">
        <v>141</v>
      </c>
      <c r="B37" s="19" t="s">
        <v>23</v>
      </c>
      <c r="C37" s="20"/>
      <c r="D37" s="21">
        <v>700628.3064292729</v>
      </c>
      <c r="E37" s="22">
        <v>700628.3064292729</v>
      </c>
      <c r="F37" s="22">
        <f>52818.6474891098*(D37/SUM($D$26:$D$45))+62996.1422992397</f>
        <v>64755.39165894191</v>
      </c>
      <c r="G37" s="22">
        <v>12565.058617830415</v>
      </c>
      <c r="H37" s="23">
        <v>640.65</v>
      </c>
      <c r="I37" s="24"/>
      <c r="J37" s="25"/>
      <c r="K37" s="26">
        <v>0</v>
      </c>
      <c r="L37" s="26">
        <v>0</v>
      </c>
      <c r="M37" s="27">
        <v>512.1</v>
      </c>
      <c r="N37" s="28"/>
      <c r="O37" s="25"/>
      <c r="P37" s="26">
        <v>0</v>
      </c>
      <c r="Q37" s="30">
        <v>0</v>
      </c>
      <c r="R37" s="31">
        <v>4271</v>
      </c>
      <c r="S37" s="28"/>
      <c r="T37" s="32">
        <v>0</v>
      </c>
      <c r="U37" s="33">
        <v>0</v>
      </c>
      <c r="V37" s="33">
        <v>0</v>
      </c>
      <c r="W37" s="34">
        <v>0</v>
      </c>
      <c r="Y37">
        <v>52190.333041111495</v>
      </c>
      <c r="Z37" s="167">
        <f t="shared" si="1"/>
        <v>12565.058617830415</v>
      </c>
    </row>
    <row r="38" spans="1:26" ht="12.75">
      <c r="A38" s="18" t="s">
        <v>142</v>
      </c>
      <c r="B38" s="19" t="s">
        <v>62</v>
      </c>
      <c r="C38" s="20"/>
      <c r="D38" s="21">
        <v>3184660.8324331087</v>
      </c>
      <c r="E38" s="22">
        <v>3184660.8324331087</v>
      </c>
      <c r="F38" s="22">
        <f>52818.6474891098*(D38/SUM($D$26:$D$45))+588950.99136018</f>
        <v>596947.5459939488</v>
      </c>
      <c r="G38" s="22">
        <v>147127.74052419874</v>
      </c>
      <c r="H38" s="23">
        <v>0</v>
      </c>
      <c r="I38" s="24"/>
      <c r="J38" s="25"/>
      <c r="K38" s="26">
        <v>19</v>
      </c>
      <c r="L38" s="26">
        <v>19</v>
      </c>
      <c r="M38" s="27">
        <v>0</v>
      </c>
      <c r="N38" s="28"/>
      <c r="O38" s="25"/>
      <c r="P38" s="26">
        <v>399152</v>
      </c>
      <c r="Q38" s="30">
        <v>214722</v>
      </c>
      <c r="R38" s="31">
        <v>0</v>
      </c>
      <c r="S38" s="28"/>
      <c r="T38" s="32">
        <v>0</v>
      </c>
      <c r="U38" s="33">
        <v>0</v>
      </c>
      <c r="V38" s="33">
        <v>0</v>
      </c>
      <c r="W38" s="34">
        <v>0</v>
      </c>
      <c r="Y38">
        <v>449819.8054697501</v>
      </c>
      <c r="Z38" s="167">
        <f t="shared" si="1"/>
        <v>147127.74052419874</v>
      </c>
    </row>
    <row r="39" spans="1:26" ht="12.75">
      <c r="A39" s="18" t="s">
        <v>143</v>
      </c>
      <c r="B39" s="19" t="s">
        <v>108</v>
      </c>
      <c r="C39" s="20"/>
      <c r="D39" s="21">
        <v>5317398.68369682</v>
      </c>
      <c r="E39" s="22">
        <v>5317398.68369682</v>
      </c>
      <c r="F39" s="22">
        <f>52818.6474891098*(D39/SUM($D$26:$D$45))+2865031.23395568</f>
        <v>2878383.007133744</v>
      </c>
      <c r="G39" s="22">
        <v>119934.58352118684</v>
      </c>
      <c r="H39" s="23">
        <v>0</v>
      </c>
      <c r="I39" s="24"/>
      <c r="J39" s="25"/>
      <c r="K39" s="26">
        <v>1920</v>
      </c>
      <c r="L39" s="26">
        <v>299.08778125000003</v>
      </c>
      <c r="M39" s="27">
        <v>0</v>
      </c>
      <c r="N39" s="28"/>
      <c r="O39" s="25"/>
      <c r="P39" s="26">
        <v>7927434</v>
      </c>
      <c r="Q39" s="30">
        <v>326562.3</v>
      </c>
      <c r="R39" s="31">
        <v>0</v>
      </c>
      <c r="S39" s="28"/>
      <c r="T39" s="32">
        <v>0</v>
      </c>
      <c r="U39" s="33">
        <v>0</v>
      </c>
      <c r="V39" s="33">
        <v>0</v>
      </c>
      <c r="W39" s="34">
        <v>0</v>
      </c>
      <c r="Y39">
        <v>2758448.4236125574</v>
      </c>
      <c r="Z39" s="167">
        <f t="shared" si="1"/>
        <v>119934.58352118684</v>
      </c>
    </row>
    <row r="40" spans="1:26" ht="12.75">
      <c r="A40" s="18" t="s">
        <v>144</v>
      </c>
      <c r="B40" s="19" t="s">
        <v>102</v>
      </c>
      <c r="C40" s="20"/>
      <c r="D40" s="21">
        <v>509542.3226796435</v>
      </c>
      <c r="E40" s="22">
        <v>509542.3226796435</v>
      </c>
      <c r="F40" s="22">
        <f>52818.6474891098*(D40/SUM($D$26:$D$45))+64502.8562176288</f>
        <v>65782.29639537993</v>
      </c>
      <c r="G40" s="22">
        <v>7871.921830947467</v>
      </c>
      <c r="H40" s="23">
        <v>0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6">
        <v>0</v>
      </c>
      <c r="Q40" s="30">
        <v>0</v>
      </c>
      <c r="R40" s="31">
        <v>0</v>
      </c>
      <c r="S40" s="28"/>
      <c r="T40" s="32">
        <v>0</v>
      </c>
      <c r="U40" s="33">
        <v>0</v>
      </c>
      <c r="V40" s="33">
        <v>0</v>
      </c>
      <c r="W40" s="34">
        <v>0</v>
      </c>
      <c r="Y40">
        <v>57910.374564432466</v>
      </c>
      <c r="Z40" s="167">
        <f t="shared" si="1"/>
        <v>7871.921830947467</v>
      </c>
    </row>
    <row r="41" spans="1:26" ht="12.75">
      <c r="A41" s="18" t="s">
        <v>145</v>
      </c>
      <c r="B41" s="19" t="s">
        <v>77</v>
      </c>
      <c r="C41" s="20"/>
      <c r="D41" s="21">
        <v>0</v>
      </c>
      <c r="E41" s="22">
        <v>0</v>
      </c>
      <c r="F41" s="22">
        <f>52818.6474891098*(D41/SUM($D$26:$D$45))+11102.35</f>
        <v>11102.35</v>
      </c>
      <c r="G41" s="22">
        <v>2178.04</v>
      </c>
      <c r="H41" s="23">
        <v>0</v>
      </c>
      <c r="I41" s="24"/>
      <c r="J41" s="25"/>
      <c r="K41" s="26">
        <v>48.45600000000002</v>
      </c>
      <c r="L41" s="26">
        <v>0</v>
      </c>
      <c r="M41" s="27">
        <v>0</v>
      </c>
      <c r="N41" s="28"/>
      <c r="O41" s="25"/>
      <c r="P41" s="26">
        <v>165753.22</v>
      </c>
      <c r="Q41" s="30">
        <v>0</v>
      </c>
      <c r="R41" s="31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3"/>
      <c r="Y41">
        <v>8924.31</v>
      </c>
      <c r="Z41" s="167">
        <f t="shared" si="1"/>
        <v>2178.040000000001</v>
      </c>
    </row>
    <row r="42" spans="1:26" ht="12.75">
      <c r="A42" s="18" t="s">
        <v>146</v>
      </c>
      <c r="B42" s="19" t="s">
        <v>10</v>
      </c>
      <c r="C42" s="20"/>
      <c r="D42" s="21">
        <v>382159.78710763785</v>
      </c>
      <c r="E42" s="22">
        <v>382159.78710763785</v>
      </c>
      <c r="F42" s="22">
        <f>52818.6474891098*(D42/SUM($D$26:$D$45))+47902.4821632216</f>
        <v>48862.069942652706</v>
      </c>
      <c r="G42" s="22">
        <v>8257.659813321632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6">
        <v>0</v>
      </c>
      <c r="Q42" s="30">
        <v>0</v>
      </c>
      <c r="R42" s="31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3"/>
      <c r="Y42">
        <v>40604.410129331074</v>
      </c>
      <c r="Z42" s="167">
        <f t="shared" si="1"/>
        <v>8257.659813321632</v>
      </c>
    </row>
    <row r="43" spans="1:26" ht="12.75">
      <c r="A43" s="18" t="s">
        <v>147</v>
      </c>
      <c r="B43" s="19" t="s">
        <v>105</v>
      </c>
      <c r="C43" s="20"/>
      <c r="D43" s="21">
        <v>0</v>
      </c>
      <c r="E43" s="22">
        <v>0</v>
      </c>
      <c r="F43" s="22">
        <f>52818.6474891098*(D43/SUM($D$26:$D$45))+164405.38</f>
        <v>164405.38</v>
      </c>
      <c r="G43" s="22">
        <v>7278.700000000012</v>
      </c>
      <c r="H43" s="23">
        <v>228070.35</v>
      </c>
      <c r="I43" s="24"/>
      <c r="J43" s="25"/>
      <c r="K43" s="26">
        <v>92.7</v>
      </c>
      <c r="L43" s="26">
        <v>0</v>
      </c>
      <c r="M43" s="27">
        <v>211.09</v>
      </c>
      <c r="N43" s="28"/>
      <c r="O43" s="25"/>
      <c r="P43" s="26">
        <v>664847</v>
      </c>
      <c r="Q43" s="30">
        <v>0</v>
      </c>
      <c r="R43" s="31">
        <v>1520469</v>
      </c>
      <c r="S43" s="28"/>
      <c r="T43" s="32">
        <v>0</v>
      </c>
      <c r="U43" s="33">
        <v>0</v>
      </c>
      <c r="V43" s="33">
        <v>0</v>
      </c>
      <c r="W43" s="34">
        <v>0</v>
      </c>
      <c r="X43" s="93"/>
      <c r="Y43">
        <v>157126.68</v>
      </c>
      <c r="Z43" s="167">
        <f t="shared" si="1"/>
        <v>7278.700000000012</v>
      </c>
    </row>
    <row r="44" spans="1:26" ht="12.75">
      <c r="A44" s="18" t="s">
        <v>169</v>
      </c>
      <c r="B44" s="19" t="s">
        <v>75</v>
      </c>
      <c r="C44" s="20"/>
      <c r="D44" s="21">
        <v>172864.1178846724</v>
      </c>
      <c r="E44" s="22">
        <v>172864.1178846724</v>
      </c>
      <c r="F44" s="22">
        <f>52818.6474891098*(D44/SUM($D$26:$D$45))+82445.5113939015</f>
        <v>82879.56620715046</v>
      </c>
      <c r="G44" s="22">
        <v>19965.356252783837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6">
        <v>0</v>
      </c>
      <c r="Q44" s="30">
        <v>0</v>
      </c>
      <c r="R44" s="31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3"/>
      <c r="Y44">
        <v>62914.209954366626</v>
      </c>
      <c r="Z44" s="167">
        <f t="shared" si="1"/>
        <v>19965.356252783837</v>
      </c>
    </row>
    <row r="45" spans="1:26" ht="12.75">
      <c r="A45" s="18" t="s">
        <v>170</v>
      </c>
      <c r="B45" s="19" t="s">
        <v>101</v>
      </c>
      <c r="C45" s="20"/>
      <c r="D45" s="21">
        <v>135847.90774857323</v>
      </c>
      <c r="E45" s="22">
        <v>135847.90774857323</v>
      </c>
      <c r="F45" s="22">
        <f>52818.6474891098*(D45/SUM($D$26:$D$45))+36517.845497822</f>
        <v>36858.95410352703</v>
      </c>
      <c r="G45" s="22">
        <v>10635.889528727024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6">
        <v>0</v>
      </c>
      <c r="Q45" s="30">
        <v>0</v>
      </c>
      <c r="R45" s="31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3"/>
      <c r="Y45">
        <v>26223.064574800006</v>
      </c>
      <c r="Z45" s="167">
        <f t="shared" si="1"/>
        <v>10635.889528727024</v>
      </c>
    </row>
    <row r="46" spans="1:26" ht="12.75">
      <c r="A46" s="35" t="s">
        <v>40</v>
      </c>
      <c r="B46" s="19"/>
      <c r="C46" s="20"/>
      <c r="D46" s="21"/>
      <c r="E46" s="22"/>
      <c r="F46" s="22"/>
      <c r="G46" s="22"/>
      <c r="H46" s="23"/>
      <c r="I46" s="28"/>
      <c r="J46" s="25"/>
      <c r="K46" s="26"/>
      <c r="L46" s="26"/>
      <c r="M46" s="27"/>
      <c r="N46" s="28"/>
      <c r="O46" s="25"/>
      <c r="P46" s="26"/>
      <c r="Q46" s="30"/>
      <c r="R46" s="31"/>
      <c r="S46" s="28"/>
      <c r="T46" s="32"/>
      <c r="U46" s="33"/>
      <c r="V46" s="33"/>
      <c r="W46" s="34"/>
      <c r="Z46" s="167">
        <f t="shared" si="1"/>
        <v>0</v>
      </c>
    </row>
    <row r="47" spans="1:26" ht="12.75">
      <c r="A47" s="18" t="s">
        <v>148</v>
      </c>
      <c r="B47" s="36" t="s">
        <v>41</v>
      </c>
      <c r="C47" s="20"/>
      <c r="D47" s="21">
        <v>1265004</v>
      </c>
      <c r="E47" s="22">
        <v>1265004</v>
      </c>
      <c r="F47" s="22">
        <v>184429.83</v>
      </c>
      <c r="G47" s="22">
        <v>143264.1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6">
        <v>0</v>
      </c>
      <c r="Q47" s="30">
        <v>0</v>
      </c>
      <c r="R47" s="31">
        <v>0</v>
      </c>
      <c r="S47" s="28"/>
      <c r="T47" s="32">
        <v>0</v>
      </c>
      <c r="U47" s="33">
        <v>0</v>
      </c>
      <c r="V47" s="33">
        <v>0</v>
      </c>
      <c r="W47" s="34">
        <v>0</v>
      </c>
      <c r="Y47">
        <v>41165.73</v>
      </c>
      <c r="Z47" s="167">
        <f t="shared" si="1"/>
        <v>143264.09999999998</v>
      </c>
    </row>
    <row r="48" spans="1:26" ht="12.75">
      <c r="A48" s="18" t="s">
        <v>149</v>
      </c>
      <c r="B48" s="36" t="s">
        <v>74</v>
      </c>
      <c r="C48" s="20"/>
      <c r="D48" s="21">
        <v>1705404</v>
      </c>
      <c r="E48" s="22">
        <v>1705404</v>
      </c>
      <c r="F48" s="22">
        <v>608596.79</v>
      </c>
      <c r="G48" s="22">
        <v>14544.52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6">
        <v>0</v>
      </c>
      <c r="Q48" s="30">
        <v>0</v>
      </c>
      <c r="R48" s="31">
        <v>0</v>
      </c>
      <c r="S48" s="28"/>
      <c r="T48" s="32">
        <v>0</v>
      </c>
      <c r="U48" s="33">
        <v>0</v>
      </c>
      <c r="V48" s="33">
        <v>0</v>
      </c>
      <c r="W48" s="34">
        <v>0</v>
      </c>
      <c r="Y48">
        <v>594052.27</v>
      </c>
      <c r="Z48" s="167">
        <f t="shared" si="1"/>
        <v>14544.520000000019</v>
      </c>
    </row>
    <row r="49" spans="1:26" ht="12.75">
      <c r="A49" s="18" t="s">
        <v>150</v>
      </c>
      <c r="B49" s="36" t="s">
        <v>92</v>
      </c>
      <c r="C49" s="20"/>
      <c r="D49" s="21">
        <v>236652</v>
      </c>
      <c r="E49" s="22">
        <v>236652</v>
      </c>
      <c r="F49" s="22">
        <v>11040.16852716204</v>
      </c>
      <c r="G49" s="22">
        <v>1038.7433674972453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6">
        <v>0</v>
      </c>
      <c r="Q49" s="30">
        <v>0</v>
      </c>
      <c r="R49" s="31">
        <v>0</v>
      </c>
      <c r="S49" s="28"/>
      <c r="T49" s="32">
        <v>0</v>
      </c>
      <c r="U49" s="33">
        <v>0</v>
      </c>
      <c r="V49" s="33">
        <v>0</v>
      </c>
      <c r="W49" s="34">
        <v>0</v>
      </c>
      <c r="Y49">
        <v>10001.425159664796</v>
      </c>
      <c r="Z49" s="167">
        <f t="shared" si="1"/>
        <v>1038.7433674972453</v>
      </c>
    </row>
    <row r="50" spans="1:26" ht="12.75">
      <c r="A50" s="18" t="s">
        <v>151</v>
      </c>
      <c r="B50" s="36" t="s">
        <v>19</v>
      </c>
      <c r="C50" s="20"/>
      <c r="D50" s="21">
        <v>1329036</v>
      </c>
      <c r="E50" s="22">
        <v>1329036</v>
      </c>
      <c r="F50" s="22">
        <v>55220.91</v>
      </c>
      <c r="G50" s="22">
        <v>11967.32</v>
      </c>
      <c r="H50" s="23">
        <v>0</v>
      </c>
      <c r="I50" s="24"/>
      <c r="J50" s="25"/>
      <c r="K50" s="26">
        <v>0</v>
      </c>
      <c r="L50" s="26">
        <v>0</v>
      </c>
      <c r="M50" s="27">
        <v>0</v>
      </c>
      <c r="N50" s="28"/>
      <c r="O50" s="25"/>
      <c r="P50" s="26">
        <v>0</v>
      </c>
      <c r="Q50" s="30">
        <v>0</v>
      </c>
      <c r="R50" s="31">
        <v>0</v>
      </c>
      <c r="S50" s="28"/>
      <c r="T50" s="32">
        <v>0</v>
      </c>
      <c r="U50" s="33">
        <v>0</v>
      </c>
      <c r="V50" s="33">
        <v>0</v>
      </c>
      <c r="W50" s="34">
        <v>0</v>
      </c>
      <c r="Y50">
        <v>43253.59</v>
      </c>
      <c r="Z50" s="167">
        <f t="shared" si="1"/>
        <v>11967.320000000007</v>
      </c>
    </row>
    <row r="51" spans="1:26" ht="12.75">
      <c r="A51" s="18" t="s">
        <v>152</v>
      </c>
      <c r="B51" s="36" t="s">
        <v>20</v>
      </c>
      <c r="C51" s="20"/>
      <c r="D51" s="21">
        <v>489348</v>
      </c>
      <c r="E51" s="22">
        <v>489348</v>
      </c>
      <c r="F51" s="22">
        <v>116473.26618519964</v>
      </c>
      <c r="G51" s="22">
        <v>106943.1287287794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6">
        <v>0</v>
      </c>
      <c r="Q51" s="30">
        <v>0</v>
      </c>
      <c r="R51" s="31">
        <v>0</v>
      </c>
      <c r="S51" s="28"/>
      <c r="T51" s="32">
        <v>0</v>
      </c>
      <c r="U51" s="33">
        <v>0</v>
      </c>
      <c r="V51" s="33">
        <v>0</v>
      </c>
      <c r="W51" s="34">
        <v>0</v>
      </c>
      <c r="Y51">
        <v>9530.137456420243</v>
      </c>
      <c r="Z51" s="167">
        <f t="shared" si="1"/>
        <v>106943.1287287794</v>
      </c>
    </row>
    <row r="52" spans="1:26" ht="12.75">
      <c r="A52" s="18" t="s">
        <v>153</v>
      </c>
      <c r="B52" s="36" t="s">
        <v>103</v>
      </c>
      <c r="C52" s="20"/>
      <c r="D52" s="21">
        <v>331320</v>
      </c>
      <c r="E52" s="22">
        <v>331320</v>
      </c>
      <c r="F52" s="22">
        <v>100618.36</v>
      </c>
      <c r="G52" s="22">
        <v>1841.22</v>
      </c>
      <c r="H52" s="23">
        <v>0</v>
      </c>
      <c r="I52" s="24"/>
      <c r="J52" s="25"/>
      <c r="K52" s="26">
        <v>0</v>
      </c>
      <c r="L52" s="26">
        <v>0</v>
      </c>
      <c r="M52" s="27">
        <v>0</v>
      </c>
      <c r="N52" s="28"/>
      <c r="O52" s="25"/>
      <c r="P52" s="26">
        <v>0</v>
      </c>
      <c r="Q52" s="30">
        <v>0</v>
      </c>
      <c r="R52" s="31">
        <v>0</v>
      </c>
      <c r="S52" s="28"/>
      <c r="T52" s="32">
        <v>0</v>
      </c>
      <c r="U52" s="33">
        <v>0</v>
      </c>
      <c r="V52" s="33">
        <v>0</v>
      </c>
      <c r="W52" s="34">
        <v>0</v>
      </c>
      <c r="Y52">
        <v>98777.14</v>
      </c>
      <c r="Z52" s="167">
        <f t="shared" si="1"/>
        <v>1841.2200000000012</v>
      </c>
    </row>
    <row r="53" spans="1:26" ht="12.75">
      <c r="A53" s="18" t="s">
        <v>154</v>
      </c>
      <c r="B53" s="36" t="s">
        <v>18</v>
      </c>
      <c r="C53" s="20"/>
      <c r="D53" s="21">
        <v>28224</v>
      </c>
      <c r="E53" s="22">
        <v>28224</v>
      </c>
      <c r="F53" s="22">
        <v>57813.38</v>
      </c>
      <c r="G53" s="22">
        <v>12886.81</v>
      </c>
      <c r="H53" s="23">
        <v>204953.44</v>
      </c>
      <c r="I53" s="24"/>
      <c r="J53" s="25"/>
      <c r="K53" s="26">
        <v>0</v>
      </c>
      <c r="L53" s="26">
        <v>0</v>
      </c>
      <c r="M53" s="27">
        <v>242</v>
      </c>
      <c r="N53" s="28"/>
      <c r="O53" s="25"/>
      <c r="P53" s="26">
        <v>0</v>
      </c>
      <c r="Q53" s="30">
        <v>0</v>
      </c>
      <c r="R53" s="31">
        <v>2561918</v>
      </c>
      <c r="S53" s="28"/>
      <c r="T53" s="32">
        <v>0</v>
      </c>
      <c r="U53" s="33">
        <v>0</v>
      </c>
      <c r="V53" s="33">
        <v>0</v>
      </c>
      <c r="W53" s="34">
        <v>0</v>
      </c>
      <c r="Y53">
        <v>44926.57</v>
      </c>
      <c r="Z53" s="167">
        <f t="shared" si="1"/>
        <v>12886.809999999998</v>
      </c>
    </row>
    <row r="54" spans="1:26" ht="12.75">
      <c r="A54" s="18" t="s">
        <v>155</v>
      </c>
      <c r="B54" s="36" t="s">
        <v>104</v>
      </c>
      <c r="C54" s="20"/>
      <c r="D54" s="21">
        <v>615900</v>
      </c>
      <c r="E54" s="22">
        <v>615900</v>
      </c>
      <c r="F54" s="22">
        <v>8822.56</v>
      </c>
      <c r="G54" s="22">
        <v>2376.3</v>
      </c>
      <c r="H54" s="23">
        <v>0</v>
      </c>
      <c r="I54" s="24"/>
      <c r="J54" s="25"/>
      <c r="K54" s="26">
        <v>166.9875</v>
      </c>
      <c r="L54" s="26">
        <v>0</v>
      </c>
      <c r="M54" s="27">
        <v>0</v>
      </c>
      <c r="N54" s="28"/>
      <c r="O54" s="25"/>
      <c r="P54" s="26">
        <v>320531</v>
      </c>
      <c r="Q54" s="30">
        <v>0</v>
      </c>
      <c r="R54" s="31">
        <v>0</v>
      </c>
      <c r="S54" s="28"/>
      <c r="T54" s="32">
        <v>0</v>
      </c>
      <c r="U54" s="33">
        <v>0</v>
      </c>
      <c r="V54" s="33">
        <v>0</v>
      </c>
      <c r="W54" s="34">
        <v>0</v>
      </c>
      <c r="Y54">
        <v>6446.26</v>
      </c>
      <c r="Z54" s="167">
        <f t="shared" si="1"/>
        <v>2376.2999999999993</v>
      </c>
    </row>
    <row r="55" spans="1:26" ht="12.75">
      <c r="A55" s="35" t="s">
        <v>98</v>
      </c>
      <c r="B55" s="19"/>
      <c r="C55" s="20"/>
      <c r="D55" s="21"/>
      <c r="E55" s="22"/>
      <c r="F55" s="22"/>
      <c r="G55" s="22"/>
      <c r="H55" s="23"/>
      <c r="I55" s="28"/>
      <c r="J55" s="25"/>
      <c r="K55" s="26"/>
      <c r="L55" s="26"/>
      <c r="M55" s="27"/>
      <c r="N55" s="28"/>
      <c r="O55" s="25"/>
      <c r="P55" s="26"/>
      <c r="Q55" s="30"/>
      <c r="R55" s="31"/>
      <c r="S55" s="28"/>
      <c r="T55" s="32">
        <v>0</v>
      </c>
      <c r="U55" s="33">
        <v>0</v>
      </c>
      <c r="V55" s="33">
        <v>0</v>
      </c>
      <c r="W55" s="34">
        <v>0</v>
      </c>
      <c r="Z55" s="167">
        <f t="shared" si="1"/>
        <v>0</v>
      </c>
    </row>
    <row r="56" spans="1:26" ht="12.75">
      <c r="A56" s="18" t="s">
        <v>156</v>
      </c>
      <c r="B56" s="19" t="s">
        <v>99</v>
      </c>
      <c r="C56" s="20"/>
      <c r="D56" s="21">
        <v>4197775.123480262</v>
      </c>
      <c r="E56" s="22">
        <v>4197775.123480262</v>
      </c>
      <c r="F56" s="22">
        <f>2262.54*(D56/SUM($D$56:$D$58))</f>
        <v>1650.8552044231399</v>
      </c>
      <c r="G56" s="22">
        <v>342.5181250330843</v>
      </c>
      <c r="H56" s="23">
        <v>0</v>
      </c>
      <c r="I56" s="24"/>
      <c r="J56" s="25"/>
      <c r="K56" s="26">
        <v>0</v>
      </c>
      <c r="L56" s="26">
        <v>0</v>
      </c>
      <c r="M56" s="27">
        <v>0</v>
      </c>
      <c r="N56" s="28"/>
      <c r="O56" s="25"/>
      <c r="P56" s="26">
        <v>0</v>
      </c>
      <c r="Q56" s="30">
        <v>0</v>
      </c>
      <c r="R56" s="31">
        <v>0</v>
      </c>
      <c r="S56" s="28"/>
      <c r="T56" s="32">
        <v>0</v>
      </c>
      <c r="U56" s="33">
        <v>0</v>
      </c>
      <c r="V56" s="33">
        <v>0</v>
      </c>
      <c r="W56" s="34">
        <v>0</v>
      </c>
      <c r="Y56">
        <v>1308.3370793900556</v>
      </c>
      <c r="Z56" s="167">
        <f t="shared" si="1"/>
        <v>342.5181250330843</v>
      </c>
    </row>
    <row r="57" spans="1:26" ht="12.75">
      <c r="A57" s="18" t="s">
        <v>157</v>
      </c>
      <c r="B57" s="19" t="s">
        <v>100</v>
      </c>
      <c r="C57" s="20"/>
      <c r="D57" s="21">
        <v>851011.9837075335</v>
      </c>
      <c r="E57" s="22">
        <v>851011.9837075335</v>
      </c>
      <c r="F57" s="22">
        <f>2262.54*(D57/SUM($D$56:$D$58))</f>
        <v>334.676708733573</v>
      </c>
      <c r="G57" s="22">
        <v>69.43845738895277</v>
      </c>
      <c r="H57" s="23">
        <v>0</v>
      </c>
      <c r="I57" s="24"/>
      <c r="J57" s="25"/>
      <c r="K57" s="26">
        <v>0</v>
      </c>
      <c r="L57" s="26">
        <v>0</v>
      </c>
      <c r="M57" s="27">
        <v>0</v>
      </c>
      <c r="N57" s="28"/>
      <c r="O57" s="25"/>
      <c r="P57" s="26">
        <v>0</v>
      </c>
      <c r="Q57" s="30">
        <v>0</v>
      </c>
      <c r="R57" s="31">
        <v>0</v>
      </c>
      <c r="S57" s="28"/>
      <c r="T57" s="32">
        <v>0</v>
      </c>
      <c r="U57" s="33">
        <v>0</v>
      </c>
      <c r="V57" s="33">
        <v>0</v>
      </c>
      <c r="W57" s="34">
        <v>0</v>
      </c>
      <c r="Y57">
        <v>265.2382513446202</v>
      </c>
      <c r="Z57" s="167">
        <f t="shared" si="1"/>
        <v>69.43845738895277</v>
      </c>
    </row>
    <row r="58" spans="1:26" ht="12.75">
      <c r="A58" s="18" t="s">
        <v>158</v>
      </c>
      <c r="B58" s="19" t="s">
        <v>87</v>
      </c>
      <c r="C58" s="20"/>
      <c r="D58" s="21">
        <v>704372.8928122048</v>
      </c>
      <c r="E58" s="22">
        <v>704372.8928122048</v>
      </c>
      <c r="F58" s="22">
        <f>2262.54*(D58/SUM($D$56:$D$58))</f>
        <v>277.0080868432871</v>
      </c>
      <c r="G58" s="22">
        <v>57.47341757796292</v>
      </c>
      <c r="H58" s="23">
        <v>0</v>
      </c>
      <c r="I58" s="24"/>
      <c r="J58" s="25"/>
      <c r="K58" s="26">
        <v>0</v>
      </c>
      <c r="L58" s="26">
        <v>0</v>
      </c>
      <c r="M58" s="27">
        <v>0</v>
      </c>
      <c r="N58" s="28"/>
      <c r="O58" s="25"/>
      <c r="P58" s="26">
        <v>0</v>
      </c>
      <c r="Q58" s="30">
        <v>0</v>
      </c>
      <c r="R58" s="31">
        <v>0</v>
      </c>
      <c r="S58" s="28"/>
      <c r="T58" s="32">
        <v>0</v>
      </c>
      <c r="U58" s="33">
        <v>0</v>
      </c>
      <c r="V58" s="33">
        <v>0</v>
      </c>
      <c r="W58" s="34">
        <v>0</v>
      </c>
      <c r="Y58">
        <v>219.5346692653242</v>
      </c>
      <c r="Z58" s="167">
        <f t="shared" si="1"/>
        <v>57.47341757796292</v>
      </c>
    </row>
    <row r="59" spans="1:26" ht="13.5" thickBot="1">
      <c r="A59" s="37"/>
      <c r="B59" s="38"/>
      <c r="C59" s="39"/>
      <c r="D59" s="40"/>
      <c r="E59" s="41"/>
      <c r="F59" s="42"/>
      <c r="G59" s="42"/>
      <c r="H59" s="43"/>
      <c r="I59" s="44"/>
      <c r="J59" s="45"/>
      <c r="K59" s="46"/>
      <c r="L59" s="46"/>
      <c r="M59" s="47"/>
      <c r="N59" s="44"/>
      <c r="O59" s="45"/>
      <c r="P59" s="46"/>
      <c r="Q59" s="46"/>
      <c r="R59" s="47"/>
      <c r="S59" s="44"/>
      <c r="T59" s="48"/>
      <c r="U59" s="49"/>
      <c r="V59" s="49"/>
      <c r="W59" s="50"/>
      <c r="Z59" s="167">
        <f t="shared" si="1"/>
        <v>0</v>
      </c>
    </row>
    <row r="60" spans="1:26" ht="13.5" thickBot="1">
      <c r="A60" s="168" t="s">
        <v>16</v>
      </c>
      <c r="B60" s="169"/>
      <c r="C60" s="51"/>
      <c r="D60" s="52">
        <f>SUM(D8:D58)</f>
        <v>245896427.99999997</v>
      </c>
      <c r="E60" s="53">
        <f>SUM(E8:E58)</f>
        <v>245896427.99999997</v>
      </c>
      <c r="F60" s="54">
        <f>SUM(F8:F58)</f>
        <v>49304692.700455934</v>
      </c>
      <c r="G60" s="55">
        <f>SUM(G8:G58)</f>
        <v>13288537.172667274</v>
      </c>
      <c r="H60" s="56">
        <f>SUM(H8:H58)</f>
        <v>58164509.75560995</v>
      </c>
      <c r="I60" s="57"/>
      <c r="J60" s="58">
        <f>SUM(J8:J58)</f>
        <v>0</v>
      </c>
      <c r="K60" s="59">
        <f>SUM(K8:K58)</f>
        <v>67645.76691519836</v>
      </c>
      <c r="L60" s="59">
        <f>SUM(L8:L58)</f>
        <v>17685.921078352636</v>
      </c>
      <c r="M60" s="60">
        <f>SUM(M8:M58)</f>
        <v>113855.78995434812</v>
      </c>
      <c r="N60" s="57"/>
      <c r="O60" s="58">
        <f>SUM(O8:O58)</f>
        <v>0</v>
      </c>
      <c r="P60" s="59">
        <f>SUM(P8:P58)</f>
        <v>380965874.7360461</v>
      </c>
      <c r="Q60" s="59">
        <f>SUM(Q8:Q58)</f>
        <v>117101761.71148764</v>
      </c>
      <c r="R60" s="60">
        <f>SUM(R8:R58)</f>
        <v>621510282.721894</v>
      </c>
      <c r="S60" s="57"/>
      <c r="T60" s="58">
        <v>0</v>
      </c>
      <c r="U60" s="61">
        <v>0</v>
      </c>
      <c r="V60" s="61">
        <v>0</v>
      </c>
      <c r="W60" s="62">
        <v>0</v>
      </c>
      <c r="Y60">
        <v>36016155.527788654</v>
      </c>
      <c r="Z60" s="167">
        <f t="shared" si="1"/>
        <v>13288537.17266728</v>
      </c>
    </row>
    <row r="61" spans="3:26" ht="13.5" thickBot="1">
      <c r="C61" s="63"/>
      <c r="F61" s="64"/>
      <c r="G61" s="64"/>
      <c r="J61" s="65"/>
      <c r="K61" s="66"/>
      <c r="L61" s="66"/>
      <c r="M61" s="66"/>
      <c r="P61" s="66"/>
      <c r="Q61" s="67"/>
      <c r="R61" s="66"/>
      <c r="Z61" s="167">
        <f t="shared" si="1"/>
        <v>0</v>
      </c>
    </row>
    <row r="62" spans="1:26" ht="13.5" thickBot="1">
      <c r="A62" s="68"/>
      <c r="B62" s="69" t="s">
        <v>93</v>
      </c>
      <c r="C62" s="70"/>
      <c r="D62" s="71">
        <v>55742000</v>
      </c>
      <c r="E62" s="72">
        <v>55742000</v>
      </c>
      <c r="F62" s="73">
        <v>13471199.280000003</v>
      </c>
      <c r="G62" s="73">
        <v>2096761.1700000055</v>
      </c>
      <c r="H62" s="74">
        <v>0</v>
      </c>
      <c r="I62" s="75"/>
      <c r="J62" s="76"/>
      <c r="K62" s="77">
        <v>2180</v>
      </c>
      <c r="L62" s="77">
        <v>385.04443005999997</v>
      </c>
      <c r="M62" s="78">
        <v>0</v>
      </c>
      <c r="N62" s="79"/>
      <c r="O62" s="76"/>
      <c r="P62" s="77">
        <v>7810220</v>
      </c>
      <c r="Q62" s="77">
        <v>1363640.9460000005</v>
      </c>
      <c r="R62" s="78">
        <v>0</v>
      </c>
      <c r="S62" s="79"/>
      <c r="T62" s="76">
        <v>0</v>
      </c>
      <c r="U62" s="80">
        <v>0</v>
      </c>
      <c r="V62" s="80">
        <v>0</v>
      </c>
      <c r="W62" s="81">
        <v>0</v>
      </c>
      <c r="Y62">
        <v>11374438.109999998</v>
      </c>
      <c r="Z62" s="167">
        <f t="shared" si="1"/>
        <v>2096761.1700000055</v>
      </c>
    </row>
    <row r="63" spans="3:26" ht="13.5" thickBot="1">
      <c r="C63" s="63"/>
      <c r="G63" s="82"/>
      <c r="J63" s="65"/>
      <c r="K63" s="66"/>
      <c r="L63" s="66"/>
      <c r="M63" s="66"/>
      <c r="P63" s="66"/>
      <c r="Q63" s="67"/>
      <c r="R63" s="66"/>
      <c r="Z63" s="167">
        <f t="shared" si="1"/>
        <v>0</v>
      </c>
    </row>
    <row r="64" spans="1:26" ht="13.5" thickBot="1">
      <c r="A64" s="168" t="s">
        <v>88</v>
      </c>
      <c r="B64" s="169"/>
      <c r="C64" s="83"/>
      <c r="D64" s="84">
        <f>SUM(D60:D62)</f>
        <v>301638428</v>
      </c>
      <c r="E64" s="73">
        <f>SUM(E60:E62)</f>
        <v>301638428</v>
      </c>
      <c r="F64" s="85">
        <f>SUM(F60:F62)</f>
        <v>62775891.980455935</v>
      </c>
      <c r="G64" s="73">
        <f>SUM(G60:G62)</f>
        <v>15385298.34266728</v>
      </c>
      <c r="H64" s="86">
        <f>SUM(H60:H62)</f>
        <v>58164509.75560995</v>
      </c>
      <c r="I64" s="87"/>
      <c r="J64" s="88">
        <f>SUM(J60:J62)</f>
        <v>0</v>
      </c>
      <c r="K64" s="77">
        <f>SUM(K60:K62)</f>
        <v>69825.76691519836</v>
      </c>
      <c r="L64" s="77">
        <f>SUM(L60:L62)</f>
        <v>18070.965508412635</v>
      </c>
      <c r="M64" s="78">
        <f>SUM(M60:M62)</f>
        <v>113855.78995434812</v>
      </c>
      <c r="N64" s="87"/>
      <c r="O64" s="88">
        <f>SUM(O60:O62)</f>
        <v>0</v>
      </c>
      <c r="P64" s="77">
        <f>SUM(P60:P62)</f>
        <v>388776094.7360461</v>
      </c>
      <c r="Q64" s="77">
        <f>SUM(Q60:Q62)</f>
        <v>118465402.65748763</v>
      </c>
      <c r="R64" s="78">
        <f>SUM(R60:R62)</f>
        <v>621510282.721894</v>
      </c>
      <c r="S64" s="87"/>
      <c r="T64" s="76">
        <v>0</v>
      </c>
      <c r="U64" s="80">
        <v>0</v>
      </c>
      <c r="V64" s="80">
        <v>0</v>
      </c>
      <c r="W64" s="81">
        <v>0</v>
      </c>
      <c r="Y64">
        <v>47390593.63778865</v>
      </c>
      <c r="Z64" s="167">
        <f t="shared" si="1"/>
        <v>15385298.342667282</v>
      </c>
    </row>
    <row r="65" spans="1:18" ht="14.25">
      <c r="A65" s="89" t="s">
        <v>0</v>
      </c>
      <c r="C65" s="63"/>
      <c r="H65" s="65"/>
      <c r="K65" s="90"/>
      <c r="L65" s="90"/>
      <c r="P65" s="91"/>
      <c r="R65" s="92"/>
    </row>
  </sheetData>
  <mergeCells count="8">
    <mergeCell ref="A64:B64"/>
    <mergeCell ref="J6:M6"/>
    <mergeCell ref="O6:R6"/>
    <mergeCell ref="T6:W6"/>
    <mergeCell ref="A60:B60"/>
    <mergeCell ref="B6:B7"/>
    <mergeCell ref="A6:A7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4" t="s">
        <v>97</v>
      </c>
      <c r="B1" s="95"/>
    </row>
    <row r="2" spans="1:2" ht="20.25">
      <c r="A2" s="94" t="s">
        <v>112</v>
      </c>
      <c r="B2" s="95"/>
    </row>
    <row r="3" spans="1:2" ht="15.75">
      <c r="A3" s="96" t="s">
        <v>174</v>
      </c>
      <c r="B3" s="97"/>
    </row>
    <row r="5" spans="1:2" ht="16.5" thickBot="1">
      <c r="A5" s="96" t="s">
        <v>81</v>
      </c>
      <c r="B5" s="97"/>
    </row>
    <row r="6" spans="1:2" ht="15">
      <c r="A6" s="98" t="s">
        <v>82</v>
      </c>
      <c r="B6" s="99">
        <f>'Program Costs &amp; Impacts'!D60</f>
        <v>245896427.99999997</v>
      </c>
    </row>
    <row r="7" spans="1:2" ht="15">
      <c r="A7" s="100" t="s">
        <v>83</v>
      </c>
      <c r="B7" s="101">
        <f>'Program Costs &amp; Impacts'!F60</f>
        <v>49304692.700455934</v>
      </c>
    </row>
    <row r="8" spans="1:2" ht="15">
      <c r="A8" s="100" t="s">
        <v>84</v>
      </c>
      <c r="B8" s="101">
        <f>'Program Costs &amp; Impacts'!G60</f>
        <v>13288537.172667274</v>
      </c>
    </row>
    <row r="9" spans="1:2" ht="15.75" thickBot="1">
      <c r="A9" s="102" t="s">
        <v>85</v>
      </c>
      <c r="B9" s="103">
        <f>'Program Costs &amp; Impacts'!H60</f>
        <v>58164509.75560995</v>
      </c>
    </row>
    <row r="12" spans="1:2" ht="16.5" thickBot="1">
      <c r="A12" s="96" t="s">
        <v>86</v>
      </c>
      <c r="B12" s="97"/>
    </row>
    <row r="13" spans="1:2" ht="15">
      <c r="A13" s="104" t="s">
        <v>55</v>
      </c>
      <c r="B13" s="105">
        <f>'Program Costs &amp; Impacts'!L64</f>
        <v>18070.965508412635</v>
      </c>
    </row>
    <row r="14" spans="1:2" ht="15">
      <c r="A14" s="106" t="s">
        <v>56</v>
      </c>
      <c r="B14" s="107">
        <f>'Program Costs &amp; Impacts'!Q64</f>
        <v>118465402.65748763</v>
      </c>
    </row>
    <row r="15" spans="1:2" ht="15">
      <c r="A15" s="106" t="s">
        <v>57</v>
      </c>
      <c r="B15" s="107">
        <f>'Program Costs &amp; Impacts'!V64</f>
        <v>0</v>
      </c>
    </row>
    <row r="16" spans="1:2" ht="30">
      <c r="A16" s="108" t="s">
        <v>46</v>
      </c>
      <c r="B16" s="109">
        <f>'Program Costs &amp; Impacts'!M64</f>
        <v>113855.78995434812</v>
      </c>
    </row>
    <row r="17" spans="1:20" ht="30">
      <c r="A17" s="108" t="s">
        <v>47</v>
      </c>
      <c r="B17" s="109">
        <f>'Program Costs &amp; Impacts'!R64</f>
        <v>621510282.721894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30.75" thickBot="1">
      <c r="A18" s="110" t="s">
        <v>109</v>
      </c>
      <c r="B18" s="111">
        <f>'Program Costs &amp; Impacts'!W64</f>
        <v>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5">
      <c r="A19" s="112"/>
      <c r="B19" s="113"/>
      <c r="C19" s="113"/>
      <c r="D19" s="113"/>
      <c r="E19" s="113"/>
      <c r="F19" s="113"/>
      <c r="G19" s="113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5">
      <c r="A20" s="112"/>
      <c r="B20" s="113"/>
      <c r="C20" s="113"/>
      <c r="D20" s="113"/>
      <c r="E20" s="113"/>
      <c r="F20" s="113"/>
      <c r="G20" s="113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6.5" thickBot="1">
      <c r="A21" s="96" t="s">
        <v>110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5">
      <c r="A22" s="114"/>
      <c r="B22" s="176" t="s">
        <v>111</v>
      </c>
      <c r="C22" s="177"/>
      <c r="D22" s="178"/>
      <c r="E22" s="176" t="s">
        <v>35</v>
      </c>
      <c r="F22" s="177"/>
      <c r="G22" s="178"/>
      <c r="H22" s="176" t="s">
        <v>36</v>
      </c>
      <c r="I22" s="177"/>
      <c r="J22" s="178"/>
      <c r="K22" s="176" t="s">
        <v>37</v>
      </c>
      <c r="L22" s="177"/>
      <c r="M22" s="179"/>
      <c r="N22" s="97"/>
      <c r="O22" s="97"/>
      <c r="P22" s="97"/>
      <c r="Q22" s="97"/>
      <c r="R22" s="97"/>
      <c r="S22" s="97"/>
      <c r="T22" s="97"/>
    </row>
    <row r="23" spans="1:20" ht="15">
      <c r="A23" s="115"/>
      <c r="B23" s="116">
        <v>2009</v>
      </c>
      <c r="C23" s="116">
        <v>2010</v>
      </c>
      <c r="D23" s="116">
        <v>2011</v>
      </c>
      <c r="E23" s="117">
        <v>2009</v>
      </c>
      <c r="F23" s="116">
        <v>2010</v>
      </c>
      <c r="G23" s="116">
        <v>2011</v>
      </c>
      <c r="H23" s="117">
        <v>2009</v>
      </c>
      <c r="I23" s="116">
        <v>2010</v>
      </c>
      <c r="J23" s="116">
        <v>2011</v>
      </c>
      <c r="K23" s="117">
        <v>2009</v>
      </c>
      <c r="L23" s="116">
        <v>2010</v>
      </c>
      <c r="M23" s="118">
        <v>2011</v>
      </c>
      <c r="N23" s="97"/>
      <c r="O23" s="97"/>
      <c r="P23" s="97"/>
      <c r="Q23" s="97"/>
      <c r="R23" s="97"/>
      <c r="S23" s="97"/>
      <c r="T23" s="97"/>
    </row>
    <row r="24" spans="1:20" ht="15">
      <c r="A24" s="119" t="s">
        <v>25</v>
      </c>
      <c r="B24" s="120">
        <v>249000</v>
      </c>
      <c r="C24" s="120">
        <v>247000</v>
      </c>
      <c r="D24" s="120">
        <v>245000</v>
      </c>
      <c r="E24" s="120">
        <v>0</v>
      </c>
      <c r="F24" s="120">
        <v>0</v>
      </c>
      <c r="G24" s="120">
        <v>0</v>
      </c>
      <c r="H24" s="120">
        <f>'Program Costs &amp; Impacts'!K64</f>
        <v>69825.76691519836</v>
      </c>
      <c r="I24" s="120">
        <v>0</v>
      </c>
      <c r="J24" s="120">
        <v>0</v>
      </c>
      <c r="K24" s="121">
        <f>H24/B24</f>
        <v>0.2804247667277042</v>
      </c>
      <c r="L24" s="120">
        <v>0</v>
      </c>
      <c r="M24" s="122">
        <v>0</v>
      </c>
      <c r="N24" s="97"/>
      <c r="O24" s="97"/>
      <c r="P24" s="97"/>
      <c r="Q24" s="97"/>
      <c r="R24" s="97"/>
      <c r="S24" s="97"/>
      <c r="T24" s="97"/>
    </row>
    <row r="25" spans="1:20" ht="15">
      <c r="A25" s="123" t="s">
        <v>26</v>
      </c>
      <c r="B25" s="120">
        <v>1189000000</v>
      </c>
      <c r="C25" s="120">
        <v>1176000000</v>
      </c>
      <c r="D25" s="120">
        <v>1164000000</v>
      </c>
      <c r="E25" s="120">
        <v>0</v>
      </c>
      <c r="F25" s="120">
        <v>0</v>
      </c>
      <c r="G25" s="120">
        <v>0</v>
      </c>
      <c r="H25" s="120">
        <f>'Program Costs &amp; Impacts'!P64</f>
        <v>388776094.7360461</v>
      </c>
      <c r="I25" s="120">
        <v>0</v>
      </c>
      <c r="J25" s="120">
        <v>0</v>
      </c>
      <c r="K25" s="121">
        <f>H25/B25</f>
        <v>0.3269773715189622</v>
      </c>
      <c r="L25" s="120">
        <v>0</v>
      </c>
      <c r="M25" s="122">
        <v>0</v>
      </c>
      <c r="N25" s="97"/>
      <c r="O25" s="97"/>
      <c r="P25" s="97"/>
      <c r="Q25" s="97"/>
      <c r="R25" s="97"/>
      <c r="S25" s="97"/>
      <c r="T25" s="97"/>
    </row>
    <row r="26" spans="1:20" ht="15.75" thickBot="1">
      <c r="A26" s="124" t="s">
        <v>27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f>IF(E26&lt;0,H26/E26,0)</f>
        <v>0</v>
      </c>
      <c r="L26" s="125">
        <v>0</v>
      </c>
      <c r="M26" s="127">
        <v>0</v>
      </c>
      <c r="N26" s="97"/>
      <c r="O26" s="97"/>
      <c r="P26" s="97"/>
      <c r="Q26" s="97"/>
      <c r="R26" s="97"/>
      <c r="S26" s="97"/>
      <c r="T26" s="97"/>
    </row>
    <row r="27" spans="1:20" ht="15">
      <c r="A27" s="128"/>
      <c r="B27" s="97"/>
      <c r="C27" s="12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9" spans="1:20" ht="16.5" thickBot="1">
      <c r="A29" s="96" t="s">
        <v>171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">
      <c r="A30" s="130"/>
      <c r="B30" s="176" t="s">
        <v>64</v>
      </c>
      <c r="C30" s="177"/>
      <c r="D30" s="178"/>
      <c r="E30" s="176" t="s">
        <v>65</v>
      </c>
      <c r="F30" s="177"/>
      <c r="G30" s="178"/>
      <c r="H30" s="176" t="s">
        <v>66</v>
      </c>
      <c r="I30" s="177"/>
      <c r="J30" s="178"/>
      <c r="K30" s="176" t="s">
        <v>67</v>
      </c>
      <c r="L30" s="177"/>
      <c r="M30" s="179"/>
      <c r="N30" s="97"/>
      <c r="O30" s="97"/>
      <c r="P30" s="97"/>
      <c r="Q30" s="97"/>
      <c r="R30" s="97"/>
      <c r="S30" s="97"/>
      <c r="T30" s="97"/>
    </row>
    <row r="31" spans="1:20" ht="15">
      <c r="A31" s="131"/>
      <c r="B31" s="117">
        <v>2009</v>
      </c>
      <c r="C31" s="116">
        <v>2010</v>
      </c>
      <c r="D31" s="116">
        <v>2011</v>
      </c>
      <c r="E31" s="117">
        <v>2009</v>
      </c>
      <c r="F31" s="116">
        <v>2010</v>
      </c>
      <c r="G31" s="116">
        <v>2011</v>
      </c>
      <c r="H31" s="117">
        <v>2009</v>
      </c>
      <c r="I31" s="116">
        <v>2010</v>
      </c>
      <c r="J31" s="116">
        <v>2011</v>
      </c>
      <c r="K31" s="117">
        <v>2009</v>
      </c>
      <c r="L31" s="116">
        <v>2010</v>
      </c>
      <c r="M31" s="118">
        <v>2011</v>
      </c>
      <c r="N31" s="97"/>
      <c r="O31" s="97"/>
      <c r="P31" s="97"/>
      <c r="Q31" s="97"/>
      <c r="R31" s="97"/>
      <c r="S31" s="97"/>
      <c r="T31" s="97"/>
    </row>
    <row r="32" spans="1:20" ht="15">
      <c r="A32" s="119" t="s">
        <v>25</v>
      </c>
      <c r="B32" s="120">
        <v>249000</v>
      </c>
      <c r="C32" s="120">
        <v>247000</v>
      </c>
      <c r="D32" s="120">
        <v>245000</v>
      </c>
      <c r="E32" s="120">
        <v>0</v>
      </c>
      <c r="F32" s="120">
        <v>0</v>
      </c>
      <c r="G32" s="120">
        <v>0</v>
      </c>
      <c r="H32" s="120">
        <f>'Program Costs &amp; Impacts'!K64</f>
        <v>69825.76691519836</v>
      </c>
      <c r="I32" s="120">
        <v>0</v>
      </c>
      <c r="J32" s="120">
        <v>0</v>
      </c>
      <c r="K32" s="121">
        <f>H32/B32</f>
        <v>0.2804247667277042</v>
      </c>
      <c r="L32" s="120">
        <v>0</v>
      </c>
      <c r="M32" s="122">
        <v>0</v>
      </c>
      <c r="N32" s="97"/>
      <c r="O32" s="97"/>
      <c r="P32" s="97"/>
      <c r="Q32" s="97"/>
      <c r="R32" s="97"/>
      <c r="S32" s="97"/>
      <c r="T32" s="97"/>
    </row>
    <row r="33" spans="1:20" ht="15">
      <c r="A33" s="123" t="s">
        <v>26</v>
      </c>
      <c r="B33" s="120">
        <v>1189000000</v>
      </c>
      <c r="C33" s="120">
        <v>1176000000</v>
      </c>
      <c r="D33" s="120">
        <v>1164000000</v>
      </c>
      <c r="E33" s="120">
        <v>0</v>
      </c>
      <c r="F33" s="120">
        <v>0</v>
      </c>
      <c r="G33" s="120">
        <v>0</v>
      </c>
      <c r="H33" s="120">
        <f>'Program Costs &amp; Impacts'!P64</f>
        <v>388776094.7360461</v>
      </c>
      <c r="I33" s="120">
        <v>0</v>
      </c>
      <c r="J33" s="120">
        <v>0</v>
      </c>
      <c r="K33" s="121">
        <f>H33/B33</f>
        <v>0.3269773715189622</v>
      </c>
      <c r="L33" s="120">
        <v>0</v>
      </c>
      <c r="M33" s="122">
        <v>0</v>
      </c>
      <c r="N33" s="97"/>
      <c r="O33" s="97"/>
      <c r="P33" s="97"/>
      <c r="Q33" s="97"/>
      <c r="R33" s="97"/>
      <c r="S33" s="97"/>
      <c r="T33" s="97"/>
    </row>
    <row r="34" spans="1:20" ht="15.75" thickBot="1">
      <c r="A34" s="132" t="s">
        <v>27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6">
        <f>IF(E34&lt;0,H34/E34,0)</f>
        <v>0</v>
      </c>
      <c r="L34" s="125">
        <v>0</v>
      </c>
      <c r="M34" s="127">
        <v>0</v>
      </c>
      <c r="N34" s="97"/>
      <c r="O34" s="97"/>
      <c r="P34" s="97"/>
      <c r="Q34" s="97"/>
      <c r="R34" s="97"/>
      <c r="S34" s="97"/>
      <c r="T34" s="97"/>
    </row>
    <row r="37" spans="1:20" ht="16.5" thickBot="1">
      <c r="A37" s="96" t="s">
        <v>172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">
      <c r="A38" s="130"/>
      <c r="B38" s="176" t="s">
        <v>64</v>
      </c>
      <c r="C38" s="177"/>
      <c r="D38" s="178"/>
      <c r="E38" s="176" t="s">
        <v>65</v>
      </c>
      <c r="F38" s="177"/>
      <c r="G38" s="178"/>
      <c r="H38" s="176" t="s">
        <v>66</v>
      </c>
      <c r="I38" s="177"/>
      <c r="J38" s="178"/>
      <c r="K38" s="176" t="s">
        <v>67</v>
      </c>
      <c r="L38" s="177"/>
      <c r="M38" s="179"/>
      <c r="N38" s="97"/>
      <c r="O38" s="97"/>
      <c r="P38" s="97"/>
      <c r="Q38" s="97"/>
      <c r="R38" s="97"/>
      <c r="S38" s="97"/>
      <c r="T38" s="97"/>
    </row>
    <row r="39" spans="1:20" ht="15">
      <c r="A39" s="131"/>
      <c r="B39" s="117">
        <v>2009</v>
      </c>
      <c r="C39" s="116">
        <v>2010</v>
      </c>
      <c r="D39" s="116">
        <v>2011</v>
      </c>
      <c r="E39" s="117">
        <v>2009</v>
      </c>
      <c r="F39" s="116">
        <v>2010</v>
      </c>
      <c r="G39" s="116">
        <v>2011</v>
      </c>
      <c r="H39" s="117">
        <v>2009</v>
      </c>
      <c r="I39" s="116">
        <v>2010</v>
      </c>
      <c r="J39" s="116">
        <v>2011</v>
      </c>
      <c r="K39" s="117">
        <v>2009</v>
      </c>
      <c r="L39" s="116">
        <v>2010</v>
      </c>
      <c r="M39" s="118">
        <v>2011</v>
      </c>
      <c r="N39" s="97"/>
      <c r="O39" s="97"/>
      <c r="P39" s="97"/>
      <c r="Q39" s="97"/>
      <c r="R39" s="97"/>
      <c r="S39" s="97"/>
      <c r="T39" s="97"/>
    </row>
    <row r="40" spans="1:20" ht="15">
      <c r="A40" s="133" t="s">
        <v>25</v>
      </c>
      <c r="B40" s="120">
        <v>1255000</v>
      </c>
      <c r="C40" s="120">
        <v>1502000</v>
      </c>
      <c r="D40" s="120">
        <v>1747000</v>
      </c>
      <c r="E40" s="120">
        <v>0</v>
      </c>
      <c r="F40" s="120">
        <v>0</v>
      </c>
      <c r="G40" s="120">
        <v>0</v>
      </c>
      <c r="H40" s="120">
        <f>246690+745963+H24</f>
        <v>1062478.7669151984</v>
      </c>
      <c r="I40" s="120">
        <v>0</v>
      </c>
      <c r="J40" s="120">
        <v>0</v>
      </c>
      <c r="K40" s="121">
        <f>H40/B40</f>
        <v>0.8465966270240625</v>
      </c>
      <c r="L40" s="120">
        <v>0</v>
      </c>
      <c r="M40" s="122">
        <v>0</v>
      </c>
      <c r="N40" s="97"/>
      <c r="O40" s="97"/>
      <c r="P40" s="97"/>
      <c r="Q40" s="97"/>
      <c r="R40" s="97"/>
      <c r="S40" s="97"/>
      <c r="T40" s="97"/>
    </row>
    <row r="41" spans="1:20" ht="15">
      <c r="A41" s="134" t="s">
        <v>26</v>
      </c>
      <c r="B41" s="120">
        <v>5977000000</v>
      </c>
      <c r="C41" s="120">
        <v>7153000000</v>
      </c>
      <c r="D41" s="120">
        <v>8317000000</v>
      </c>
      <c r="E41" s="120">
        <v>0</v>
      </c>
      <c r="F41" s="120">
        <v>0</v>
      </c>
      <c r="G41" s="120">
        <v>0</v>
      </c>
      <c r="H41" s="120">
        <f>1430555000+4119626221+H25</f>
        <v>5938957315.736046</v>
      </c>
      <c r="I41" s="120">
        <v>0</v>
      </c>
      <c r="J41" s="120">
        <v>0</v>
      </c>
      <c r="K41" s="121">
        <f>H41/B41</f>
        <v>0.9936351540465193</v>
      </c>
      <c r="L41" s="120">
        <v>0</v>
      </c>
      <c r="M41" s="122">
        <v>0</v>
      </c>
      <c r="N41" s="97"/>
      <c r="O41" s="97"/>
      <c r="P41" s="97"/>
      <c r="Q41" s="97"/>
      <c r="R41" s="97"/>
      <c r="S41" s="97"/>
      <c r="T41" s="97"/>
    </row>
    <row r="42" spans="1:20" ht="15.75" thickBot="1">
      <c r="A42" s="132" t="s">
        <v>27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6">
        <f>IF(E42&lt;0,H42/E42,0)</f>
        <v>0</v>
      </c>
      <c r="L42" s="125">
        <v>0</v>
      </c>
      <c r="M42" s="127">
        <v>0</v>
      </c>
      <c r="N42" s="97"/>
      <c r="O42" s="97"/>
      <c r="P42" s="97"/>
      <c r="Q42" s="97"/>
      <c r="R42" s="97"/>
      <c r="S42" s="97"/>
      <c r="T42" s="97"/>
    </row>
    <row r="45" spans="1:20" ht="16.5" thickBot="1">
      <c r="A45" s="96" t="s">
        <v>107</v>
      </c>
      <c r="B45" s="135"/>
      <c r="C45" s="135"/>
      <c r="D45" s="13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45.75" thickBot="1">
      <c r="A46" s="136"/>
      <c r="B46" s="137" t="s">
        <v>58</v>
      </c>
      <c r="C46" s="137" t="s">
        <v>59</v>
      </c>
      <c r="D46" s="138" t="s">
        <v>60</v>
      </c>
      <c r="E46" s="97"/>
      <c r="F46" s="97"/>
      <c r="G46" s="97"/>
      <c r="H46" s="139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.75">
      <c r="A47" s="140" t="s">
        <v>14</v>
      </c>
      <c r="B47" s="141">
        <v>169120945.81515</v>
      </c>
      <c r="C47" s="141">
        <v>23390.611079678565</v>
      </c>
      <c r="D47" s="142">
        <v>0</v>
      </c>
      <c r="E47" s="139"/>
      <c r="F47" s="166"/>
      <c r="G47" s="166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5">
      <c r="A48" s="143" t="s">
        <v>2</v>
      </c>
      <c r="B48" s="144">
        <v>20908918.974539604</v>
      </c>
      <c r="C48" s="144">
        <v>3921.894200635409</v>
      </c>
      <c r="D48" s="145">
        <v>0</v>
      </c>
      <c r="E48" s="139"/>
      <c r="F48" s="166"/>
      <c r="G48" s="166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7" ht="15">
      <c r="A49" s="143" t="s">
        <v>3</v>
      </c>
      <c r="B49" s="144">
        <v>0</v>
      </c>
      <c r="C49" s="144">
        <v>0</v>
      </c>
      <c r="D49" s="145">
        <v>0</v>
      </c>
      <c r="E49" s="139"/>
      <c r="F49" s="166"/>
      <c r="G49" s="166"/>
    </row>
    <row r="50" spans="1:7" ht="15">
      <c r="A50" s="143" t="s">
        <v>4</v>
      </c>
      <c r="B50" s="144">
        <v>0</v>
      </c>
      <c r="C50" s="144">
        <v>0</v>
      </c>
      <c r="D50" s="145">
        <v>0</v>
      </c>
      <c r="E50" s="139"/>
      <c r="F50" s="166"/>
      <c r="G50" s="166"/>
    </row>
    <row r="51" spans="1:7" ht="15">
      <c r="A51" s="143" t="s">
        <v>53</v>
      </c>
      <c r="B51" s="144">
        <v>6102439.834983864</v>
      </c>
      <c r="C51" s="144">
        <v>6077.457720174409</v>
      </c>
      <c r="D51" s="145">
        <v>0</v>
      </c>
      <c r="E51" s="139"/>
      <c r="F51" s="166"/>
      <c r="G51" s="166"/>
    </row>
    <row r="52" spans="1:7" ht="15">
      <c r="A52" s="143" t="s">
        <v>51</v>
      </c>
      <c r="B52" s="144">
        <v>139736808.5808547</v>
      </c>
      <c r="C52" s="144">
        <v>12612.132935979706</v>
      </c>
      <c r="D52" s="145">
        <v>0</v>
      </c>
      <c r="E52" s="146"/>
      <c r="F52" s="166"/>
      <c r="G52" s="166"/>
    </row>
    <row r="53" spans="1:7" ht="15">
      <c r="A53" s="143" t="s">
        <v>5</v>
      </c>
      <c r="B53" s="144">
        <v>520563.2419877457</v>
      </c>
      <c r="C53" s="144">
        <v>114.14915487625873</v>
      </c>
      <c r="D53" s="145">
        <v>0</v>
      </c>
      <c r="E53" s="97"/>
      <c r="F53" s="166"/>
      <c r="G53" s="166"/>
    </row>
    <row r="54" spans="1:7" ht="15">
      <c r="A54" s="143" t="s">
        <v>63</v>
      </c>
      <c r="B54" s="144">
        <v>0</v>
      </c>
      <c r="C54" s="144">
        <v>0</v>
      </c>
      <c r="D54" s="145">
        <v>0</v>
      </c>
      <c r="E54" s="139"/>
      <c r="F54" s="166"/>
      <c r="G54" s="166"/>
    </row>
    <row r="55" spans="1:7" ht="15">
      <c r="A55" s="143" t="s">
        <v>6</v>
      </c>
      <c r="B55" s="144">
        <v>18622.687701774674</v>
      </c>
      <c r="C55" s="144">
        <v>2.417888412053307</v>
      </c>
      <c r="D55" s="145">
        <v>0</v>
      </c>
      <c r="E55" s="97"/>
      <c r="F55" s="166"/>
      <c r="G55" s="166"/>
    </row>
    <row r="56" spans="1:7" ht="15">
      <c r="A56" s="143" t="s">
        <v>52</v>
      </c>
      <c r="B56" s="144">
        <v>1833592.4950822752</v>
      </c>
      <c r="C56" s="144">
        <v>662.5591796007358</v>
      </c>
      <c r="D56" s="145">
        <v>0</v>
      </c>
      <c r="E56" s="97"/>
      <c r="F56" s="166"/>
      <c r="G56" s="166"/>
    </row>
    <row r="57" spans="1:7" ht="15.75">
      <c r="A57" s="147" t="s">
        <v>15</v>
      </c>
      <c r="B57" s="148">
        <v>188817346.3060263</v>
      </c>
      <c r="C57" s="148">
        <v>39485.59755176018</v>
      </c>
      <c r="D57" s="149">
        <v>0</v>
      </c>
      <c r="E57" s="139"/>
      <c r="F57" s="166"/>
      <c r="G57" s="166"/>
    </row>
    <row r="58" spans="1:7" ht="15">
      <c r="A58" s="150" t="s">
        <v>53</v>
      </c>
      <c r="B58" s="151">
        <v>15983418.285329154</v>
      </c>
      <c r="C58" s="151">
        <v>4930.130369078825</v>
      </c>
      <c r="D58" s="152">
        <v>0</v>
      </c>
      <c r="E58" s="97"/>
      <c r="F58" s="166"/>
      <c r="G58" s="166"/>
    </row>
    <row r="59" spans="1:7" ht="15">
      <c r="A59" s="153" t="s">
        <v>51</v>
      </c>
      <c r="B59" s="151">
        <v>133028279.7065715</v>
      </c>
      <c r="C59" s="151">
        <v>28562.72383671232</v>
      </c>
      <c r="D59" s="145">
        <v>0</v>
      </c>
      <c r="E59" s="146"/>
      <c r="F59" s="166"/>
      <c r="G59" s="166"/>
    </row>
    <row r="60" spans="1:7" ht="15">
      <c r="A60" s="153" t="s">
        <v>7</v>
      </c>
      <c r="B60" s="151">
        <v>482.9013447989239</v>
      </c>
      <c r="C60" s="151">
        <v>0.08792425592176796</v>
      </c>
      <c r="D60" s="145">
        <v>0</v>
      </c>
      <c r="E60" s="97"/>
      <c r="F60" s="166"/>
      <c r="G60" s="166"/>
    </row>
    <row r="61" spans="1:7" ht="15">
      <c r="A61" s="153" t="s">
        <v>69</v>
      </c>
      <c r="B61" s="151">
        <v>23932419.93455994</v>
      </c>
      <c r="C61" s="151">
        <v>3919.758155667729</v>
      </c>
      <c r="D61" s="145">
        <v>0</v>
      </c>
      <c r="E61" s="97"/>
      <c r="F61" s="166"/>
      <c r="G61" s="166"/>
    </row>
    <row r="62" spans="1:7" ht="15">
      <c r="A62" s="153" t="s">
        <v>63</v>
      </c>
      <c r="B62" s="151">
        <v>4833832.79927808</v>
      </c>
      <c r="C62" s="151">
        <v>415.59046273675585</v>
      </c>
      <c r="D62" s="145">
        <v>0</v>
      </c>
      <c r="E62" s="97"/>
      <c r="F62" s="166"/>
      <c r="G62" s="166"/>
    </row>
    <row r="63" spans="1:7" ht="15">
      <c r="A63" s="153" t="s">
        <v>52</v>
      </c>
      <c r="B63" s="151">
        <v>11038912.678942857</v>
      </c>
      <c r="C63" s="151">
        <v>1657.306803308632</v>
      </c>
      <c r="D63" s="145">
        <v>0</v>
      </c>
      <c r="E63" s="97"/>
      <c r="F63" s="166"/>
      <c r="G63" s="166"/>
    </row>
    <row r="64" spans="1:7" ht="15.75">
      <c r="A64" s="154" t="s">
        <v>93</v>
      </c>
      <c r="B64" s="144">
        <f>'Program Costs &amp; Impacts'!P62</f>
        <v>7810220</v>
      </c>
      <c r="C64" s="155">
        <f>'Program Costs &amp; Impacts'!K62</f>
        <v>2180</v>
      </c>
      <c r="D64" s="145">
        <v>0</v>
      </c>
      <c r="E64" s="97"/>
      <c r="F64" s="166"/>
      <c r="G64" s="139"/>
    </row>
    <row r="65" spans="1:7" ht="15.75">
      <c r="A65" s="154" t="s">
        <v>78</v>
      </c>
      <c r="B65" s="144">
        <f>'Program Costs &amp; Impacts'!P23</f>
        <v>23027582.614869747</v>
      </c>
      <c r="C65" s="144">
        <f>'Program Costs &amp; Impacts'!K23</f>
        <v>4769.558283759625</v>
      </c>
      <c r="D65" s="145">
        <v>0</v>
      </c>
      <c r="E65" s="97"/>
      <c r="F65" s="166"/>
      <c r="G65" s="97"/>
    </row>
    <row r="66" spans="1:7" ht="16.5" thickBot="1">
      <c r="A66" s="156" t="s">
        <v>45</v>
      </c>
      <c r="B66" s="157">
        <f>+H25</f>
        <v>388776094.7360461</v>
      </c>
      <c r="C66" s="157">
        <f>+H24</f>
        <v>69825.76691519836</v>
      </c>
      <c r="D66" s="158">
        <v>0</v>
      </c>
      <c r="E66" s="97"/>
      <c r="F66" s="139"/>
      <c r="G66" s="139"/>
    </row>
    <row r="68" spans="1:7" ht="16.5" thickBot="1">
      <c r="A68" s="96" t="s">
        <v>106</v>
      </c>
      <c r="B68" s="135"/>
      <c r="C68" s="135"/>
      <c r="D68" s="135"/>
      <c r="E68" s="97"/>
      <c r="F68" s="97"/>
      <c r="G68" s="97"/>
    </row>
    <row r="69" spans="1:7" ht="45.75" thickBot="1">
      <c r="A69" s="136"/>
      <c r="B69" s="137" t="s">
        <v>58</v>
      </c>
      <c r="C69" s="137" t="s">
        <v>59</v>
      </c>
      <c r="D69" s="138" t="s">
        <v>60</v>
      </c>
      <c r="E69" s="97"/>
      <c r="F69" s="97"/>
      <c r="G69" s="97"/>
    </row>
    <row r="70" spans="1:7" ht="15.75">
      <c r="A70" s="159" t="s">
        <v>14</v>
      </c>
      <c r="B70" s="144">
        <v>176157915.88779593</v>
      </c>
      <c r="C70" s="144">
        <v>22981.639368761076</v>
      </c>
      <c r="D70" s="145">
        <v>0</v>
      </c>
      <c r="E70" s="139"/>
      <c r="F70" s="166"/>
      <c r="G70" s="166"/>
    </row>
    <row r="71" spans="1:7" ht="15">
      <c r="A71" s="153" t="s">
        <v>8</v>
      </c>
      <c r="B71" s="144">
        <v>157001010.50284955</v>
      </c>
      <c r="C71" s="144">
        <v>20813.20242281996</v>
      </c>
      <c r="D71" s="145">
        <v>0</v>
      </c>
      <c r="E71" s="139"/>
      <c r="F71" s="166"/>
      <c r="G71" s="166"/>
    </row>
    <row r="72" spans="1:7" ht="15">
      <c r="A72" s="153" t="s">
        <v>95</v>
      </c>
      <c r="B72" s="144">
        <v>17652115.68413064</v>
      </c>
      <c r="C72" s="144">
        <v>1106.3671507325748</v>
      </c>
      <c r="D72" s="145">
        <v>0</v>
      </c>
      <c r="E72" s="139"/>
      <c r="F72" s="166"/>
      <c r="G72" s="166"/>
    </row>
    <row r="73" spans="1:7" ht="15">
      <c r="A73" s="153" t="s">
        <v>96</v>
      </c>
      <c r="B73" s="144">
        <v>1504789.7008157223</v>
      </c>
      <c r="C73" s="144">
        <v>1062.069795208543</v>
      </c>
      <c r="D73" s="145">
        <v>0</v>
      </c>
      <c r="E73" s="139"/>
      <c r="F73" s="166"/>
      <c r="G73" s="166"/>
    </row>
    <row r="74" spans="1:7" ht="15.75">
      <c r="A74" s="159" t="s">
        <v>15</v>
      </c>
      <c r="B74" s="144">
        <v>181780376.23338044</v>
      </c>
      <c r="C74" s="144">
        <v>39894.569262677665</v>
      </c>
      <c r="D74" s="145">
        <v>0</v>
      </c>
      <c r="E74" s="139"/>
      <c r="F74" s="166"/>
      <c r="G74" s="166"/>
    </row>
    <row r="75" spans="1:7" ht="15">
      <c r="A75" s="153" t="s">
        <v>9</v>
      </c>
      <c r="B75" s="144">
        <v>142918119.68603033</v>
      </c>
      <c r="C75" s="144">
        <v>33953.80254240103</v>
      </c>
      <c r="D75" s="145">
        <v>0</v>
      </c>
      <c r="E75" s="139"/>
      <c r="F75" s="166"/>
      <c r="G75" s="166"/>
    </row>
    <row r="76" spans="1:7" ht="15">
      <c r="A76" s="153" t="s">
        <v>13</v>
      </c>
      <c r="B76" s="144">
        <v>30811654.727546584</v>
      </c>
      <c r="C76" s="144">
        <v>3799.68518679875</v>
      </c>
      <c r="D76" s="145">
        <v>0</v>
      </c>
      <c r="E76" s="97"/>
      <c r="F76" s="166"/>
      <c r="G76" s="166"/>
    </row>
    <row r="77" spans="1:7" ht="15">
      <c r="A77" s="153" t="s">
        <v>54</v>
      </c>
      <c r="B77" s="144">
        <v>8050601.819803534</v>
      </c>
      <c r="C77" s="144">
        <v>2141.081533477885</v>
      </c>
      <c r="D77" s="145">
        <v>0</v>
      </c>
      <c r="E77" s="97"/>
      <c r="F77" s="166"/>
      <c r="G77" s="166"/>
    </row>
    <row r="78" spans="1:7" ht="15.75">
      <c r="A78" s="154" t="s">
        <v>93</v>
      </c>
      <c r="B78" s="144">
        <f>B64</f>
        <v>7810220</v>
      </c>
      <c r="C78" s="144">
        <f>C64</f>
        <v>2180</v>
      </c>
      <c r="D78" s="160"/>
      <c r="E78" s="97"/>
      <c r="F78" s="97"/>
      <c r="G78" s="97"/>
    </row>
    <row r="79" spans="1:7" ht="15.75">
      <c r="A79" s="154" t="s">
        <v>78</v>
      </c>
      <c r="B79" s="144">
        <f>B65</f>
        <v>23027582.614869747</v>
      </c>
      <c r="C79" s="144">
        <f>C65</f>
        <v>4769.558283759625</v>
      </c>
      <c r="D79" s="145">
        <v>0</v>
      </c>
      <c r="E79" s="97"/>
      <c r="F79" s="97"/>
      <c r="G79" s="97"/>
    </row>
    <row r="80" spans="1:7" ht="16.5" thickBot="1">
      <c r="A80" s="156" t="s">
        <v>45</v>
      </c>
      <c r="B80" s="157">
        <f>+H33</f>
        <v>388776094.7360461</v>
      </c>
      <c r="C80" s="157">
        <f>+H32</f>
        <v>69825.76691519836</v>
      </c>
      <c r="D80" s="161">
        <v>0</v>
      </c>
      <c r="E80" s="139"/>
      <c r="F80" s="139"/>
      <c r="G80" s="139"/>
    </row>
    <row r="81" spans="1:4" ht="15">
      <c r="A81" s="162" t="s">
        <v>76</v>
      </c>
      <c r="B81" s="163"/>
      <c r="C81" s="163"/>
      <c r="D81" s="163"/>
    </row>
    <row r="83" spans="1:4" ht="15">
      <c r="A83" s="164"/>
      <c r="B83" s="139"/>
      <c r="C83" s="139"/>
      <c r="D83" s="97"/>
    </row>
    <row r="84" spans="1:4" ht="15">
      <c r="A84" s="128"/>
      <c r="B84" s="139"/>
      <c r="C84" s="139"/>
      <c r="D84" s="97"/>
    </row>
    <row r="85" spans="1:4" ht="15">
      <c r="A85" s="164"/>
      <c r="B85" s="163"/>
      <c r="C85" s="163"/>
      <c r="D85" s="163"/>
    </row>
    <row r="86" spans="1:4" ht="15">
      <c r="A86" s="162"/>
      <c r="B86" s="97"/>
      <c r="C86" s="97"/>
      <c r="D86" s="97"/>
    </row>
    <row r="93" spans="1:4" ht="15">
      <c r="A93" s="165"/>
      <c r="B93" s="97"/>
      <c r="C93" s="97"/>
      <c r="D93" s="97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2009-07-07T15:31:11Z</dcterms:modified>
  <cp:category/>
  <cp:version/>
  <cp:contentType/>
  <cp:contentStatus/>
</cp:coreProperties>
</file>