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defaultThemeVersion="124226"/>
  <mc:AlternateContent xmlns:mc="http://schemas.openxmlformats.org/markup-compatibility/2006">
    <mc:Choice Requires="x15">
      <x15ac:absPath xmlns:x15ac="http://schemas.microsoft.com/office/spreadsheetml/2010/11/ac" url="C:\Users\kimjy\Desktop\"/>
    </mc:Choice>
  </mc:AlternateContent>
  <xr:revisionPtr revIDLastSave="0" documentId="8_{CC56FA60-4D9C-4E21-A348-256ACDF7D6E9}" xr6:coauthVersionLast="46" xr6:coauthVersionMax="46" xr10:uidLastSave="{00000000-0000-0000-0000-000000000000}"/>
  <bookViews>
    <workbookView xWindow="-110" yWindow="-110" windowWidth="19420" windowHeight="10420" tabRatio="898"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 name="35-Other Formula Revenue" sheetId="85" r:id="rId41"/>
  </sheets>
  <definedNames>
    <definedName name="_xlnm._FilterDatabase" localSheetId="26" hidden="1">'21-RevenueCredits'!$A$1:$O$293</definedName>
    <definedName name="_xlnm.Print_Area" localSheetId="15">'10-CWIP'!$A$1:$K$484</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'14-IncentivePlant'!$A$1:$J$440</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'18-DepRates'!$A$1:$G$67</definedName>
    <definedName name="_xlnm.Print_Area" localSheetId="24">'19-OandM'!$A$1:$M$155</definedName>
    <definedName name="_xlnm.Print_Area" localSheetId="3">'1-BaseTRR'!$A$1:$K$187</definedName>
    <definedName name="_xlnm.Print_Area" localSheetId="25">'20-AandG'!$A$1:$K$112</definedName>
    <definedName name="_xlnm.Print_Area" localSheetId="26">'21-RevenueCredits'!$A$1:$O$295</definedName>
    <definedName name="_xlnm.Print_Area" localSheetId="27">'22-NUCs'!$A$1:$F$27</definedName>
    <definedName name="_xlnm.Print_Area" localSheetId="28">'23-RegAssets'!$A$1:$I$37</definedName>
    <definedName name="_xlnm.Print_Area" localSheetId="29">'24-CWIPTRR'!$A$1:$J$201</definedName>
    <definedName name="_xlnm.Print_Area" localSheetId="30">'25-WholesaleDifference'!$A$1:$J$103</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40">'35-Other Formula Revenue'!$A$1:$G$132</definedName>
    <definedName name="_xlnm.Print_Area" localSheetId="5">'3-TrueUpAdjust'!$A$1:$L$144</definedName>
    <definedName name="_xlnm.Print_Area" localSheetId="6">'4-TUTRR'!$A$1:$J$108</definedName>
    <definedName name="_xlnm.Print_Area" localSheetId="7">'5-ROR-1'!$A$1:$L$50</definedName>
    <definedName name="_xlnm.Print_Area" localSheetId="8">'5-ROR-2'!$A$1:$P$69</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'9-ADIT-1'!$A$1:$J$166</definedName>
    <definedName name="_xlnm.Print_Area" localSheetId="13">'9-ADIT-2'!$A$1:$M$65</definedName>
    <definedName name="_xlnm.Print_Area" localSheetId="14">'9-ADIT-3'!$A$1:$I$55</definedName>
    <definedName name="_xlnm.Print_Area" localSheetId="1">Contents!$A$1:$D$39</definedName>
    <definedName name="_xlnm.Print_Area" localSheetId="0">Heading!$A$1:$K$8</definedName>
    <definedName name="_xlnm.Print_Area" localSheetId="2">Overview!$A$1:$I$28</definedName>
    <definedName name="_xlnm.Print_Titles" localSheetId="3">'1-BaseTRR'!$1:$6</definedName>
    <definedName name="_xlnm.Print_Titles" localSheetId="26">'21-RevenueCredits'!$1:$3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3" i="53" l="1"/>
  <c r="N181" i="61" l="1"/>
  <c r="J181" i="61"/>
  <c r="M181" i="61" s="1"/>
  <c r="G181" i="61"/>
  <c r="I181" i="61" s="1"/>
  <c r="E162" i="61"/>
  <c r="N152" i="61"/>
  <c r="N151" i="61"/>
  <c r="N150" i="61"/>
  <c r="N149" i="61"/>
  <c r="N148" i="61"/>
  <c r="N147" i="61"/>
  <c r="J152" i="61"/>
  <c r="M152" i="61" s="1"/>
  <c r="G152" i="61"/>
  <c r="I152" i="61" s="1"/>
  <c r="J151" i="61"/>
  <c r="M151" i="61" s="1"/>
  <c r="G151" i="61"/>
  <c r="I151" i="61" s="1"/>
  <c r="J150" i="61"/>
  <c r="M150" i="61" s="1"/>
  <c r="G150" i="61"/>
  <c r="I150" i="61" s="1"/>
  <c r="J149" i="61"/>
  <c r="M149" i="61" s="1"/>
  <c r="G149" i="61"/>
  <c r="I149" i="61" s="1"/>
  <c r="J148" i="61"/>
  <c r="M148" i="61" s="1"/>
  <c r="G148" i="61"/>
  <c r="I148" i="61" s="1"/>
  <c r="J147" i="61"/>
  <c r="M147" i="61" s="1"/>
  <c r="I147" i="61"/>
  <c r="G147" i="61"/>
  <c r="N41" i="61"/>
  <c r="H61" i="72" l="1"/>
  <c r="H60" i="72"/>
  <c r="H59" i="72"/>
  <c r="H58" i="72"/>
  <c r="H57" i="72"/>
  <c r="H56" i="72"/>
  <c r="A119" i="15" l="1"/>
  <c r="H133" i="15"/>
  <c r="G133" i="15"/>
  <c r="F133" i="15"/>
  <c r="E133" i="15"/>
  <c r="D133" i="15"/>
  <c r="H131" i="15"/>
  <c r="G131" i="15"/>
  <c r="F131" i="15"/>
  <c r="E131" i="15"/>
  <c r="D131" i="15"/>
  <c r="H121" i="15"/>
  <c r="G121" i="15"/>
  <c r="F121" i="15"/>
  <c r="E121" i="15"/>
  <c r="D121" i="15"/>
  <c r="G112" i="15"/>
  <c r="E112" i="15"/>
  <c r="H111" i="15"/>
  <c r="E111" i="15"/>
  <c r="H106" i="15"/>
  <c r="G105" i="15"/>
  <c r="E106" i="15"/>
  <c r="E105" i="15"/>
  <c r="E103" i="15"/>
  <c r="H90" i="15"/>
  <c r="G90" i="15"/>
  <c r="F90" i="15"/>
  <c r="E90" i="15"/>
  <c r="D90" i="15"/>
  <c r="H70" i="15"/>
  <c r="G70" i="15"/>
  <c r="F70" i="15"/>
  <c r="E70" i="15"/>
  <c r="D70" i="15"/>
  <c r="H68" i="15"/>
  <c r="G68" i="15"/>
  <c r="F68" i="15"/>
  <c r="E68" i="15"/>
  <c r="D68" i="15"/>
  <c r="H56" i="15"/>
  <c r="G56" i="15"/>
  <c r="F56" i="15"/>
  <c r="E56" i="15"/>
  <c r="D56" i="15"/>
  <c r="H42" i="15"/>
  <c r="H38" i="15"/>
  <c r="H36" i="15"/>
  <c r="H35" i="15"/>
  <c r="H34" i="15"/>
  <c r="G33" i="15"/>
  <c r="H32" i="15"/>
  <c r="G31" i="15"/>
  <c r="E31" i="15"/>
  <c r="A128" i="15"/>
  <c r="A105" i="15"/>
  <c r="A106" i="15"/>
  <c r="A107" i="15"/>
  <c r="A108" i="15"/>
  <c r="A109" i="15"/>
  <c r="A110" i="15"/>
  <c r="A111" i="15"/>
  <c r="A112" i="15"/>
  <c r="G151" i="15"/>
  <c r="G159" i="15"/>
  <c r="F104" i="15"/>
  <c r="F81" i="15"/>
  <c r="G46" i="15"/>
  <c r="E45" i="15"/>
  <c r="E44" i="15"/>
  <c r="E43" i="15"/>
  <c r="G152" i="15"/>
  <c r="E42" i="15"/>
  <c r="E41" i="15"/>
  <c r="E40" i="15"/>
  <c r="E39" i="15"/>
  <c r="E38" i="15"/>
  <c r="G160" i="15"/>
  <c r="E37" i="15"/>
  <c r="G37" i="15"/>
  <c r="E36" i="15"/>
  <c r="E35" i="15"/>
  <c r="E34" i="15"/>
  <c r="E33" i="15"/>
  <c r="E32" i="15"/>
  <c r="G180" i="1"/>
  <c r="H180" i="1" s="1"/>
  <c r="K39" i="1" s="1"/>
  <c r="N31" i="61"/>
  <c r="N32" i="61"/>
  <c r="N33" i="61"/>
  <c r="F108" i="85"/>
  <c r="E108" i="85"/>
  <c r="G17" i="85"/>
  <c r="G97" i="85"/>
  <c r="D102" i="85"/>
  <c r="G102" i="85"/>
  <c r="E244" i="61"/>
  <c r="N244" i="61" s="1"/>
  <c r="N246" i="61" s="1"/>
  <c r="L11" i="46"/>
  <c r="E6" i="66"/>
  <c r="E41" i="30"/>
  <c r="L246" i="61"/>
  <c r="H246" i="61"/>
  <c r="J244" i="61"/>
  <c r="J246" i="61" s="1"/>
  <c r="G244" i="61"/>
  <c r="I244" i="61" s="1"/>
  <c r="I246" i="61" s="1"/>
  <c r="H8" i="26"/>
  <c r="D49" i="85"/>
  <c r="G86" i="85"/>
  <c r="F183" i="1"/>
  <c r="H183" i="1" s="1"/>
  <c r="K47" i="1" s="1"/>
  <c r="G85" i="85"/>
  <c r="F182" i="1"/>
  <c r="H182" i="1"/>
  <c r="K46" i="1" s="1"/>
  <c r="G74" i="8"/>
  <c r="B125" i="46"/>
  <c r="G49" i="85"/>
  <c r="H19" i="26"/>
  <c r="H18" i="26"/>
  <c r="H17" i="26"/>
  <c r="H16" i="26"/>
  <c r="H15" i="26"/>
  <c r="H14" i="26"/>
  <c r="H13" i="26"/>
  <c r="H12" i="26"/>
  <c r="H11" i="26"/>
  <c r="H10" i="26"/>
  <c r="H9" i="26"/>
  <c r="H7" i="26"/>
  <c r="H6" i="26"/>
  <c r="G101" i="85"/>
  <c r="G100" i="85"/>
  <c r="G99" i="85"/>
  <c r="G98" i="85"/>
  <c r="G90" i="85"/>
  <c r="G89" i="85"/>
  <c r="G88" i="85"/>
  <c r="G87" i="85"/>
  <c r="F184" i="1"/>
  <c r="H184" i="1"/>
  <c r="K48" i="1" s="1"/>
  <c r="G84" i="85"/>
  <c r="F181" i="1"/>
  <c r="H181" i="1"/>
  <c r="K45" i="1" s="1"/>
  <c r="G76" i="85"/>
  <c r="G68" i="85"/>
  <c r="G67" i="85"/>
  <c r="G66" i="85"/>
  <c r="G65" i="85"/>
  <c r="G64" i="85"/>
  <c r="G63" i="85"/>
  <c r="G62" i="85"/>
  <c r="G61" i="85"/>
  <c r="G60" i="85"/>
  <c r="G59" i="85"/>
  <c r="G58" i="85"/>
  <c r="G57" i="85"/>
  <c r="G56" i="85"/>
  <c r="G55" i="85"/>
  <c r="G47" i="85"/>
  <c r="J42" i="46"/>
  <c r="M42" i="46"/>
  <c r="G46" i="85"/>
  <c r="J40" i="46"/>
  <c r="M40" i="46"/>
  <c r="G45" i="85"/>
  <c r="J39" i="46"/>
  <c r="M39" i="46"/>
  <c r="E102" i="46" s="1"/>
  <c r="I102" i="46" s="1"/>
  <c r="G44" i="85"/>
  <c r="J38" i="46"/>
  <c r="M38" i="46"/>
  <c r="G43" i="85"/>
  <c r="J37" i="46"/>
  <c r="M37" i="46"/>
  <c r="G42" i="85"/>
  <c r="J36" i="46"/>
  <c r="M36" i="46"/>
  <c r="E99" i="46" s="1"/>
  <c r="G41" i="85"/>
  <c r="J35" i="46"/>
  <c r="M35" i="46"/>
  <c r="G40" i="85"/>
  <c r="J34" i="46"/>
  <c r="M34" i="46"/>
  <c r="G39" i="85"/>
  <c r="J33" i="46"/>
  <c r="M33" i="46"/>
  <c r="E96" i="46" s="1"/>
  <c r="I96" i="46" s="1"/>
  <c r="G38" i="85"/>
  <c r="J32" i="46"/>
  <c r="M32" i="46"/>
  <c r="G37" i="85"/>
  <c r="J31" i="46"/>
  <c r="M31" i="46"/>
  <c r="E94" i="46" s="1"/>
  <c r="I94" i="46" s="1"/>
  <c r="G36" i="85"/>
  <c r="J30" i="46"/>
  <c r="M30" i="46"/>
  <c r="G35" i="85"/>
  <c r="J29" i="46"/>
  <c r="M29" i="46"/>
  <c r="G34" i="85"/>
  <c r="J28" i="46"/>
  <c r="M28" i="46"/>
  <c r="E91" i="46" s="1"/>
  <c r="I91" i="46" s="1"/>
  <c r="G33" i="85"/>
  <c r="J27" i="46"/>
  <c r="M27" i="46"/>
  <c r="G32" i="85"/>
  <c r="J26" i="46"/>
  <c r="M26" i="46"/>
  <c r="G31" i="85"/>
  <c r="J25" i="46"/>
  <c r="M25" i="46"/>
  <c r="E88" i="46" s="1"/>
  <c r="I88" i="46" s="1"/>
  <c r="G30" i="85"/>
  <c r="J24" i="46"/>
  <c r="M24" i="46"/>
  <c r="G29" i="85"/>
  <c r="J23" i="46"/>
  <c r="M23" i="46"/>
  <c r="G28" i="85"/>
  <c r="J22" i="46"/>
  <c r="M22" i="46"/>
  <c r="G27" i="85"/>
  <c r="J21" i="46"/>
  <c r="M21" i="46"/>
  <c r="G26" i="85"/>
  <c r="J20" i="46"/>
  <c r="M20" i="46"/>
  <c r="G25" i="85"/>
  <c r="J19" i="46"/>
  <c r="M19" i="46"/>
  <c r="G24" i="85"/>
  <c r="J18" i="46"/>
  <c r="M18" i="46"/>
  <c r="G23" i="85"/>
  <c r="J17" i="46"/>
  <c r="M17" i="46"/>
  <c r="E80" i="46" s="1"/>
  <c r="I80" i="46" s="1"/>
  <c r="G22" i="85"/>
  <c r="J16" i="46"/>
  <c r="M16" i="46"/>
  <c r="G21" i="85"/>
  <c r="J15" i="46"/>
  <c r="M15" i="46"/>
  <c r="E78" i="46" s="1"/>
  <c r="I78" i="46" s="1"/>
  <c r="G20" i="85"/>
  <c r="J14" i="46"/>
  <c r="M14" i="46"/>
  <c r="G19" i="85"/>
  <c r="J13" i="46"/>
  <c r="M13" i="46"/>
  <c r="G18" i="85"/>
  <c r="J12" i="46"/>
  <c r="M12" i="46"/>
  <c r="E75" i="46" s="1"/>
  <c r="I75" i="46" s="1"/>
  <c r="J11" i="46"/>
  <c r="F70" i="85"/>
  <c r="E70" i="85"/>
  <c r="F49" i="85"/>
  <c r="E49" i="85"/>
  <c r="F77" i="85"/>
  <c r="E77" i="85"/>
  <c r="F102" i="85"/>
  <c r="E102" i="85"/>
  <c r="F91" i="85"/>
  <c r="E91" i="85"/>
  <c r="D70" i="85"/>
  <c r="D77" i="85"/>
  <c r="D91" i="85"/>
  <c r="G91" i="85"/>
  <c r="A6" i="85"/>
  <c r="A7" i="85"/>
  <c r="A8" i="85"/>
  <c r="A17" i="85"/>
  <c r="D108" i="85"/>
  <c r="D113" i="85"/>
  <c r="M11" i="46"/>
  <c r="J43" i="46"/>
  <c r="F187" i="1"/>
  <c r="H187" i="1"/>
  <c r="K51" i="1" s="1"/>
  <c r="F185" i="1"/>
  <c r="H185" i="1" s="1"/>
  <c r="K49" i="1" s="1"/>
  <c r="F186" i="1"/>
  <c r="H186" i="1" s="1"/>
  <c r="K50" i="1" s="1"/>
  <c r="A18" i="85"/>
  <c r="A19" i="85"/>
  <c r="A20" i="85"/>
  <c r="A21" i="85"/>
  <c r="A22" i="85"/>
  <c r="A23" i="85"/>
  <c r="A24" i="85"/>
  <c r="A25" i="85"/>
  <c r="A26" i="85"/>
  <c r="A27" i="85"/>
  <c r="A28" i="85"/>
  <c r="A29" i="85"/>
  <c r="A30" i="85"/>
  <c r="A31" i="85"/>
  <c r="A32" i="85"/>
  <c r="A33" i="85"/>
  <c r="A34" i="85"/>
  <c r="A35" i="85"/>
  <c r="A36" i="85"/>
  <c r="A37" i="85"/>
  <c r="A38" i="85"/>
  <c r="A39" i="85"/>
  <c r="A40" i="85"/>
  <c r="A41" i="85"/>
  <c r="A42" i="85"/>
  <c r="A43" i="85"/>
  <c r="A44" i="85"/>
  <c r="A45" i="85"/>
  <c r="A46" i="85"/>
  <c r="A47" i="85"/>
  <c r="A48" i="85"/>
  <c r="A49" i="85"/>
  <c r="G77" i="85"/>
  <c r="G70" i="85"/>
  <c r="K11" i="46"/>
  <c r="A55" i="85"/>
  <c r="A56" i="85"/>
  <c r="A57" i="85"/>
  <c r="A58" i="85"/>
  <c r="A59" i="85"/>
  <c r="A60" i="85"/>
  <c r="A61" i="85"/>
  <c r="A62" i="85"/>
  <c r="A63" i="85"/>
  <c r="A64" i="85"/>
  <c r="A65" i="85"/>
  <c r="A66" i="85"/>
  <c r="A67" i="85"/>
  <c r="A68" i="85"/>
  <c r="A69" i="85"/>
  <c r="A70" i="85"/>
  <c r="A76" i="85"/>
  <c r="A77" i="85"/>
  <c r="A84" i="85"/>
  <c r="A85" i="85"/>
  <c r="A86" i="85"/>
  <c r="A87" i="85"/>
  <c r="A88" i="85"/>
  <c r="A89" i="85"/>
  <c r="A90" i="85"/>
  <c r="A91" i="85"/>
  <c r="E73" i="8"/>
  <c r="K152" i="1"/>
  <c r="H72" i="44"/>
  <c r="E28" i="53"/>
  <c r="H130" i="53"/>
  <c r="J14" i="53"/>
  <c r="N216" i="61"/>
  <c r="N217" i="61"/>
  <c r="N218" i="61"/>
  <c r="N219" i="61"/>
  <c r="N220" i="61"/>
  <c r="N221" i="61"/>
  <c r="N222" i="61"/>
  <c r="N223" i="61"/>
  <c r="N224" i="61"/>
  <c r="G216" i="61"/>
  <c r="I216" i="61" s="1"/>
  <c r="J216" i="61"/>
  <c r="M216" i="61" s="1"/>
  <c r="G217" i="61"/>
  <c r="I217" i="61"/>
  <c r="J217" i="61"/>
  <c r="M217" i="61" s="1"/>
  <c r="G218" i="61"/>
  <c r="I218" i="61"/>
  <c r="J218" i="61"/>
  <c r="M218" i="61" s="1"/>
  <c r="G219" i="61"/>
  <c r="I219" i="61"/>
  <c r="J219" i="61"/>
  <c r="M219" i="61" s="1"/>
  <c r="G220" i="61"/>
  <c r="I220" i="61"/>
  <c r="J220" i="61"/>
  <c r="M220" i="61" s="1"/>
  <c r="G221" i="61"/>
  <c r="I221" i="61"/>
  <c r="J221" i="61"/>
  <c r="M221" i="61" s="1"/>
  <c r="G222" i="61"/>
  <c r="I222" i="61"/>
  <c r="J222" i="61"/>
  <c r="M222" i="61" s="1"/>
  <c r="G223" i="61"/>
  <c r="I223" i="61"/>
  <c r="J223" i="61"/>
  <c r="M223" i="61" s="1"/>
  <c r="G224" i="61"/>
  <c r="I224" i="61"/>
  <c r="J224" i="61"/>
  <c r="M224" i="61" s="1"/>
  <c r="N146" i="61"/>
  <c r="J146" i="61"/>
  <c r="M146" i="61" s="1"/>
  <c r="G146" i="61"/>
  <c r="I146" i="61" s="1"/>
  <c r="N79" i="61"/>
  <c r="J79" i="61"/>
  <c r="M79" i="61" s="1"/>
  <c r="G79" i="61"/>
  <c r="I79" i="61" s="1"/>
  <c r="N78" i="61"/>
  <c r="J78" i="61"/>
  <c r="M78" i="61" s="1"/>
  <c r="G78" i="61"/>
  <c r="I78" i="61" s="1"/>
  <c r="J41" i="61"/>
  <c r="M41" i="61" s="1"/>
  <c r="G41" i="61"/>
  <c r="I41" i="61" s="1"/>
  <c r="N40" i="61"/>
  <c r="J40" i="61"/>
  <c r="M40" i="61" s="1"/>
  <c r="G40" i="61"/>
  <c r="G46" i="61" s="1"/>
  <c r="N34" i="61"/>
  <c r="J34" i="61"/>
  <c r="M34" i="61" s="1"/>
  <c r="G34" i="61"/>
  <c r="I34" i="61" s="1"/>
  <c r="J33" i="61"/>
  <c r="M33" i="61" s="1"/>
  <c r="G33" i="61"/>
  <c r="I33" i="61" s="1"/>
  <c r="J32" i="61"/>
  <c r="M32" i="61" s="1"/>
  <c r="G32" i="61"/>
  <c r="I32" i="61" s="1"/>
  <c r="J31" i="61"/>
  <c r="M31" i="61" s="1"/>
  <c r="G31" i="61"/>
  <c r="I31" i="61" s="1"/>
  <c r="E37" i="61"/>
  <c r="E86" i="4"/>
  <c r="A126" i="15"/>
  <c r="A127" i="15"/>
  <c r="A104" i="15"/>
  <c r="A82" i="15"/>
  <c r="A83" i="15"/>
  <c r="A84" i="15"/>
  <c r="A85" i="15"/>
  <c r="A86" i="15"/>
  <c r="A87" i="15"/>
  <c r="A61" i="15"/>
  <c r="A62" i="15"/>
  <c r="A63" i="15"/>
  <c r="A64" i="15"/>
  <c r="A65" i="15"/>
  <c r="A32" i="15"/>
  <c r="A33" i="15"/>
  <c r="A34" i="15"/>
  <c r="A35" i="15"/>
  <c r="A36" i="15"/>
  <c r="A37" i="15"/>
  <c r="A38" i="15"/>
  <c r="A39" i="15"/>
  <c r="A40" i="15"/>
  <c r="A41" i="15"/>
  <c r="A42" i="15"/>
  <c r="A43" i="15"/>
  <c r="A44" i="15"/>
  <c r="A45" i="15"/>
  <c r="A46" i="15"/>
  <c r="A47" i="15"/>
  <c r="A54" i="15"/>
  <c r="D14" i="49"/>
  <c r="D15" i="49"/>
  <c r="D16" i="49"/>
  <c r="D17" i="49"/>
  <c r="D18" i="49"/>
  <c r="D19" i="49"/>
  <c r="D20" i="49"/>
  <c r="D21" i="49"/>
  <c r="D22" i="49"/>
  <c r="D23" i="49"/>
  <c r="D24" i="49"/>
  <c r="D25" i="49"/>
  <c r="J54" i="49" s="1"/>
  <c r="D13" i="49"/>
  <c r="F86" i="4"/>
  <c r="F104" i="4"/>
  <c r="G86" i="4"/>
  <c r="H86" i="4"/>
  <c r="I86" i="4"/>
  <c r="I104" i="4"/>
  <c r="J86" i="4"/>
  <c r="K86" i="4"/>
  <c r="L86" i="4"/>
  <c r="H89" i="65"/>
  <c r="G89" i="65"/>
  <c r="F89" i="65"/>
  <c r="E89" i="65"/>
  <c r="D89" i="65"/>
  <c r="C89" i="65"/>
  <c r="A184" i="71"/>
  <c r="A185" i="71"/>
  <c r="A186" i="71"/>
  <c r="E20" i="71"/>
  <c r="D20" i="71"/>
  <c r="F20" i="71"/>
  <c r="F37" i="11"/>
  <c r="G20" i="71"/>
  <c r="G37" i="11"/>
  <c r="E37" i="11"/>
  <c r="H37" i="11"/>
  <c r="G19" i="71"/>
  <c r="G18" i="71"/>
  <c r="H36"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E36" i="11"/>
  <c r="K453" i="49"/>
  <c r="K454" i="49"/>
  <c r="K455" i="49"/>
  <c r="K456" i="49"/>
  <c r="K457" i="49"/>
  <c r="K458" i="49"/>
  <c r="K459" i="49"/>
  <c r="K460" i="49"/>
  <c r="K461" i="49"/>
  <c r="K462" i="49"/>
  <c r="K463" i="49"/>
  <c r="K464" i="49"/>
  <c r="K465" i="49"/>
  <c r="K466" i="49"/>
  <c r="K467" i="49"/>
  <c r="K468" i="49"/>
  <c r="K469" i="49"/>
  <c r="K470" i="49"/>
  <c r="K471" i="49"/>
  <c r="K472" i="49"/>
  <c r="K473" i="49"/>
  <c r="K474" i="49"/>
  <c r="K475" i="49"/>
  <c r="K452" i="49"/>
  <c r="J418" i="49"/>
  <c r="I475" i="49"/>
  <c r="E475" i="49"/>
  <c r="F475" i="49"/>
  <c r="I474" i="49"/>
  <c r="E474" i="49"/>
  <c r="F474" i="49"/>
  <c r="I473" i="49"/>
  <c r="E473" i="49"/>
  <c r="F473" i="49"/>
  <c r="I472" i="49"/>
  <c r="E472" i="49"/>
  <c r="F472" i="49"/>
  <c r="I471" i="49"/>
  <c r="E471" i="49"/>
  <c r="F471" i="49"/>
  <c r="I470" i="49"/>
  <c r="E470" i="49"/>
  <c r="F470" i="49"/>
  <c r="I469" i="49"/>
  <c r="E469" i="49"/>
  <c r="F469" i="49"/>
  <c r="I468" i="49"/>
  <c r="E468" i="49"/>
  <c r="F468" i="49"/>
  <c r="I467" i="49"/>
  <c r="E467" i="49"/>
  <c r="F467" i="49"/>
  <c r="I466" i="49"/>
  <c r="E466" i="49"/>
  <c r="F466" i="49"/>
  <c r="I465" i="49"/>
  <c r="E465" i="49"/>
  <c r="F465" i="49"/>
  <c r="I464" i="49"/>
  <c r="E464" i="49"/>
  <c r="F464" i="49"/>
  <c r="I463" i="49"/>
  <c r="E463" i="49"/>
  <c r="F463" i="49"/>
  <c r="I462" i="49"/>
  <c r="E462" i="49"/>
  <c r="F462" i="49"/>
  <c r="I461" i="49"/>
  <c r="E461" i="49"/>
  <c r="F461" i="49"/>
  <c r="I460" i="49"/>
  <c r="E460" i="49"/>
  <c r="F460" i="49"/>
  <c r="I459" i="49"/>
  <c r="E459" i="49"/>
  <c r="F459" i="49"/>
  <c r="I458" i="49"/>
  <c r="E458" i="49"/>
  <c r="F458" i="49"/>
  <c r="I457" i="49"/>
  <c r="E457" i="49"/>
  <c r="F457" i="49"/>
  <c r="I456" i="49"/>
  <c r="E456" i="49"/>
  <c r="F456" i="49"/>
  <c r="I455" i="49"/>
  <c r="E455" i="49"/>
  <c r="F455" i="49"/>
  <c r="I454" i="49"/>
  <c r="E454" i="49"/>
  <c r="F454" i="49"/>
  <c r="I453" i="49"/>
  <c r="E453" i="49"/>
  <c r="F453" i="49"/>
  <c r="I452" i="49"/>
  <c r="E452" i="49"/>
  <c r="F452" i="49"/>
  <c r="J452" i="49"/>
  <c r="K450" i="49"/>
  <c r="J450" i="49"/>
  <c r="I450" i="49"/>
  <c r="H450" i="49"/>
  <c r="F450" i="49"/>
  <c r="E450" i="49"/>
  <c r="D450" i="49"/>
  <c r="K449" i="49"/>
  <c r="J449" i="49"/>
  <c r="I449" i="49"/>
  <c r="H449" i="49"/>
  <c r="F449" i="49"/>
  <c r="E449" i="49"/>
  <c r="D449"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K476" i="49"/>
  <c r="I46" i="49"/>
  <c r="F36" i="11" s="1"/>
  <c r="D74" i="49"/>
  <c r="L155" i="61"/>
  <c r="L82" i="61"/>
  <c r="G77" i="48"/>
  <c r="H77" i="48"/>
  <c r="H14" i="48"/>
  <c r="G78" i="48"/>
  <c r="G79" i="48"/>
  <c r="G80" i="48"/>
  <c r="G81" i="48"/>
  <c r="H81" i="48" s="1"/>
  <c r="G82" i="48"/>
  <c r="I82" i="48" s="1"/>
  <c r="H82" i="48"/>
  <c r="H19" i="48" s="1"/>
  <c r="G83" i="48"/>
  <c r="G84" i="48"/>
  <c r="G85" i="48"/>
  <c r="I85" i="48" s="1"/>
  <c r="H85" i="48"/>
  <c r="H22" i="48" s="1"/>
  <c r="G86" i="48"/>
  <c r="G87" i="48"/>
  <c r="H87" i="48" s="1"/>
  <c r="G88" i="48"/>
  <c r="H88" i="48"/>
  <c r="I88" i="48" s="1"/>
  <c r="G89" i="48"/>
  <c r="G90" i="48"/>
  <c r="H90" i="48" s="1"/>
  <c r="G91" i="48"/>
  <c r="G92" i="48"/>
  <c r="H92" i="48"/>
  <c r="I92" i="48" s="1"/>
  <c r="G93" i="48"/>
  <c r="G94" i="48"/>
  <c r="H94" i="48" s="1"/>
  <c r="G95" i="48"/>
  <c r="G96" i="48"/>
  <c r="I96" i="48" s="1"/>
  <c r="H96" i="48"/>
  <c r="H33" i="48" s="1"/>
  <c r="G97" i="48"/>
  <c r="H97" i="48" s="1"/>
  <c r="G98" i="48"/>
  <c r="G99" i="48"/>
  <c r="H99" i="48"/>
  <c r="H36" i="48"/>
  <c r="H80" i="48"/>
  <c r="I80" i="48" s="1"/>
  <c r="H83" i="48"/>
  <c r="I83" i="48" s="1"/>
  <c r="H91" i="48"/>
  <c r="I91" i="48" s="1"/>
  <c r="H20" i="48"/>
  <c r="H28" i="48"/>
  <c r="H17" i="48"/>
  <c r="H95" i="48"/>
  <c r="I95" i="48" s="1"/>
  <c r="H32" i="48"/>
  <c r="H86" i="48"/>
  <c r="H23" i="48" s="1"/>
  <c r="H78" i="48"/>
  <c r="H15" i="48" s="1"/>
  <c r="I86" i="48"/>
  <c r="I23" i="48" s="1"/>
  <c r="J86" i="48"/>
  <c r="J23" i="48" s="1"/>
  <c r="M76" i="48"/>
  <c r="H46" i="49"/>
  <c r="N178" i="61"/>
  <c r="N179" i="61"/>
  <c r="N180" i="61"/>
  <c r="F25" i="65"/>
  <c r="H24" i="65"/>
  <c r="J24" i="65" s="1"/>
  <c r="L24" i="65" s="1"/>
  <c r="N30" i="61"/>
  <c r="J30" i="61"/>
  <c r="M30" i="61" s="1"/>
  <c r="G30" i="61"/>
  <c r="I30" i="61" s="1"/>
  <c r="L227" i="61"/>
  <c r="E227" i="61"/>
  <c r="J180" i="61"/>
  <c r="M180" i="61" s="1"/>
  <c r="G180" i="61"/>
  <c r="I180" i="61" s="1"/>
  <c r="J179" i="61"/>
  <c r="M179" i="61" s="1"/>
  <c r="G179" i="61"/>
  <c r="I179" i="61" s="1"/>
  <c r="J178" i="61"/>
  <c r="M178" i="61" s="1"/>
  <c r="G178" i="61"/>
  <c r="I178" i="61" s="1"/>
  <c r="J77" i="61"/>
  <c r="M77" i="61"/>
  <c r="G77" i="61"/>
  <c r="I77" i="61" s="1"/>
  <c r="N145" i="61"/>
  <c r="N144" i="61"/>
  <c r="N143" i="61"/>
  <c r="N142" i="61"/>
  <c r="J145" i="61"/>
  <c r="M145" i="61" s="1"/>
  <c r="G145" i="61"/>
  <c r="I145" i="61" s="1"/>
  <c r="J144" i="61"/>
  <c r="M144" i="61" s="1"/>
  <c r="G144" i="61"/>
  <c r="I144" i="61" s="1"/>
  <c r="J143" i="61"/>
  <c r="M143" i="61" s="1"/>
  <c r="G143" i="61"/>
  <c r="I143" i="61" s="1"/>
  <c r="J142" i="61"/>
  <c r="M142" i="61" s="1"/>
  <c r="G142" i="61"/>
  <c r="I142" i="61" s="1"/>
  <c r="N77" i="61"/>
  <c r="N76" i="61"/>
  <c r="J76" i="61"/>
  <c r="M76" i="61" s="1"/>
  <c r="G76" i="61"/>
  <c r="I76" i="61" s="1"/>
  <c r="N29" i="61"/>
  <c r="N28" i="61"/>
  <c r="G27" i="61"/>
  <c r="J29" i="61"/>
  <c r="M29" i="61" s="1"/>
  <c r="G29" i="61"/>
  <c r="I29" i="61" s="1"/>
  <c r="J28" i="61"/>
  <c r="M28" i="61" s="1"/>
  <c r="G28" i="61"/>
  <c r="I28" i="61" s="1"/>
  <c r="N215" i="61"/>
  <c r="N214" i="61"/>
  <c r="G214" i="61"/>
  <c r="I214" i="61" s="1"/>
  <c r="J214" i="61"/>
  <c r="M214" i="61" s="1"/>
  <c r="G215" i="61"/>
  <c r="I215" i="61"/>
  <c r="J215" i="61"/>
  <c r="M215" i="61" s="1"/>
  <c r="D22" i="30"/>
  <c r="E69" i="8" s="1"/>
  <c r="H342" i="1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78" i="49"/>
  <c r="F68" i="48" s="1"/>
  <c r="F36" i="48" s="1"/>
  <c r="G78" i="49"/>
  <c r="E68" i="48" s="1"/>
  <c r="E36" i="48" s="1"/>
  <c r="D78" i="49"/>
  <c r="H77" i="49"/>
  <c r="F67" i="48" s="1"/>
  <c r="F35" i="48" s="1"/>
  <c r="G77" i="49"/>
  <c r="E67" i="48" s="1"/>
  <c r="E35" i="48" s="1"/>
  <c r="D77" i="49"/>
  <c r="H76" i="49"/>
  <c r="F66" i="48" s="1"/>
  <c r="F34" i="48" s="1"/>
  <c r="G76" i="49"/>
  <c r="D76" i="49"/>
  <c r="H75" i="49"/>
  <c r="F65" i="48" s="1"/>
  <c r="F33" i="48" s="1"/>
  <c r="G75" i="49"/>
  <c r="E65" i="48" s="1"/>
  <c r="E33" i="48" s="1"/>
  <c r="D75" i="49"/>
  <c r="H74" i="49"/>
  <c r="F64" i="48" s="1"/>
  <c r="F32" i="48" s="1"/>
  <c r="G74" i="49"/>
  <c r="E64" i="48" s="1"/>
  <c r="E32" i="48" s="1"/>
  <c r="H73" i="49"/>
  <c r="F63" i="48" s="1"/>
  <c r="F31" i="48" s="1"/>
  <c r="G73" i="49"/>
  <c r="E63" i="48" s="1"/>
  <c r="E31" i="48" s="1"/>
  <c r="D73" i="49"/>
  <c r="H72" i="49"/>
  <c r="F62" i="48" s="1"/>
  <c r="F30" i="48" s="1"/>
  <c r="G72" i="49"/>
  <c r="E62" i="48" s="1"/>
  <c r="E30" i="48" s="1"/>
  <c r="D72" i="49"/>
  <c r="H71" i="49"/>
  <c r="F61" i="48" s="1"/>
  <c r="F29" i="48" s="1"/>
  <c r="G71" i="49"/>
  <c r="E61" i="48" s="1"/>
  <c r="E29" i="48" s="1"/>
  <c r="D71" i="49"/>
  <c r="H70" i="49"/>
  <c r="F60" i="48" s="1"/>
  <c r="F28" i="48" s="1"/>
  <c r="G70" i="49"/>
  <c r="E60" i="48" s="1"/>
  <c r="E28" i="48" s="1"/>
  <c r="D70" i="49"/>
  <c r="H69" i="49"/>
  <c r="F59" i="48" s="1"/>
  <c r="F27" i="48" s="1"/>
  <c r="G69" i="49"/>
  <c r="E59" i="48" s="1"/>
  <c r="E27" i="48" s="1"/>
  <c r="D69" i="49"/>
  <c r="H68" i="49"/>
  <c r="F58" i="48" s="1"/>
  <c r="F26" i="48" s="1"/>
  <c r="G68" i="49"/>
  <c r="E58" i="48" s="1"/>
  <c r="E26" i="48" s="1"/>
  <c r="D68" i="49"/>
  <c r="H67" i="49"/>
  <c r="F57" i="48" s="1"/>
  <c r="F25" i="48" s="1"/>
  <c r="G67" i="49"/>
  <c r="E57" i="48" s="1"/>
  <c r="E25" i="48" s="1"/>
  <c r="D67" i="49"/>
  <c r="H66" i="49"/>
  <c r="F56" i="48" s="1"/>
  <c r="F24" i="48" s="1"/>
  <c r="G66" i="49"/>
  <c r="E56" i="48" s="1"/>
  <c r="E24" i="48" s="1"/>
  <c r="D66" i="49"/>
  <c r="H65" i="49"/>
  <c r="G65" i="49"/>
  <c r="E55" i="48" s="1"/>
  <c r="E23" i="48" s="1"/>
  <c r="D65" i="49"/>
  <c r="H64" i="49"/>
  <c r="F54" i="48" s="1"/>
  <c r="F22" i="48" s="1"/>
  <c r="G64" i="49"/>
  <c r="E54" i="48" s="1"/>
  <c r="E22" i="48" s="1"/>
  <c r="D64" i="49"/>
  <c r="H63" i="49"/>
  <c r="F53" i="48" s="1"/>
  <c r="F21" i="48" s="1"/>
  <c r="G63" i="49"/>
  <c r="E53" i="48" s="1"/>
  <c r="E21" i="48" s="1"/>
  <c r="D63" i="49"/>
  <c r="H62" i="49"/>
  <c r="F52" i="48" s="1"/>
  <c r="F20" i="48" s="1"/>
  <c r="G62" i="49"/>
  <c r="E52" i="48" s="1"/>
  <c r="E20" i="48" s="1"/>
  <c r="D62" i="49"/>
  <c r="H61" i="49"/>
  <c r="F51" i="48" s="1"/>
  <c r="F19" i="48" s="1"/>
  <c r="G61" i="49"/>
  <c r="E51" i="48" s="1"/>
  <c r="E19" i="48" s="1"/>
  <c r="D61" i="49"/>
  <c r="H60" i="49"/>
  <c r="F50" i="48" s="1"/>
  <c r="F18" i="48" s="1"/>
  <c r="G60" i="49"/>
  <c r="E50" i="48" s="1"/>
  <c r="E18" i="48" s="1"/>
  <c r="D60" i="49"/>
  <c r="H59" i="49"/>
  <c r="F49" i="48" s="1"/>
  <c r="F17" i="48" s="1"/>
  <c r="G59" i="49"/>
  <c r="E49" i="48" s="1"/>
  <c r="E17" i="48" s="1"/>
  <c r="D59" i="49"/>
  <c r="H58" i="49"/>
  <c r="F48" i="48" s="1"/>
  <c r="F16" i="48" s="1"/>
  <c r="G58" i="49"/>
  <c r="E48" i="48" s="1"/>
  <c r="E16" i="48" s="1"/>
  <c r="D58" i="49"/>
  <c r="H57" i="49"/>
  <c r="F47" i="48" s="1"/>
  <c r="F15" i="48" s="1"/>
  <c r="G57" i="49"/>
  <c r="E47" i="48" s="1"/>
  <c r="E15" i="48" s="1"/>
  <c r="D57" i="49"/>
  <c r="H56" i="49"/>
  <c r="F46" i="48" s="1"/>
  <c r="F14" i="48" s="1"/>
  <c r="G56" i="49"/>
  <c r="E46" i="48" s="1"/>
  <c r="E14" i="48" s="1"/>
  <c r="D56" i="49"/>
  <c r="H55" i="49"/>
  <c r="F45" i="48" s="1"/>
  <c r="F13" i="48" s="1"/>
  <c r="G55" i="49"/>
  <c r="E45" i="48" s="1"/>
  <c r="E13" i="48" s="1"/>
  <c r="D55" i="49"/>
  <c r="H47" i="83"/>
  <c r="H46" i="83"/>
  <c r="H45" i="83"/>
  <c r="H44" i="83"/>
  <c r="I44" i="83"/>
  <c r="K41" i="84"/>
  <c r="H43" i="83"/>
  <c r="H42" i="83"/>
  <c r="I42" i="83"/>
  <c r="K39" i="84"/>
  <c r="H41" i="83"/>
  <c r="H40" i="83"/>
  <c r="H39" i="83"/>
  <c r="H38" i="83"/>
  <c r="H37" i="83"/>
  <c r="H36" i="83"/>
  <c r="I36" i="83"/>
  <c r="K33" i="84"/>
  <c r="H35" i="83"/>
  <c r="H34" i="83"/>
  <c r="I34" i="83"/>
  <c r="E49" i="83"/>
  <c r="D49" i="83"/>
  <c r="F47" i="83"/>
  <c r="G47" i="83"/>
  <c r="I47" i="83"/>
  <c r="K44" i="84"/>
  <c r="M44" i="84"/>
  <c r="F46" i="83"/>
  <c r="G46" i="83"/>
  <c r="I46" i="83"/>
  <c r="K43" i="84"/>
  <c r="F45" i="83"/>
  <c r="G45" i="83"/>
  <c r="I45" i="83"/>
  <c r="K42" i="84"/>
  <c r="M42" i="84"/>
  <c r="F44" i="83"/>
  <c r="G44" i="83"/>
  <c r="G43" i="83"/>
  <c r="I43" i="83"/>
  <c r="K40" i="84"/>
  <c r="F43" i="83"/>
  <c r="F42" i="83"/>
  <c r="G42" i="83"/>
  <c r="F41" i="83"/>
  <c r="G41" i="83"/>
  <c r="I41" i="83"/>
  <c r="K38" i="84"/>
  <c r="F40" i="83"/>
  <c r="G40" i="83"/>
  <c r="I40" i="83"/>
  <c r="K37" i="84"/>
  <c r="F39" i="83"/>
  <c r="G39" i="83"/>
  <c r="I39" i="83"/>
  <c r="K36" i="84"/>
  <c r="F38" i="83"/>
  <c r="G38" i="83"/>
  <c r="I38" i="83"/>
  <c r="K35" i="84"/>
  <c r="F37" i="83"/>
  <c r="G37" i="83"/>
  <c r="I37" i="83"/>
  <c r="K34" i="84"/>
  <c r="F36" i="83"/>
  <c r="G36" i="83"/>
  <c r="F35" i="83"/>
  <c r="G35" i="83"/>
  <c r="I35" i="83"/>
  <c r="K32" i="84"/>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L43" i="84"/>
  <c r="J43" i="84"/>
  <c r="M43" i="84"/>
  <c r="J42" i="84"/>
  <c r="J41" i="84"/>
  <c r="J40" i="84"/>
  <c r="J39" i="84"/>
  <c r="J38" i="84"/>
  <c r="J37" i="84"/>
  <c r="J36" i="84"/>
  <c r="J35" i="84"/>
  <c r="J34" i="84"/>
  <c r="J33" i="84"/>
  <c r="J32" i="84"/>
  <c r="J31" i="84"/>
  <c r="A31" i="84"/>
  <c r="A32" i="84"/>
  <c r="A33" i="84"/>
  <c r="A34" i="84"/>
  <c r="A35" i="84"/>
  <c r="A36" i="84"/>
  <c r="A37" i="84"/>
  <c r="A38" i="84"/>
  <c r="A39" i="84"/>
  <c r="A40" i="84"/>
  <c r="A41" i="84"/>
  <c r="A42" i="84"/>
  <c r="A43" i="84"/>
  <c r="A44" i="84"/>
  <c r="A45" i="84"/>
  <c r="J26" i="84"/>
  <c r="H29" i="83"/>
  <c r="I24" i="84"/>
  <c r="H24" i="84"/>
  <c r="G24" i="84"/>
  <c r="G14" i="84"/>
  <c r="G28" i="84"/>
  <c r="G48" i="84"/>
  <c r="F24" i="84"/>
  <c r="E24" i="84"/>
  <c r="D24" i="84"/>
  <c r="J23" i="84"/>
  <c r="J22" i="84"/>
  <c r="H25" i="83"/>
  <c r="I25" i="83"/>
  <c r="K22" i="84"/>
  <c r="J21" i="84"/>
  <c r="H24" i="83"/>
  <c r="I24" i="83"/>
  <c r="K21" i="84"/>
  <c r="J20" i="84"/>
  <c r="J19" i="84"/>
  <c r="H22" i="83"/>
  <c r="J18" i="84"/>
  <c r="H21" i="83"/>
  <c r="I21" i="83"/>
  <c r="K18" i="84"/>
  <c r="M18" i="84"/>
  <c r="J17" i="84"/>
  <c r="H20" i="83"/>
  <c r="I20" i="83"/>
  <c r="A17" i="84"/>
  <c r="A18" i="84"/>
  <c r="A19" i="84"/>
  <c r="A20" i="84"/>
  <c r="A21" i="84"/>
  <c r="A22" i="84"/>
  <c r="A23" i="84"/>
  <c r="I14" i="84"/>
  <c r="H14" i="84"/>
  <c r="F14" i="84"/>
  <c r="F28" i="84"/>
  <c r="F48" i="84"/>
  <c r="E14" i="84"/>
  <c r="D14" i="84"/>
  <c r="J13" i="84"/>
  <c r="J12" i="84"/>
  <c r="H15" i="83"/>
  <c r="I15" i="83"/>
  <c r="K12" i="84"/>
  <c r="J11" i="84"/>
  <c r="J9" i="84"/>
  <c r="J10" i="84"/>
  <c r="J14" i="84"/>
  <c r="J24" i="84"/>
  <c r="J28" i="84"/>
  <c r="J48" i="84"/>
  <c r="H14" i="83"/>
  <c r="I14" i="83"/>
  <c r="K11" i="84"/>
  <c r="H13" i="83"/>
  <c r="I13" i="83"/>
  <c r="K10" i="84"/>
  <c r="H12" i="83"/>
  <c r="I12" i="83"/>
  <c r="K9" i="84"/>
  <c r="A9" i="84"/>
  <c r="A10" i="84"/>
  <c r="A11" i="84"/>
  <c r="A12" i="84"/>
  <c r="A13" i="84"/>
  <c r="I29" i="83"/>
  <c r="H23" i="83"/>
  <c r="I23" i="83"/>
  <c r="K20" i="84"/>
  <c r="L20" i="84"/>
  <c r="D28" i="84"/>
  <c r="D48" i="84"/>
  <c r="J46" i="84"/>
  <c r="F27" i="83"/>
  <c r="F17" i="83"/>
  <c r="F49" i="83"/>
  <c r="E28" i="84"/>
  <c r="E48" i="84"/>
  <c r="H28" i="84"/>
  <c r="H48" i="84"/>
  <c r="I28" i="84"/>
  <c r="I48" i="84"/>
  <c r="G49" i="83"/>
  <c r="G17" i="83"/>
  <c r="G20" i="83"/>
  <c r="F31" i="83"/>
  <c r="F51" i="83"/>
  <c r="G27" i="83"/>
  <c r="G31" i="83"/>
  <c r="G51" i="83"/>
  <c r="I82" i="65"/>
  <c r="I81" i="65"/>
  <c r="I80" i="65"/>
  <c r="I79" i="65"/>
  <c r="I78" i="65"/>
  <c r="I77" i="65"/>
  <c r="I83" i="65"/>
  <c r="I84" i="65"/>
  <c r="I85" i="65"/>
  <c r="I86" i="65"/>
  <c r="I87" i="65"/>
  <c r="I88" i="65"/>
  <c r="D32" i="57"/>
  <c r="E17" i="57"/>
  <c r="D17" i="57"/>
  <c r="C17" i="57" s="1"/>
  <c r="E16" i="57"/>
  <c r="D16" i="57"/>
  <c r="C16" i="57" s="1"/>
  <c r="E15" i="57"/>
  <c r="D15" i="57"/>
  <c r="C15" i="57"/>
  <c r="E11" i="57"/>
  <c r="D11" i="57"/>
  <c r="E10" i="57"/>
  <c r="E12" i="57" s="1"/>
  <c r="D10" i="57"/>
  <c r="D12" i="57"/>
  <c r="E18" i="57"/>
  <c r="C11" i="57"/>
  <c r="E42" i="30"/>
  <c r="E22" i="30" s="1"/>
  <c r="E37" i="4"/>
  <c r="D37" i="4"/>
  <c r="C37" i="4"/>
  <c r="M82" i="4"/>
  <c r="M85" i="4"/>
  <c r="M84" i="4"/>
  <c r="M83" i="4"/>
  <c r="M81" i="4"/>
  <c r="M80" i="4"/>
  <c r="M79" i="4"/>
  <c r="M78" i="4"/>
  <c r="M77" i="4"/>
  <c r="M76" i="4"/>
  <c r="M75" i="4"/>
  <c r="M74" i="4"/>
  <c r="E103" i="4"/>
  <c r="E102" i="4"/>
  <c r="E101" i="4"/>
  <c r="E100" i="4"/>
  <c r="E99" i="4"/>
  <c r="M99" i="4" s="1"/>
  <c r="E97" i="4"/>
  <c r="E96" i="4"/>
  <c r="E95" i="4"/>
  <c r="E94" i="4"/>
  <c r="E93" i="4"/>
  <c r="L103" i="4"/>
  <c r="L102" i="4"/>
  <c r="L101" i="4"/>
  <c r="L100" i="4"/>
  <c r="L99" i="4"/>
  <c r="L98" i="4"/>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M98" i="4" s="1"/>
  <c r="I97" i="4"/>
  <c r="I105" i="4" s="1"/>
  <c r="I96" i="4"/>
  <c r="I95" i="4"/>
  <c r="I94" i="4"/>
  <c r="I93" i="4"/>
  <c r="H103" i="4"/>
  <c r="H102" i="4"/>
  <c r="H99" i="4"/>
  <c r="H101" i="4"/>
  <c r="H100" i="4"/>
  <c r="H98" i="4"/>
  <c r="H97" i="4"/>
  <c r="H96" i="4"/>
  <c r="H95" i="4"/>
  <c r="H94" i="4"/>
  <c r="H93" i="4"/>
  <c r="G97" i="4"/>
  <c r="G101" i="4"/>
  <c r="G103" i="4"/>
  <c r="G102" i="4"/>
  <c r="G100" i="4"/>
  <c r="G157" i="4" s="1"/>
  <c r="G99" i="4"/>
  <c r="G98" i="4"/>
  <c r="G96" i="4"/>
  <c r="G95" i="4"/>
  <c r="G94" i="4"/>
  <c r="G93" i="4"/>
  <c r="F103" i="4"/>
  <c r="F102" i="4"/>
  <c r="F101" i="4"/>
  <c r="F100" i="4"/>
  <c r="F99" i="4"/>
  <c r="F98" i="4"/>
  <c r="F97" i="4"/>
  <c r="F96" i="4"/>
  <c r="M96" i="4"/>
  <c r="F95" i="4"/>
  <c r="F94" i="4"/>
  <c r="F93" i="4"/>
  <c r="E98" i="4"/>
  <c r="D104" i="4"/>
  <c r="D103" i="4"/>
  <c r="D102" i="4"/>
  <c r="D101" i="4"/>
  <c r="D158" i="4" s="1"/>
  <c r="D100" i="4"/>
  <c r="D99" i="4"/>
  <c r="D98" i="4"/>
  <c r="D97" i="4"/>
  <c r="D96" i="4"/>
  <c r="D95" i="4"/>
  <c r="M95" i="4" s="1"/>
  <c r="D94" i="4"/>
  <c r="D105" i="4" s="1"/>
  <c r="D93" i="4"/>
  <c r="C97" i="4"/>
  <c r="C101" i="4"/>
  <c r="M101" i="4" s="1"/>
  <c r="C104" i="4"/>
  <c r="C103" i="4"/>
  <c r="C102" i="4"/>
  <c r="M102" i="4" s="1"/>
  <c r="C100" i="4"/>
  <c r="M100" i="4" s="1"/>
  <c r="C99" i="4"/>
  <c r="C98" i="4"/>
  <c r="C96" i="4"/>
  <c r="C95" i="4"/>
  <c r="C94" i="4"/>
  <c r="C93" i="4"/>
  <c r="M93" i="4" s="1"/>
  <c r="L142" i="4"/>
  <c r="L141" i="4"/>
  <c r="L140" i="4"/>
  <c r="L139" i="4"/>
  <c r="L138" i="4"/>
  <c r="L137" i="4"/>
  <c r="L136" i="4"/>
  <c r="L135" i="4"/>
  <c r="L154" i="4" s="1"/>
  <c r="L134" i="4"/>
  <c r="L133" i="4"/>
  <c r="L132" i="4"/>
  <c r="L131" i="4"/>
  <c r="L143" i="4" s="1"/>
  <c r="L187" i="4" s="1"/>
  <c r="K142" i="4"/>
  <c r="K141" i="4"/>
  <c r="K140" i="4"/>
  <c r="K139" i="4"/>
  <c r="K138" i="4"/>
  <c r="K137" i="4"/>
  <c r="K136" i="4"/>
  <c r="K135" i="4"/>
  <c r="K154" i="4" s="1"/>
  <c r="K134" i="4"/>
  <c r="K133" i="4"/>
  <c r="K132" i="4"/>
  <c r="K131" i="4"/>
  <c r="K143" i="4" s="1"/>
  <c r="K187" i="4" s="1"/>
  <c r="J139" i="4"/>
  <c r="J158" i="4" s="1"/>
  <c r="J142" i="4"/>
  <c r="J161" i="4" s="1"/>
  <c r="J141" i="4"/>
  <c r="J160" i="4" s="1"/>
  <c r="J140" i="4"/>
  <c r="J138" i="4"/>
  <c r="J137" i="4"/>
  <c r="J136" i="4"/>
  <c r="J135" i="4"/>
  <c r="J134" i="4"/>
  <c r="J133" i="4"/>
  <c r="J143" i="4" s="1"/>
  <c r="J187" i="4" s="1"/>
  <c r="J132" i="4"/>
  <c r="J131" i="4"/>
  <c r="J150" i="4" s="1"/>
  <c r="I142" i="4"/>
  <c r="I141" i="4"/>
  <c r="I140" i="4"/>
  <c r="I139" i="4"/>
  <c r="I138" i="4"/>
  <c r="I157" i="4" s="1"/>
  <c r="I137" i="4"/>
  <c r="I156" i="4" s="1"/>
  <c r="I136" i="4"/>
  <c r="I135" i="4"/>
  <c r="I134" i="4"/>
  <c r="I133" i="4"/>
  <c r="I132" i="4"/>
  <c r="I143" i="4" s="1"/>
  <c r="I187" i="4" s="1"/>
  <c r="I131" i="4"/>
  <c r="H142" i="4"/>
  <c r="H141" i="4"/>
  <c r="H140" i="4"/>
  <c r="H139" i="4"/>
  <c r="H158" i="4" s="1"/>
  <c r="H138" i="4"/>
  <c r="H157" i="4" s="1"/>
  <c r="H137" i="4"/>
  <c r="H136" i="4"/>
  <c r="H135" i="4"/>
  <c r="H134" i="4"/>
  <c r="H153" i="4"/>
  <c r="H133" i="4"/>
  <c r="H132" i="4"/>
  <c r="H143" i="4"/>
  <c r="H187" i="4" s="1"/>
  <c r="H131" i="4"/>
  <c r="G141" i="4"/>
  <c r="G142" i="4"/>
  <c r="G140" i="4"/>
  <c r="G139" i="4"/>
  <c r="G138" i="4"/>
  <c r="G137" i="4"/>
  <c r="G136" i="4"/>
  <c r="G135" i="4"/>
  <c r="G134" i="4"/>
  <c r="G133" i="4"/>
  <c r="G152" i="4" s="1"/>
  <c r="G132" i="4"/>
  <c r="G131" i="4"/>
  <c r="G143" i="4"/>
  <c r="G187" i="4" s="1"/>
  <c r="D138" i="4"/>
  <c r="D142" i="4"/>
  <c r="E141" i="4"/>
  <c r="E142" i="4"/>
  <c r="E140" i="4"/>
  <c r="E139" i="4"/>
  <c r="E158" i="4" s="1"/>
  <c r="E138" i="4"/>
  <c r="M138" i="4" s="1"/>
  <c r="E137" i="4"/>
  <c r="E156" i="4" s="1"/>
  <c r="E136" i="4"/>
  <c r="E135" i="4"/>
  <c r="E134" i="4"/>
  <c r="F138" i="4"/>
  <c r="F142" i="4"/>
  <c r="F141" i="4"/>
  <c r="M141" i="4" s="1"/>
  <c r="F140" i="4"/>
  <c r="F139" i="4"/>
  <c r="F158" i="4" s="1"/>
  <c r="F137" i="4"/>
  <c r="F136" i="4"/>
  <c r="F135" i="4"/>
  <c r="F134" i="4"/>
  <c r="F133" i="4"/>
  <c r="M133" i="4" s="1"/>
  <c r="F132" i="4"/>
  <c r="F143" i="4" s="1"/>
  <c r="F187" i="4" s="1"/>
  <c r="F191" i="4" s="1"/>
  <c r="F131" i="4"/>
  <c r="E133" i="4"/>
  <c r="E152" i="4"/>
  <c r="E132" i="4"/>
  <c r="E131" i="4"/>
  <c r="E143" i="4" s="1"/>
  <c r="E187" i="4" s="1"/>
  <c r="E191" i="4" s="1"/>
  <c r="D136" i="4"/>
  <c r="D141" i="4"/>
  <c r="D140" i="4"/>
  <c r="D139" i="4"/>
  <c r="M139" i="4" s="1"/>
  <c r="D137" i="4"/>
  <c r="D135" i="4"/>
  <c r="D143" i="4" s="1"/>
  <c r="D187" i="4" s="1"/>
  <c r="D134" i="4"/>
  <c r="D133" i="4"/>
  <c r="D132" i="4"/>
  <c r="D131" i="4"/>
  <c r="C135" i="4"/>
  <c r="M135" i="4" s="1"/>
  <c r="C140" i="4"/>
  <c r="M140" i="4" s="1"/>
  <c r="C142" i="4"/>
  <c r="M142" i="4" s="1"/>
  <c r="C141" i="4"/>
  <c r="C139" i="4"/>
  <c r="C138" i="4"/>
  <c r="C137" i="4"/>
  <c r="C136" i="4"/>
  <c r="M136" i="4" s="1"/>
  <c r="C134" i="4"/>
  <c r="C133" i="4"/>
  <c r="C132" i="4"/>
  <c r="M132" i="4"/>
  <c r="C131" i="4"/>
  <c r="M131" i="4" s="1"/>
  <c r="M134" i="4"/>
  <c r="M124" i="4"/>
  <c r="M123" i="4"/>
  <c r="M122" i="4"/>
  <c r="M121" i="4"/>
  <c r="M120" i="4"/>
  <c r="M119" i="4"/>
  <c r="M118" i="4"/>
  <c r="M117" i="4"/>
  <c r="M116" i="4"/>
  <c r="M115" i="4"/>
  <c r="M114" i="4"/>
  <c r="M113" i="4"/>
  <c r="M112" i="4"/>
  <c r="J43" i="82"/>
  <c r="J41" i="82"/>
  <c r="J40" i="82"/>
  <c r="J26" i="82"/>
  <c r="J10" i="82"/>
  <c r="J8" i="82"/>
  <c r="H65" i="72"/>
  <c r="L33" i="82" s="1"/>
  <c r="I50" i="72"/>
  <c r="L34" i="82" s="1"/>
  <c r="C26" i="72"/>
  <c r="L44" i="82"/>
  <c r="A26" i="72"/>
  <c r="J44" i="82"/>
  <c r="C24" i="72"/>
  <c r="L43" i="82" s="1"/>
  <c r="C22" i="72"/>
  <c r="L40" i="82" s="1"/>
  <c r="C20" i="72"/>
  <c r="L28" i="82"/>
  <c r="L42" i="82"/>
  <c r="C18" i="72"/>
  <c r="L27" i="82"/>
  <c r="A18" i="72"/>
  <c r="A20" i="72"/>
  <c r="J28" i="82"/>
  <c r="C16" i="72"/>
  <c r="L41" i="82"/>
  <c r="C14" i="72"/>
  <c r="L11" i="82" s="1"/>
  <c r="C12" i="72"/>
  <c r="L10" i="82" s="1"/>
  <c r="C10" i="72"/>
  <c r="L9" i="82"/>
  <c r="A10" i="72"/>
  <c r="A14" i="72"/>
  <c r="J11" i="82"/>
  <c r="C8" i="72"/>
  <c r="L8" i="82" s="1"/>
  <c r="L21" i="82"/>
  <c r="A9" i="82"/>
  <c r="A11" i="82"/>
  <c r="A15" i="82"/>
  <c r="I63" i="1"/>
  <c r="J9" i="82"/>
  <c r="J27" i="82"/>
  <c r="A16" i="82"/>
  <c r="A17" i="82"/>
  <c r="A18" i="82"/>
  <c r="A19" i="82"/>
  <c r="I64" i="1"/>
  <c r="J21" i="82"/>
  <c r="J12" i="82"/>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E82" i="61"/>
  <c r="N75" i="61"/>
  <c r="J75" i="61"/>
  <c r="M75" i="61" s="1"/>
  <c r="G75" i="61"/>
  <c r="I75" i="61"/>
  <c r="L21" i="46"/>
  <c r="D84" i="46" s="1"/>
  <c r="H84" i="46" s="1"/>
  <c r="L20" i="46"/>
  <c r="L19" i="46"/>
  <c r="D82" i="46" s="1"/>
  <c r="L18" i="46"/>
  <c r="K18" i="46" s="1"/>
  <c r="C81" i="46" s="1"/>
  <c r="L17" i="46"/>
  <c r="L16" i="46"/>
  <c r="K16" i="46" s="1"/>
  <c r="C79" i="46" s="1"/>
  <c r="L15" i="46"/>
  <c r="D78" i="46" s="1"/>
  <c r="H78" i="46" s="1"/>
  <c r="L14" i="46"/>
  <c r="L13" i="46"/>
  <c r="D76" i="46" s="1"/>
  <c r="L12" i="46"/>
  <c r="K12" i="46" s="1"/>
  <c r="C75" i="46" s="1"/>
  <c r="L22" i="46"/>
  <c r="D85" i="46" s="1"/>
  <c r="H85" i="46" s="1"/>
  <c r="L23" i="46"/>
  <c r="D86" i="46" s="1"/>
  <c r="H86" i="46" s="1"/>
  <c r="L24" i="46"/>
  <c r="L25" i="46"/>
  <c r="L26" i="46"/>
  <c r="L27" i="46"/>
  <c r="L28" i="46"/>
  <c r="K28" i="46"/>
  <c r="C91" i="46" s="1"/>
  <c r="L29" i="46"/>
  <c r="D92" i="46" s="1"/>
  <c r="H92" i="46" s="1"/>
  <c r="L30" i="46"/>
  <c r="L31" i="46"/>
  <c r="L32" i="46"/>
  <c r="D95" i="46" s="1"/>
  <c r="L33" i="46"/>
  <c r="L34" i="46"/>
  <c r="D97" i="46" s="1"/>
  <c r="L35" i="46"/>
  <c r="D98" i="46" s="1"/>
  <c r="H98" i="46" s="1"/>
  <c r="L36" i="46"/>
  <c r="D99" i="46" s="1"/>
  <c r="L37" i="46"/>
  <c r="D100" i="46" s="1"/>
  <c r="H100" i="46" s="1"/>
  <c r="L38" i="46"/>
  <c r="L39" i="46"/>
  <c r="K39" i="46" s="1"/>
  <c r="C102" i="46" s="1"/>
  <c r="L40" i="46"/>
  <c r="D103" i="46" s="1"/>
  <c r="F8" i="42"/>
  <c r="E21" i="32"/>
  <c r="D53" i="2"/>
  <c r="D54" i="2" s="1"/>
  <c r="A70" i="15"/>
  <c r="A71" i="15"/>
  <c r="A72" i="15"/>
  <c r="A75" i="15"/>
  <c r="E40" i="56"/>
  <c r="E42" i="56" s="1"/>
  <c r="F36" i="56"/>
  <c r="I28" i="53"/>
  <c r="H28" i="53"/>
  <c r="G28" i="53"/>
  <c r="F28" i="53"/>
  <c r="E130" i="53"/>
  <c r="D130" i="53"/>
  <c r="C130" i="53"/>
  <c r="I43" i="46"/>
  <c r="E43" i="46"/>
  <c r="D43" i="46"/>
  <c r="C11" i="46"/>
  <c r="C43" i="46" s="1"/>
  <c r="F135" i="15"/>
  <c r="G10" i="2"/>
  <c r="I34" i="44"/>
  <c r="H34" i="44"/>
  <c r="E155" i="61"/>
  <c r="L46" i="61"/>
  <c r="H46" i="61"/>
  <c r="E46" i="61"/>
  <c r="L37" i="61"/>
  <c r="H37" i="61"/>
  <c r="E8" i="61"/>
  <c r="L8" i="61"/>
  <c r="H8" i="61"/>
  <c r="E239" i="61"/>
  <c r="E195" i="61"/>
  <c r="E190" i="61"/>
  <c r="E184" i="61"/>
  <c r="E71" i="26"/>
  <c r="F71" i="26"/>
  <c r="E64" i="26"/>
  <c r="G11" i="2" s="1"/>
  <c r="G13" i="2" s="1"/>
  <c r="G14" i="2" s="1"/>
  <c r="I58" i="46"/>
  <c r="E58" i="46"/>
  <c r="E60" i="46" s="1"/>
  <c r="D58" i="46"/>
  <c r="G76" i="48"/>
  <c r="H76" i="48" s="1"/>
  <c r="J385" i="49"/>
  <c r="H84" i="64"/>
  <c r="P55" i="48"/>
  <c r="I37" i="79"/>
  <c r="G37" i="79"/>
  <c r="F69" i="22"/>
  <c r="F63" i="22"/>
  <c r="F23" i="22"/>
  <c r="E24" i="54"/>
  <c r="D24" i="54"/>
  <c r="E155" i="49"/>
  <c r="G46" i="49"/>
  <c r="F46" i="49"/>
  <c r="E16" i="71" s="1"/>
  <c r="E46" i="49"/>
  <c r="D46" i="49"/>
  <c r="I26" i="49"/>
  <c r="E13" i="71"/>
  <c r="H26" i="49"/>
  <c r="E12" i="71" s="1"/>
  <c r="G26" i="49"/>
  <c r="F26" i="49"/>
  <c r="E26" i="49"/>
  <c r="F35" i="21"/>
  <c r="E35" i="21"/>
  <c r="D35" i="21"/>
  <c r="G34" i="21"/>
  <c r="K22" i="1"/>
  <c r="G33" i="21"/>
  <c r="G35" i="21"/>
  <c r="J19" i="8" s="1"/>
  <c r="N24" i="21"/>
  <c r="N12" i="21"/>
  <c r="C40" i="56"/>
  <c r="C42" i="56"/>
  <c r="E26" i="56"/>
  <c r="E12" i="56"/>
  <c r="E17" i="56" s="1"/>
  <c r="C26" i="56"/>
  <c r="F26" i="56"/>
  <c r="C12" i="56"/>
  <c r="C17" i="56"/>
  <c r="D66" i="65"/>
  <c r="B45" i="53"/>
  <c r="F72" i="15"/>
  <c r="I131" i="15"/>
  <c r="N190" i="61"/>
  <c r="M190" i="61"/>
  <c r="L190" i="61"/>
  <c r="J190" i="61"/>
  <c r="I190" i="61"/>
  <c r="H190" i="61"/>
  <c r="G190" i="61"/>
  <c r="L239" i="61"/>
  <c r="N236" i="61"/>
  <c r="N235" i="61"/>
  <c r="N234" i="61"/>
  <c r="N233" i="61"/>
  <c r="N232" i="61"/>
  <c r="J236" i="61"/>
  <c r="M236" i="61" s="1"/>
  <c r="M239" i="61" s="1"/>
  <c r="J235" i="61"/>
  <c r="M235" i="61"/>
  <c r="J234" i="61"/>
  <c r="M234" i="61"/>
  <c r="J233" i="61"/>
  <c r="M233" i="61"/>
  <c r="J232" i="61"/>
  <c r="M232" i="61"/>
  <c r="H227" i="61"/>
  <c r="N100" i="61"/>
  <c r="N99" i="61"/>
  <c r="N98" i="61"/>
  <c r="N97" i="61"/>
  <c r="N96" i="61"/>
  <c r="N95" i="61"/>
  <c r="N93" i="61"/>
  <c r="N92" i="61"/>
  <c r="N91" i="61"/>
  <c r="N90" i="61"/>
  <c r="N89" i="61"/>
  <c r="N88" i="61"/>
  <c r="N87" i="61"/>
  <c r="N86" i="61"/>
  <c r="N85" i="61"/>
  <c r="J100" i="61"/>
  <c r="M100" i="61" s="1"/>
  <c r="J99" i="61"/>
  <c r="M99" i="61" s="1"/>
  <c r="J98" i="61"/>
  <c r="M98" i="61" s="1"/>
  <c r="J97" i="61"/>
  <c r="M97" i="61" s="1"/>
  <c r="J96" i="61"/>
  <c r="M96" i="61" s="1"/>
  <c r="J95" i="61"/>
  <c r="M95" i="61"/>
  <c r="J94" i="61"/>
  <c r="M94" i="61" s="1"/>
  <c r="J93" i="61"/>
  <c r="M93" i="61" s="1"/>
  <c r="J92" i="61"/>
  <c r="M92" i="61" s="1"/>
  <c r="J91" i="61"/>
  <c r="M91" i="61" s="1"/>
  <c r="J90" i="61"/>
  <c r="M90" i="61" s="1"/>
  <c r="J89" i="61"/>
  <c r="M89" i="61" s="1"/>
  <c r="J88" i="61"/>
  <c r="M88" i="61" s="1"/>
  <c r="J87" i="61"/>
  <c r="M87" i="61" s="1"/>
  <c r="J86" i="61"/>
  <c r="M86" i="61" s="1"/>
  <c r="J85" i="61"/>
  <c r="M85" i="61" s="1"/>
  <c r="N177" i="61"/>
  <c r="N176" i="61"/>
  <c r="N175" i="61"/>
  <c r="N174" i="61"/>
  <c r="N173" i="61"/>
  <c r="N172" i="61"/>
  <c r="N171" i="61"/>
  <c r="N170" i="61"/>
  <c r="N169" i="61"/>
  <c r="N168" i="61"/>
  <c r="N167" i="61"/>
  <c r="N166" i="61"/>
  <c r="N165" i="61"/>
  <c r="N164" i="61"/>
  <c r="N163" i="61"/>
  <c r="N162" i="61"/>
  <c r="N161" i="61"/>
  <c r="N160" i="61"/>
  <c r="N159" i="61"/>
  <c r="N158" i="61"/>
  <c r="J177" i="61"/>
  <c r="M177" i="61" s="1"/>
  <c r="J176" i="61"/>
  <c r="M176" i="61"/>
  <c r="J175" i="61"/>
  <c r="M175" i="61"/>
  <c r="J174" i="61"/>
  <c r="M174" i="61"/>
  <c r="J173" i="61"/>
  <c r="M173" i="61" s="1"/>
  <c r="J171" i="61"/>
  <c r="M171" i="61"/>
  <c r="J170" i="61"/>
  <c r="M170" i="61" s="1"/>
  <c r="J169" i="61"/>
  <c r="M169" i="61" s="1"/>
  <c r="J168" i="61"/>
  <c r="M168" i="61" s="1"/>
  <c r="J167" i="61"/>
  <c r="M167" i="61" s="1"/>
  <c r="J166" i="61"/>
  <c r="M166" i="61" s="1"/>
  <c r="J165" i="61"/>
  <c r="M165" i="61"/>
  <c r="J164" i="61"/>
  <c r="M164" i="61" s="1"/>
  <c r="J163" i="61"/>
  <c r="M163" i="61" s="1"/>
  <c r="J162" i="61"/>
  <c r="M162" i="61"/>
  <c r="J161" i="61"/>
  <c r="M161" i="61"/>
  <c r="J160" i="61"/>
  <c r="M160" i="61" s="1"/>
  <c r="J159" i="61"/>
  <c r="M159" i="61"/>
  <c r="J158" i="61"/>
  <c r="M158" i="61" s="1"/>
  <c r="G177" i="61"/>
  <c r="I177" i="61" s="1"/>
  <c r="G176" i="61"/>
  <c r="I176" i="61" s="1"/>
  <c r="G175" i="61"/>
  <c r="I175" i="61" s="1"/>
  <c r="G174" i="61"/>
  <c r="I174" i="61" s="1"/>
  <c r="G173" i="61"/>
  <c r="I173" i="61"/>
  <c r="G172" i="61"/>
  <c r="I172" i="61" s="1"/>
  <c r="G170" i="61"/>
  <c r="I170" i="61"/>
  <c r="G169" i="61"/>
  <c r="I169" i="61"/>
  <c r="G168" i="61"/>
  <c r="I168" i="61" s="1"/>
  <c r="G167" i="61"/>
  <c r="I167" i="61" s="1"/>
  <c r="G166" i="61"/>
  <c r="I166" i="61"/>
  <c r="G165" i="61"/>
  <c r="I165" i="61" s="1"/>
  <c r="G164" i="61"/>
  <c r="H164" i="61" s="1"/>
  <c r="G163" i="61"/>
  <c r="I163" i="61" s="1"/>
  <c r="G162" i="61"/>
  <c r="I162" i="61" s="1"/>
  <c r="G161" i="61"/>
  <c r="I161" i="61"/>
  <c r="G160" i="61"/>
  <c r="I160" i="61"/>
  <c r="G159" i="61"/>
  <c r="I159" i="61" s="1"/>
  <c r="G158" i="61"/>
  <c r="H158" i="61"/>
  <c r="N134" i="61"/>
  <c r="N133" i="61"/>
  <c r="N132" i="61"/>
  <c r="N131" i="61"/>
  <c r="N130" i="61"/>
  <c r="N129" i="61"/>
  <c r="N128" i="61"/>
  <c r="N127" i="61"/>
  <c r="N126" i="61"/>
  <c r="N125" i="61"/>
  <c r="N124" i="61"/>
  <c r="N123" i="61"/>
  <c r="N122" i="61"/>
  <c r="N119" i="61"/>
  <c r="N118" i="61"/>
  <c r="N117" i="61"/>
  <c r="N116" i="61"/>
  <c r="N115" i="61"/>
  <c r="N114" i="61"/>
  <c r="N113" i="61"/>
  <c r="N112" i="61"/>
  <c r="J134" i="61"/>
  <c r="M134" i="61" s="1"/>
  <c r="J133" i="61"/>
  <c r="M133" i="61" s="1"/>
  <c r="J132" i="61"/>
  <c r="M132" i="61" s="1"/>
  <c r="J131" i="61"/>
  <c r="M131" i="61" s="1"/>
  <c r="J130" i="61"/>
  <c r="M130" i="61" s="1"/>
  <c r="J129" i="61"/>
  <c r="M129" i="61" s="1"/>
  <c r="J128" i="61"/>
  <c r="M128" i="61" s="1"/>
  <c r="J127" i="61"/>
  <c r="M127" i="61" s="1"/>
  <c r="J126" i="61"/>
  <c r="M126" i="61" s="1"/>
  <c r="J125" i="61"/>
  <c r="M125" i="61" s="1"/>
  <c r="J124" i="61"/>
  <c r="M124" i="61" s="1"/>
  <c r="J123" i="61"/>
  <c r="M123" i="61" s="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G134" i="61"/>
  <c r="I134" i="61" s="1"/>
  <c r="G133" i="61"/>
  <c r="I133" i="61" s="1"/>
  <c r="G131" i="61"/>
  <c r="I131" i="61" s="1"/>
  <c r="G130" i="61"/>
  <c r="I130" i="61" s="1"/>
  <c r="G129" i="61"/>
  <c r="I129" i="61" s="1"/>
  <c r="G128" i="61"/>
  <c r="I128" i="61" s="1"/>
  <c r="G127" i="61"/>
  <c r="I127" i="61" s="1"/>
  <c r="G126" i="61"/>
  <c r="I126" i="61" s="1"/>
  <c r="G125" i="61"/>
  <c r="I125" i="61" s="1"/>
  <c r="G124" i="61"/>
  <c r="I124" i="61" s="1"/>
  <c r="G123" i="61"/>
  <c r="I123" i="61" s="1"/>
  <c r="G122" i="61"/>
  <c r="I122" i="61" s="1"/>
  <c r="G119" i="61"/>
  <c r="I119" i="61" s="1"/>
  <c r="G118" i="61"/>
  <c r="I118" i="61" s="1"/>
  <c r="G117" i="61"/>
  <c r="I117" i="61" s="1"/>
  <c r="G116" i="61"/>
  <c r="I116" i="61" s="1"/>
  <c r="G115" i="61"/>
  <c r="I115" i="61" s="1"/>
  <c r="G114" i="61"/>
  <c r="I114" i="61" s="1"/>
  <c r="G113" i="61"/>
  <c r="I113" i="61" s="1"/>
  <c r="G112" i="61"/>
  <c r="I112" i="61" s="1"/>
  <c r="G111" i="61"/>
  <c r="I111" i="61" s="1"/>
  <c r="G110" i="61"/>
  <c r="I110" i="61" s="1"/>
  <c r="G109" i="61"/>
  <c r="I109" i="61" s="1"/>
  <c r="G108" i="61"/>
  <c r="I108" i="61"/>
  <c r="G107" i="61"/>
  <c r="I107" i="61" s="1"/>
  <c r="G106" i="61"/>
  <c r="I106" i="61" s="1"/>
  <c r="G105" i="61"/>
  <c r="I105" i="61" s="1"/>
  <c r="G104" i="61"/>
  <c r="I104" i="61" s="1"/>
  <c r="G103" i="61"/>
  <c r="I103" i="61" s="1"/>
  <c r="G102" i="61"/>
  <c r="I102" i="61" s="1"/>
  <c r="G101" i="61"/>
  <c r="I101" i="61" s="1"/>
  <c r="G100" i="61"/>
  <c r="I100" i="61" s="1"/>
  <c r="G99" i="61"/>
  <c r="I99" i="61" s="1"/>
  <c r="G98" i="61"/>
  <c r="I98" i="61" s="1"/>
  <c r="G97" i="61"/>
  <c r="I97" i="61" s="1"/>
  <c r="G96" i="61"/>
  <c r="I96" i="61" s="1"/>
  <c r="G95" i="61"/>
  <c r="I95" i="61" s="1"/>
  <c r="G93" i="61"/>
  <c r="G92" i="61"/>
  <c r="I92" i="61" s="1"/>
  <c r="G91" i="61"/>
  <c r="I91" i="61" s="1"/>
  <c r="G90" i="61"/>
  <c r="I90" i="61" s="1"/>
  <c r="G89" i="61"/>
  <c r="I89" i="61" s="1"/>
  <c r="G88" i="61"/>
  <c r="I88" i="61" s="1"/>
  <c r="G87" i="61"/>
  <c r="I87" i="61" s="1"/>
  <c r="G86" i="61"/>
  <c r="I86" i="61" s="1"/>
  <c r="G85" i="61"/>
  <c r="I85" i="61" s="1"/>
  <c r="N72" i="61"/>
  <c r="N71" i="61"/>
  <c r="N70" i="61"/>
  <c r="N69" i="61"/>
  <c r="N68" i="61"/>
  <c r="J72" i="61"/>
  <c r="M72" i="61" s="1"/>
  <c r="J69" i="61"/>
  <c r="M69" i="61" s="1"/>
  <c r="J68" i="61"/>
  <c r="M68" i="61" s="1"/>
  <c r="J71" i="61"/>
  <c r="M71" i="61" s="1"/>
  <c r="N66" i="61"/>
  <c r="N65" i="61"/>
  <c r="N64" i="61"/>
  <c r="N63" i="61"/>
  <c r="N62" i="61"/>
  <c r="J66" i="61"/>
  <c r="M66" i="61" s="1"/>
  <c r="J65" i="61"/>
  <c r="M65" i="61" s="1"/>
  <c r="J64" i="61"/>
  <c r="M64" i="61" s="1"/>
  <c r="J63" i="61"/>
  <c r="M63" i="61" s="1"/>
  <c r="J62" i="61"/>
  <c r="M62" i="61" s="1"/>
  <c r="G132" i="61"/>
  <c r="I132" i="61" s="1"/>
  <c r="G62" i="61"/>
  <c r="N61" i="61"/>
  <c r="H61" i="61"/>
  <c r="G61" i="61"/>
  <c r="H60" i="61"/>
  <c r="G72" i="61"/>
  <c r="I72" i="61" s="1"/>
  <c r="G71" i="61"/>
  <c r="I71" i="61" s="1"/>
  <c r="G70" i="61"/>
  <c r="I70" i="61" s="1"/>
  <c r="G68" i="61"/>
  <c r="I68" i="61" s="1"/>
  <c r="G67" i="61"/>
  <c r="G66" i="61"/>
  <c r="I66" i="61" s="1"/>
  <c r="G65" i="61"/>
  <c r="I65" i="61" s="1"/>
  <c r="G64" i="61"/>
  <c r="I64" i="61" s="1"/>
  <c r="G63" i="61"/>
  <c r="I63" i="61" s="1"/>
  <c r="J60" i="61"/>
  <c r="M60" i="61" s="1"/>
  <c r="N52" i="61"/>
  <c r="N51" i="61"/>
  <c r="N50" i="61"/>
  <c r="N49" i="61"/>
  <c r="J49" i="61"/>
  <c r="M49" i="61" s="1"/>
  <c r="G52" i="61"/>
  <c r="I52" i="61" s="1"/>
  <c r="G51" i="61"/>
  <c r="I51" i="61"/>
  <c r="G50" i="61"/>
  <c r="I50" i="61" s="1"/>
  <c r="G49" i="61"/>
  <c r="I49" i="61" s="1"/>
  <c r="N141" i="61"/>
  <c r="G141" i="61"/>
  <c r="I141" i="61"/>
  <c r="J141" i="61"/>
  <c r="M141" i="61" s="1"/>
  <c r="N140" i="61"/>
  <c r="N139" i="61"/>
  <c r="N137" i="61"/>
  <c r="N136" i="61"/>
  <c r="N135" i="61"/>
  <c r="H138" i="61"/>
  <c r="N138" i="61" s="1"/>
  <c r="J135" i="61"/>
  <c r="M135" i="61" s="1"/>
  <c r="J136" i="61"/>
  <c r="M136" i="61" s="1"/>
  <c r="J137" i="61"/>
  <c r="M137" i="61" s="1"/>
  <c r="J138" i="61"/>
  <c r="M138" i="61" s="1"/>
  <c r="J139" i="61"/>
  <c r="M139" i="61" s="1"/>
  <c r="J140" i="61"/>
  <c r="M140" i="61" s="1"/>
  <c r="G135" i="61"/>
  <c r="I135" i="61" s="1"/>
  <c r="G136" i="61"/>
  <c r="I136" i="61" s="1"/>
  <c r="G137" i="61"/>
  <c r="I137" i="61" s="1"/>
  <c r="G139" i="61"/>
  <c r="I139" i="61" s="1"/>
  <c r="G140" i="61"/>
  <c r="H140" i="61" s="1"/>
  <c r="I140" i="61" s="1"/>
  <c r="L184" i="61"/>
  <c r="H58" i="61"/>
  <c r="G58" i="61" s="1"/>
  <c r="J57" i="61"/>
  <c r="M57" i="61"/>
  <c r="G57" i="61"/>
  <c r="I57" i="61"/>
  <c r="N27" i="61"/>
  <c r="N26" i="61"/>
  <c r="N25" i="61"/>
  <c r="N24" i="61"/>
  <c r="N23" i="61"/>
  <c r="N22" i="61"/>
  <c r="N21" i="61"/>
  <c r="J27" i="61"/>
  <c r="M27" i="61" s="1"/>
  <c r="J26" i="61"/>
  <c r="M26" i="61" s="1"/>
  <c r="J25" i="61"/>
  <c r="M25" i="61" s="1"/>
  <c r="J24" i="61"/>
  <c r="M24" i="61" s="1"/>
  <c r="J23" i="61"/>
  <c r="M23" i="61" s="1"/>
  <c r="J22" i="61"/>
  <c r="M22" i="61" s="1"/>
  <c r="J21" i="61"/>
  <c r="M21" i="61" s="1"/>
  <c r="I27" i="61"/>
  <c r="G26" i="61"/>
  <c r="I26" i="61" s="1"/>
  <c r="G25" i="61"/>
  <c r="I25" i="61" s="1"/>
  <c r="G24" i="61"/>
  <c r="I24" i="61" s="1"/>
  <c r="G23" i="61"/>
  <c r="I23" i="61" s="1"/>
  <c r="G22" i="61"/>
  <c r="I22" i="61" s="1"/>
  <c r="G21" i="61"/>
  <c r="I21" i="61" s="1"/>
  <c r="N19" i="61"/>
  <c r="J19" i="61"/>
  <c r="M19" i="61" s="1"/>
  <c r="G19" i="61"/>
  <c r="I19" i="61" s="1"/>
  <c r="H236" i="61"/>
  <c r="H239" i="61" s="1"/>
  <c r="G236" i="61"/>
  <c r="G235" i="61"/>
  <c r="G234" i="61"/>
  <c r="I234" i="61"/>
  <c r="G233" i="61"/>
  <c r="I233" i="61"/>
  <c r="G232" i="61"/>
  <c r="I232" i="61"/>
  <c r="J213" i="61"/>
  <c r="M213" i="61"/>
  <c r="J212" i="61"/>
  <c r="M212" i="61" s="1"/>
  <c r="J211" i="61"/>
  <c r="M211" i="61" s="1"/>
  <c r="J210" i="61"/>
  <c r="M210" i="61" s="1"/>
  <c r="J209" i="61"/>
  <c r="M209" i="61"/>
  <c r="J208" i="61"/>
  <c r="M208" i="61" s="1"/>
  <c r="J207" i="61"/>
  <c r="M207" i="61" s="1"/>
  <c r="J206" i="61"/>
  <c r="M206" i="61" s="1"/>
  <c r="J205" i="61"/>
  <c r="M205" i="61"/>
  <c r="J204" i="61"/>
  <c r="M204" i="61" s="1"/>
  <c r="J203" i="61"/>
  <c r="M203" i="61" s="1"/>
  <c r="J202" i="61"/>
  <c r="M202" i="61" s="1"/>
  <c r="J201" i="61"/>
  <c r="M201" i="61"/>
  <c r="J200" i="61"/>
  <c r="M200" i="61" s="1"/>
  <c r="J199" i="61"/>
  <c r="M199" i="61" s="1"/>
  <c r="G213" i="61"/>
  <c r="I213" i="61" s="1"/>
  <c r="G212" i="61"/>
  <c r="I212" i="61"/>
  <c r="G211" i="61"/>
  <c r="I211" i="61" s="1"/>
  <c r="G210" i="61"/>
  <c r="I210" i="61" s="1"/>
  <c r="G209" i="61"/>
  <c r="I209" i="61" s="1"/>
  <c r="G208" i="61"/>
  <c r="I208" i="61"/>
  <c r="G207" i="61"/>
  <c r="I207" i="61" s="1"/>
  <c r="G206" i="61"/>
  <c r="I206" i="61" s="1"/>
  <c r="G205" i="61"/>
  <c r="I205" i="61" s="1"/>
  <c r="G204" i="61"/>
  <c r="I204" i="61"/>
  <c r="G203" i="61"/>
  <c r="I203" i="61" s="1"/>
  <c r="G202" i="61"/>
  <c r="I202" i="61" s="1"/>
  <c r="G201" i="61"/>
  <c r="I201" i="61" s="1"/>
  <c r="G200" i="61"/>
  <c r="G227" i="61" s="1"/>
  <c r="I200" i="61"/>
  <c r="G199" i="61"/>
  <c r="I199" i="61" s="1"/>
  <c r="G121" i="61"/>
  <c r="I121" i="61" s="1"/>
  <c r="G120" i="61"/>
  <c r="I120" i="61" s="1"/>
  <c r="N111" i="61"/>
  <c r="N110" i="61"/>
  <c r="N109" i="61"/>
  <c r="N108" i="61"/>
  <c r="N107" i="61"/>
  <c r="N106" i="61"/>
  <c r="N105" i="61"/>
  <c r="N104" i="61"/>
  <c r="N103" i="61"/>
  <c r="N102" i="61"/>
  <c r="J111" i="61"/>
  <c r="M111" i="61" s="1"/>
  <c r="J110" i="61"/>
  <c r="M110" i="61" s="1"/>
  <c r="J109" i="61"/>
  <c r="M109" i="61" s="1"/>
  <c r="J108" i="61"/>
  <c r="M108" i="61" s="1"/>
  <c r="J107" i="61"/>
  <c r="M107" i="61" s="1"/>
  <c r="J106" i="61"/>
  <c r="M106" i="61" s="1"/>
  <c r="J105" i="61"/>
  <c r="M105" i="61" s="1"/>
  <c r="J104" i="61"/>
  <c r="M104" i="61" s="1"/>
  <c r="J103" i="61"/>
  <c r="M103" i="61" s="1"/>
  <c r="J102" i="61"/>
  <c r="M102" i="61" s="1"/>
  <c r="N101" i="61"/>
  <c r="J101" i="61"/>
  <c r="M101" i="61" s="1"/>
  <c r="N67" i="61"/>
  <c r="N53" i="61"/>
  <c r="N20" i="61"/>
  <c r="N199" i="61"/>
  <c r="J18" i="61"/>
  <c r="M18" i="61" s="1"/>
  <c r="N212" i="61"/>
  <c r="N213" i="61"/>
  <c r="G12" i="61"/>
  <c r="I12" i="61"/>
  <c r="J73" i="61"/>
  <c r="M73" i="61" s="1"/>
  <c r="H74" i="61"/>
  <c r="G74" i="61" s="1"/>
  <c r="H73" i="61"/>
  <c r="G73" i="61" s="1"/>
  <c r="J74" i="61"/>
  <c r="M74" i="61" s="1"/>
  <c r="G69" i="61"/>
  <c r="I69" i="61" s="1"/>
  <c r="J70" i="61"/>
  <c r="M70" i="61" s="1"/>
  <c r="J67" i="61"/>
  <c r="M67" i="61" s="1"/>
  <c r="F39" i="56"/>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I442" i="49"/>
  <c r="E442" i="49"/>
  <c r="F442" i="49" s="1"/>
  <c r="I441" i="49"/>
  <c r="E441" i="49"/>
  <c r="F441" i="49" s="1"/>
  <c r="I440" i="49"/>
  <c r="E440" i="49"/>
  <c r="F440" i="49" s="1"/>
  <c r="I439" i="49"/>
  <c r="E439" i="49"/>
  <c r="F439" i="49" s="1"/>
  <c r="I438" i="49"/>
  <c r="E438" i="49"/>
  <c r="F438" i="49"/>
  <c r="I437" i="49"/>
  <c r="E437" i="49"/>
  <c r="F437" i="49"/>
  <c r="I436" i="49"/>
  <c r="E436" i="49"/>
  <c r="F436" i="49" s="1"/>
  <c r="I435" i="49"/>
  <c r="E435" i="49"/>
  <c r="F435" i="49"/>
  <c r="I434" i="49"/>
  <c r="E434" i="49"/>
  <c r="F434" i="49" s="1"/>
  <c r="I433" i="49"/>
  <c r="E433" i="49"/>
  <c r="F433" i="49" s="1"/>
  <c r="I432" i="49"/>
  <c r="E432" i="49"/>
  <c r="F432" i="49" s="1"/>
  <c r="I431" i="49"/>
  <c r="E431" i="49"/>
  <c r="F431" i="49" s="1"/>
  <c r="I430" i="49"/>
  <c r="E430" i="49"/>
  <c r="F430" i="49"/>
  <c r="I429" i="49"/>
  <c r="E429" i="49"/>
  <c r="F429" i="49"/>
  <c r="I428" i="49"/>
  <c r="E428" i="49"/>
  <c r="F428" i="49" s="1"/>
  <c r="I427" i="49"/>
  <c r="E427" i="49"/>
  <c r="F427" i="49"/>
  <c r="I426" i="49"/>
  <c r="E426" i="49"/>
  <c r="F426" i="49" s="1"/>
  <c r="I425" i="49"/>
  <c r="E425" i="49"/>
  <c r="F425" i="49" s="1"/>
  <c r="I424" i="49"/>
  <c r="E424" i="49"/>
  <c r="F424" i="49" s="1"/>
  <c r="I423" i="49"/>
  <c r="E423" i="49"/>
  <c r="F423" i="49" s="1"/>
  <c r="I422" i="49"/>
  <c r="E422" i="49"/>
  <c r="F422" i="49"/>
  <c r="I421" i="49"/>
  <c r="E421" i="49"/>
  <c r="F421" i="49"/>
  <c r="I420" i="49"/>
  <c r="E420" i="49"/>
  <c r="F420" i="49" s="1"/>
  <c r="I419" i="49"/>
  <c r="E419" i="49"/>
  <c r="F419" i="49"/>
  <c r="K417" i="49"/>
  <c r="J417" i="49"/>
  <c r="I417" i="49"/>
  <c r="H417" i="49"/>
  <c r="F417" i="49"/>
  <c r="E417" i="49"/>
  <c r="D417" i="49"/>
  <c r="K416" i="49"/>
  <c r="J416" i="49"/>
  <c r="I416" i="49"/>
  <c r="H416" i="49"/>
  <c r="F416" i="49"/>
  <c r="E416" i="49"/>
  <c r="D416" i="49"/>
  <c r="E35" i="11"/>
  <c r="F35" i="11"/>
  <c r="M45" i="48"/>
  <c r="G25" i="46"/>
  <c r="F104" i="8"/>
  <c r="F99" i="8"/>
  <c r="E12" i="66"/>
  <c r="E18" i="66"/>
  <c r="B145" i="21"/>
  <c r="M106" i="21"/>
  <c r="L106" i="21"/>
  <c r="K106" i="21"/>
  <c r="J106" i="21"/>
  <c r="I106" i="21"/>
  <c r="N106" i="21" s="1"/>
  <c r="H106" i="21"/>
  <c r="G106" i="21"/>
  <c r="F106" i="21"/>
  <c r="E106" i="21"/>
  <c r="D106" i="21"/>
  <c r="E45" i="21"/>
  <c r="F58" i="21"/>
  <c r="E44" i="21"/>
  <c r="A35" i="21"/>
  <c r="A44" i="21"/>
  <c r="A13" i="21"/>
  <c r="A14" i="21"/>
  <c r="A15" i="21"/>
  <c r="A16" i="21"/>
  <c r="A17" i="21"/>
  <c r="A18" i="21"/>
  <c r="A19" i="21"/>
  <c r="A20" i="21"/>
  <c r="A21" i="21"/>
  <c r="A22" i="21"/>
  <c r="A23" i="21"/>
  <c r="A24" i="21"/>
  <c r="E24" i="4"/>
  <c r="F24" i="4"/>
  <c r="G24" i="4"/>
  <c r="G24" i="64" s="1"/>
  <c r="C123" i="48" s="1"/>
  <c r="E123" i="48" s="1"/>
  <c r="H24" i="4"/>
  <c r="I24" i="4"/>
  <c r="I183" i="4" s="1"/>
  <c r="J24" i="4"/>
  <c r="K24" i="4"/>
  <c r="L24" i="4"/>
  <c r="L104" i="4"/>
  <c r="L161" i="4" s="1"/>
  <c r="K104" i="4"/>
  <c r="J104" i="4"/>
  <c r="H104" i="4"/>
  <c r="G104" i="4"/>
  <c r="D183" i="4"/>
  <c r="C183" i="4"/>
  <c r="J97" i="4"/>
  <c r="H54" i="4"/>
  <c r="F62" i="4"/>
  <c r="H53" i="4"/>
  <c r="F36" i="4"/>
  <c r="F35" i="4"/>
  <c r="F37" i="4"/>
  <c r="A13" i="4"/>
  <c r="A14" i="4"/>
  <c r="A15" i="4"/>
  <c r="A16" i="4"/>
  <c r="A17" i="4"/>
  <c r="A18" i="4"/>
  <c r="A19" i="4"/>
  <c r="A20" i="4"/>
  <c r="A21" i="4"/>
  <c r="A22" i="4"/>
  <c r="A23" i="4"/>
  <c r="A24" i="4"/>
  <c r="M12" i="4"/>
  <c r="M12" i="64"/>
  <c r="I150" i="4"/>
  <c r="G151" i="4"/>
  <c r="K151" i="4"/>
  <c r="G153" i="4"/>
  <c r="K153" i="4"/>
  <c r="G155" i="4"/>
  <c r="K157" i="4"/>
  <c r="I158" i="4"/>
  <c r="G159" i="4"/>
  <c r="I160" i="4"/>
  <c r="C151" i="4"/>
  <c r="C153" i="4"/>
  <c r="K161" i="4"/>
  <c r="G161" i="4"/>
  <c r="D153" i="4"/>
  <c r="L153" i="4"/>
  <c r="G158" i="4"/>
  <c r="C156" i="4"/>
  <c r="C160" i="4"/>
  <c r="F154" i="4"/>
  <c r="J154" i="4"/>
  <c r="D155" i="4"/>
  <c r="L155" i="4"/>
  <c r="F156" i="4"/>
  <c r="J156" i="4"/>
  <c r="D157" i="4"/>
  <c r="L157" i="4"/>
  <c r="L159" i="4"/>
  <c r="D161" i="4"/>
  <c r="I151" i="4"/>
  <c r="C152" i="4"/>
  <c r="K152" i="4"/>
  <c r="E153" i="4"/>
  <c r="I153" i="4"/>
  <c r="C154" i="4"/>
  <c r="E155" i="4"/>
  <c r="E159" i="4"/>
  <c r="I159" i="4"/>
  <c r="K160" i="4"/>
  <c r="K155" i="4"/>
  <c r="K159" i="4"/>
  <c r="F151" i="4"/>
  <c r="H152" i="4"/>
  <c r="J153" i="4"/>
  <c r="H154" i="4"/>
  <c r="J155" i="4"/>
  <c r="D156" i="4"/>
  <c r="L156" i="4"/>
  <c r="F157" i="4"/>
  <c r="J157" i="4"/>
  <c r="F159" i="4"/>
  <c r="H160" i="4"/>
  <c r="L160" i="4"/>
  <c r="F150" i="4"/>
  <c r="H150" i="4"/>
  <c r="B231" i="4"/>
  <c r="A25" i="4"/>
  <c r="K150" i="4"/>
  <c r="J319" i="49"/>
  <c r="A35" i="4"/>
  <c r="B223" i="4"/>
  <c r="A36" i="4"/>
  <c r="B224" i="4"/>
  <c r="A37" i="4"/>
  <c r="E44" i="4"/>
  <c r="A43" i="4"/>
  <c r="A44" i="4"/>
  <c r="A53" i="4"/>
  <c r="E43" i="4"/>
  <c r="C12" i="46"/>
  <c r="A54" i="4"/>
  <c r="G62" i="4"/>
  <c r="A57" i="4"/>
  <c r="G57" i="4"/>
  <c r="A58" i="4"/>
  <c r="A59" i="4"/>
  <c r="A62" i="4"/>
  <c r="A63" i="4"/>
  <c r="A64" i="4"/>
  <c r="A74" i="4"/>
  <c r="A75" i="4"/>
  <c r="A76" i="4"/>
  <c r="A77" i="4"/>
  <c r="A78" i="4"/>
  <c r="A79" i="4"/>
  <c r="A80" i="4"/>
  <c r="A81" i="4"/>
  <c r="A82" i="4"/>
  <c r="A83" i="4"/>
  <c r="A84" i="4"/>
  <c r="A85" i="4"/>
  <c r="A86" i="4"/>
  <c r="A93" i="4"/>
  <c r="A94" i="4"/>
  <c r="A95" i="4"/>
  <c r="A96" i="4"/>
  <c r="A97" i="4"/>
  <c r="A98" i="4"/>
  <c r="A99" i="4"/>
  <c r="A100" i="4"/>
  <c r="A101" i="4"/>
  <c r="A102" i="4"/>
  <c r="A103" i="4"/>
  <c r="A104" i="4"/>
  <c r="A105" i="4"/>
  <c r="A112" i="4"/>
  <c r="A113" i="4"/>
  <c r="A114" i="4"/>
  <c r="A115" i="4"/>
  <c r="A116" i="4"/>
  <c r="A117" i="4"/>
  <c r="A118" i="4"/>
  <c r="A119" i="4"/>
  <c r="A120" i="4"/>
  <c r="A121" i="4"/>
  <c r="A122" i="4"/>
  <c r="A123" i="4"/>
  <c r="A124" i="4"/>
  <c r="A131" i="4"/>
  <c r="A132" i="4"/>
  <c r="A133" i="4"/>
  <c r="A134" i="4"/>
  <c r="A135" i="4"/>
  <c r="A136" i="4"/>
  <c r="A137" i="4"/>
  <c r="A138" i="4"/>
  <c r="A139" i="4"/>
  <c r="A140" i="4"/>
  <c r="A141" i="4"/>
  <c r="A142" i="4"/>
  <c r="A143" i="4"/>
  <c r="G59" i="4"/>
  <c r="G64" i="4"/>
  <c r="B232" i="4"/>
  <c r="A150" i="4"/>
  <c r="A151" i="4"/>
  <c r="A152" i="4"/>
  <c r="A153" i="4"/>
  <c r="A154" i="4"/>
  <c r="A155" i="4"/>
  <c r="A156" i="4"/>
  <c r="A157" i="4"/>
  <c r="A158" i="4"/>
  <c r="A159" i="4"/>
  <c r="A160" i="4"/>
  <c r="A161" i="4"/>
  <c r="A162" i="4"/>
  <c r="A167" i="4"/>
  <c r="A168" i="4"/>
  <c r="A169" i="4"/>
  <c r="A170" i="4"/>
  <c r="A171" i="4"/>
  <c r="A172" i="4"/>
  <c r="A173" i="4"/>
  <c r="A174" i="4"/>
  <c r="A175" i="4"/>
  <c r="A176" i="4"/>
  <c r="A177" i="4"/>
  <c r="A178" i="4"/>
  <c r="A183" i="4"/>
  <c r="B235" i="4"/>
  <c r="A187" i="4"/>
  <c r="A191" i="4"/>
  <c r="B234" i="4"/>
  <c r="A198" i="4"/>
  <c r="B233" i="4"/>
  <c r="A199" i="4"/>
  <c r="A200" i="4"/>
  <c r="A201" i="4"/>
  <c r="A202" i="4"/>
  <c r="A203" i="4"/>
  <c r="A204" i="4"/>
  <c r="A205" i="4"/>
  <c r="A206" i="4"/>
  <c r="A207" i="4"/>
  <c r="A208" i="4"/>
  <c r="A209" i="4"/>
  <c r="A210" i="4"/>
  <c r="B236" i="4"/>
  <c r="C57" i="22"/>
  <c r="D19" i="71"/>
  <c r="D18" i="71"/>
  <c r="F46" i="22"/>
  <c r="F34" i="22"/>
  <c r="F49" i="22"/>
  <c r="G69" i="22"/>
  <c r="G63" i="22"/>
  <c r="G22" i="45"/>
  <c r="G20" i="45"/>
  <c r="K12" i="1" s="1"/>
  <c r="G19" i="45"/>
  <c r="G18" i="45"/>
  <c r="K130" i="1" s="1"/>
  <c r="J128" i="53"/>
  <c r="I128" i="53"/>
  <c r="K128" i="53" s="1"/>
  <c r="F128" i="53"/>
  <c r="J127" i="53"/>
  <c r="I127" i="53"/>
  <c r="K127" i="53" s="1"/>
  <c r="F127" i="53"/>
  <c r="J126" i="53"/>
  <c r="I126" i="53"/>
  <c r="F126" i="53"/>
  <c r="J125" i="53"/>
  <c r="I125" i="53"/>
  <c r="K125" i="53"/>
  <c r="F125" i="53"/>
  <c r="L125" i="53" s="1"/>
  <c r="J124" i="53"/>
  <c r="I124" i="53"/>
  <c r="K124" i="53" s="1"/>
  <c r="F124" i="53"/>
  <c r="J123" i="53"/>
  <c r="I123" i="53"/>
  <c r="F123" i="53"/>
  <c r="J122" i="53"/>
  <c r="I122" i="53"/>
  <c r="F122" i="53"/>
  <c r="J121" i="53"/>
  <c r="I121" i="53"/>
  <c r="K121" i="53"/>
  <c r="F121" i="53"/>
  <c r="J120" i="53"/>
  <c r="K120" i="53" s="1"/>
  <c r="I120" i="53"/>
  <c r="F120" i="53"/>
  <c r="J119" i="53"/>
  <c r="I119" i="53"/>
  <c r="F119" i="53"/>
  <c r="L119" i="53" s="1"/>
  <c r="J118" i="53"/>
  <c r="K118" i="53"/>
  <c r="I118" i="53"/>
  <c r="F118" i="53"/>
  <c r="F130" i="53" s="1"/>
  <c r="J117" i="53"/>
  <c r="I117" i="53"/>
  <c r="K117" i="53" s="1"/>
  <c r="F117" i="53"/>
  <c r="J116" i="53"/>
  <c r="I116" i="53"/>
  <c r="K116" i="53" s="1"/>
  <c r="F116" i="53"/>
  <c r="J115" i="53"/>
  <c r="J130" i="53" s="1"/>
  <c r="I115" i="53"/>
  <c r="I130" i="53" s="1"/>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28" i="53" s="1"/>
  <c r="J15" i="53"/>
  <c r="J13" i="53"/>
  <c r="J12" i="53"/>
  <c r="K119" i="53"/>
  <c r="K123" i="53"/>
  <c r="L123" i="53"/>
  <c r="K122" i="53"/>
  <c r="L122" i="53" s="1"/>
  <c r="K126" i="53"/>
  <c r="L126" i="53" s="1"/>
  <c r="A7" i="63"/>
  <c r="A8" i="63"/>
  <c r="A9" i="63"/>
  <c r="A10" i="63"/>
  <c r="A11" i="63"/>
  <c r="A12" i="63"/>
  <c r="A13" i="63"/>
  <c r="A14" i="63"/>
  <c r="A15" i="63"/>
  <c r="A16" i="63"/>
  <c r="A20" i="63"/>
  <c r="A21" i="63"/>
  <c r="A22"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8" i="63"/>
  <c r="A59" i="63"/>
  <c r="A60" i="63"/>
  <c r="A61" i="63"/>
  <c r="A62" i="63"/>
  <c r="A63" i="63"/>
  <c r="A64" i="63"/>
  <c r="E29" i="55"/>
  <c r="D29" i="55"/>
  <c r="C29" i="55"/>
  <c r="H42" i="8"/>
  <c r="H33" i="8"/>
  <c r="F26" i="65"/>
  <c r="F27" i="65"/>
  <c r="F28" i="65"/>
  <c r="F29" i="65"/>
  <c r="F30" i="65"/>
  <c r="F31" i="65"/>
  <c r="F32" i="65"/>
  <c r="F33" i="65"/>
  <c r="F34" i="65"/>
  <c r="F35" i="65"/>
  <c r="F36" i="65"/>
  <c r="E222" i="49"/>
  <c r="O34" i="48"/>
  <c r="O35" i="48"/>
  <c r="O36" i="48"/>
  <c r="J20" i="61"/>
  <c r="M20" i="61" s="1"/>
  <c r="G20" i="61"/>
  <c r="I20" i="61" s="1"/>
  <c r="P97" i="48"/>
  <c r="P98" i="48"/>
  <c r="P35" i="48" s="1"/>
  <c r="P99" i="48"/>
  <c r="C34" i="48"/>
  <c r="C35" i="48"/>
  <c r="C36" i="48"/>
  <c r="C97" i="48"/>
  <c r="C98" i="48"/>
  <c r="C99" i="48"/>
  <c r="P66" i="48"/>
  <c r="P67" i="48"/>
  <c r="P68" i="48"/>
  <c r="I407" i="49"/>
  <c r="I408" i="49"/>
  <c r="I409" i="49"/>
  <c r="I78" i="49" s="1"/>
  <c r="G68" i="48" s="1"/>
  <c r="G36" i="48" s="1"/>
  <c r="E407" i="49"/>
  <c r="F407" i="49" s="1"/>
  <c r="E408" i="49"/>
  <c r="F408" i="49" s="1"/>
  <c r="E409" i="49"/>
  <c r="F409" i="49" s="1"/>
  <c r="I374" i="49"/>
  <c r="I375" i="49"/>
  <c r="I376" i="49"/>
  <c r="E374" i="49"/>
  <c r="F374" i="49"/>
  <c r="E375" i="49"/>
  <c r="F375" i="49"/>
  <c r="E376" i="49"/>
  <c r="F376" i="49" s="1"/>
  <c r="I341" i="49"/>
  <c r="I342" i="49"/>
  <c r="I343" i="49"/>
  <c r="E341" i="49"/>
  <c r="F341" i="49" s="1"/>
  <c r="E342" i="49"/>
  <c r="F342" i="49" s="1"/>
  <c r="E343" i="49"/>
  <c r="F343" i="49"/>
  <c r="I308" i="49"/>
  <c r="I309" i="49"/>
  <c r="I310" i="49"/>
  <c r="E308" i="49"/>
  <c r="F308" i="49"/>
  <c r="E309" i="49"/>
  <c r="F309" i="49"/>
  <c r="E310" i="49"/>
  <c r="F310" i="49" s="1"/>
  <c r="I275" i="49"/>
  <c r="I276" i="49"/>
  <c r="I277" i="49"/>
  <c r="E275" i="49"/>
  <c r="F275" i="49" s="1"/>
  <c r="E276" i="49"/>
  <c r="F276" i="49" s="1"/>
  <c r="E277" i="49"/>
  <c r="F277" i="49" s="1"/>
  <c r="I242" i="49"/>
  <c r="I243" i="49"/>
  <c r="I244" i="49"/>
  <c r="E242" i="49"/>
  <c r="F242" i="49" s="1"/>
  <c r="E243" i="49"/>
  <c r="F243" i="49"/>
  <c r="E244" i="49"/>
  <c r="F244" i="49"/>
  <c r="I209" i="49"/>
  <c r="I210" i="49"/>
  <c r="I211" i="49"/>
  <c r="E209" i="49"/>
  <c r="F209" i="49" s="1"/>
  <c r="E210" i="49"/>
  <c r="F210" i="49"/>
  <c r="E211" i="49"/>
  <c r="F211" i="49" s="1"/>
  <c r="I176" i="49"/>
  <c r="I177" i="49"/>
  <c r="I178" i="49"/>
  <c r="E176" i="49"/>
  <c r="F176" i="49" s="1"/>
  <c r="E177" i="49"/>
  <c r="F177" i="49" s="1"/>
  <c r="E178" i="49"/>
  <c r="F178" i="49" s="1"/>
  <c r="I145" i="49"/>
  <c r="E145" i="49"/>
  <c r="F145" i="49" s="1"/>
  <c r="I143" i="49"/>
  <c r="I144" i="49"/>
  <c r="E143" i="49"/>
  <c r="F143" i="49"/>
  <c r="E144" i="49"/>
  <c r="F144" i="49" s="1"/>
  <c r="I110" i="49"/>
  <c r="I111" i="49"/>
  <c r="I112" i="49"/>
  <c r="E110" i="49"/>
  <c r="F110" i="49" s="1"/>
  <c r="E111" i="49"/>
  <c r="E112" i="49"/>
  <c r="F112" i="49"/>
  <c r="E66" i="48"/>
  <c r="E34" i="48" s="1"/>
  <c r="D128" i="48"/>
  <c r="D127" i="48"/>
  <c r="D126" i="48"/>
  <c r="D125" i="48"/>
  <c r="D124" i="48"/>
  <c r="D123" i="48"/>
  <c r="D122" i="48"/>
  <c r="D121" i="48"/>
  <c r="D120" i="48"/>
  <c r="D119" i="48"/>
  <c r="F263" i="61"/>
  <c r="F72" i="64"/>
  <c r="E72" i="64"/>
  <c r="D72" i="64"/>
  <c r="F67" i="64"/>
  <c r="F66" i="64"/>
  <c r="F68" i="64" s="1"/>
  <c r="F77" i="64" s="1"/>
  <c r="E67" i="64"/>
  <c r="E66" i="64"/>
  <c r="E68" i="64" s="1"/>
  <c r="E77" i="64" s="1"/>
  <c r="D67" i="64"/>
  <c r="D66" i="64"/>
  <c r="D24" i="64"/>
  <c r="C120" i="48"/>
  <c r="E120" i="48" s="1"/>
  <c r="L12" i="64"/>
  <c r="K12" i="64"/>
  <c r="J12" i="64"/>
  <c r="I12" i="64"/>
  <c r="H12" i="64"/>
  <c r="H48" i="64"/>
  <c r="G12" i="64"/>
  <c r="G48" i="64" s="1"/>
  <c r="H70" i="21" s="1"/>
  <c r="F12" i="64"/>
  <c r="E12" i="64"/>
  <c r="E48" i="64" s="1"/>
  <c r="D12" i="64"/>
  <c r="C24" i="64"/>
  <c r="C119" i="48" s="1"/>
  <c r="E119" i="48" s="1"/>
  <c r="C12" i="64"/>
  <c r="B97" i="64"/>
  <c r="D68" i="64"/>
  <c r="D77" i="64"/>
  <c r="A43" i="64"/>
  <c r="A44" i="64"/>
  <c r="A45" i="64"/>
  <c r="A46" i="64"/>
  <c r="A47" i="64"/>
  <c r="A48" i="64"/>
  <c r="A13" i="64"/>
  <c r="A14" i="64"/>
  <c r="A15" i="64"/>
  <c r="A16" i="64"/>
  <c r="A17" i="64"/>
  <c r="A18" i="64"/>
  <c r="A19" i="64"/>
  <c r="A20" i="64"/>
  <c r="A21" i="64"/>
  <c r="A22" i="64"/>
  <c r="A23" i="64"/>
  <c r="A24" i="64"/>
  <c r="A25" i="64"/>
  <c r="A26" i="64"/>
  <c r="A28" i="64"/>
  <c r="C48" i="64"/>
  <c r="D70" i="21" s="1"/>
  <c r="F48" i="64"/>
  <c r="J48" i="64"/>
  <c r="K70" i="21" s="1"/>
  <c r="K48" i="64"/>
  <c r="D48" i="64"/>
  <c r="L48" i="64"/>
  <c r="M70" i="21" s="1"/>
  <c r="I48" i="64"/>
  <c r="J70" i="21" s="1"/>
  <c r="A49" i="64"/>
  <c r="A50" i="64"/>
  <c r="A51" i="64"/>
  <c r="A52" i="64"/>
  <c r="A53" i="64"/>
  <c r="A54" i="64"/>
  <c r="A55" i="64"/>
  <c r="A56" i="64"/>
  <c r="A57" i="64"/>
  <c r="A58" i="64"/>
  <c r="A59" i="64"/>
  <c r="A60" i="64"/>
  <c r="A61" i="64"/>
  <c r="A62" i="64"/>
  <c r="A63" i="64"/>
  <c r="A64" i="64"/>
  <c r="A65" i="64"/>
  <c r="A66" i="64"/>
  <c r="A67" i="64"/>
  <c r="A68" i="64"/>
  <c r="E70" i="21"/>
  <c r="G70" i="21"/>
  <c r="L70" i="21"/>
  <c r="G91" i="64"/>
  <c r="I70" i="21"/>
  <c r="B146" i="21"/>
  <c r="B98" i="64"/>
  <c r="A69" i="64"/>
  <c r="A70" i="64"/>
  <c r="A71" i="64"/>
  <c r="A72" i="64"/>
  <c r="B99" i="64"/>
  <c r="A73" i="64"/>
  <c r="A74" i="64"/>
  <c r="A75" i="64"/>
  <c r="A76" i="64"/>
  <c r="A77" i="64"/>
  <c r="B104" i="64"/>
  <c r="G92" i="64"/>
  <c r="A78" i="64"/>
  <c r="A79" i="64"/>
  <c r="A80" i="64"/>
  <c r="A81" i="64"/>
  <c r="A82" i="64"/>
  <c r="A83" i="64"/>
  <c r="A84" i="64"/>
  <c r="A85" i="64"/>
  <c r="A86" i="64"/>
  <c r="I84" i="64"/>
  <c r="I86" i="64"/>
  <c r="G93" i="64"/>
  <c r="A87" i="64"/>
  <c r="A88" i="64"/>
  <c r="A89" i="64"/>
  <c r="A90" i="64"/>
  <c r="A91" i="64"/>
  <c r="A92" i="64"/>
  <c r="A93" i="64"/>
  <c r="A94" i="64"/>
  <c r="I129" i="1"/>
  <c r="G94" i="64"/>
  <c r="O19" i="48"/>
  <c r="J87" i="8"/>
  <c r="E88" i="8"/>
  <c r="C117" i="48"/>
  <c r="H26" i="8"/>
  <c r="I31" i="1"/>
  <c r="A33" i="79"/>
  <c r="A34" i="79"/>
  <c r="A35" i="79"/>
  <c r="A36" i="79"/>
  <c r="A37" i="79"/>
  <c r="A38" i="79"/>
  <c r="A39" i="79"/>
  <c r="E18" i="71"/>
  <c r="D17" i="71"/>
  <c r="D16" i="71"/>
  <c r="D15" i="71"/>
  <c r="D14" i="71"/>
  <c r="D13" i="71"/>
  <c r="D12" i="71"/>
  <c r="D11" i="71"/>
  <c r="D10" i="71"/>
  <c r="D54" i="71" s="1"/>
  <c r="D9" i="71"/>
  <c r="D21" i="71" s="1"/>
  <c r="D57" i="7"/>
  <c r="D53" i="7"/>
  <c r="E34" i="11"/>
  <c r="E33" i="11"/>
  <c r="E32" i="11"/>
  <c r="E31" i="11"/>
  <c r="E30" i="11"/>
  <c r="E29" i="11"/>
  <c r="E28" i="11"/>
  <c r="E27" i="11"/>
  <c r="E38" i="11" s="1"/>
  <c r="K28" i="1" s="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E404" i="49"/>
  <c r="E403" i="49"/>
  <c r="F403" i="49" s="1"/>
  <c r="E402" i="49"/>
  <c r="E401" i="49"/>
  <c r="F401" i="49" s="1"/>
  <c r="E400" i="49"/>
  <c r="F400" i="49" s="1"/>
  <c r="E399" i="49"/>
  <c r="F399" i="49" s="1"/>
  <c r="E398" i="49"/>
  <c r="E397" i="49"/>
  <c r="E396" i="49"/>
  <c r="E395" i="49"/>
  <c r="F395" i="49" s="1"/>
  <c r="E394" i="49"/>
  <c r="E393" i="49"/>
  <c r="E392" i="49"/>
  <c r="F392" i="49" s="1"/>
  <c r="E391" i="49"/>
  <c r="F391" i="49"/>
  <c r="E390" i="49"/>
  <c r="F390" i="49" s="1"/>
  <c r="E389" i="49"/>
  <c r="E388" i="49"/>
  <c r="E387" i="49"/>
  <c r="F387" i="49" s="1"/>
  <c r="E386" i="49"/>
  <c r="F386" i="49" s="1"/>
  <c r="J386" i="49" s="1"/>
  <c r="I373" i="49"/>
  <c r="I372" i="49"/>
  <c r="I371" i="49"/>
  <c r="I370" i="49"/>
  <c r="I369" i="49"/>
  <c r="I368" i="49"/>
  <c r="I367" i="49"/>
  <c r="I366" i="49"/>
  <c r="I365" i="49"/>
  <c r="I364" i="49"/>
  <c r="I363" i="49"/>
  <c r="I65" i="49" s="1"/>
  <c r="G55" i="48" s="1"/>
  <c r="G23" i="48" s="1"/>
  <c r="I362" i="49"/>
  <c r="I361" i="49"/>
  <c r="I360" i="49"/>
  <c r="I359" i="49"/>
  <c r="I358" i="49"/>
  <c r="I357" i="49"/>
  <c r="I356" i="49"/>
  <c r="I355" i="49"/>
  <c r="I57" i="49" s="1"/>
  <c r="G47" i="48" s="1"/>
  <c r="G15" i="48" s="1"/>
  <c r="I354" i="49"/>
  <c r="I353" i="49"/>
  <c r="E373" i="49"/>
  <c r="F373" i="49"/>
  <c r="E372" i="49"/>
  <c r="E371" i="49"/>
  <c r="F371" i="49" s="1"/>
  <c r="E370" i="49"/>
  <c r="F370" i="49" s="1"/>
  <c r="E369" i="49"/>
  <c r="E368" i="49"/>
  <c r="E367" i="49"/>
  <c r="F367" i="49" s="1"/>
  <c r="E366" i="49"/>
  <c r="F366" i="49"/>
  <c r="E365" i="49"/>
  <c r="F365" i="49" s="1"/>
  <c r="E364" i="49"/>
  <c r="F364" i="49" s="1"/>
  <c r="E363" i="49"/>
  <c r="E362" i="49"/>
  <c r="E361" i="49"/>
  <c r="F361" i="49" s="1"/>
  <c r="E360" i="49"/>
  <c r="E359" i="49"/>
  <c r="E358" i="49"/>
  <c r="F358" i="49" s="1"/>
  <c r="E357" i="49"/>
  <c r="F357" i="49" s="1"/>
  <c r="E356" i="49"/>
  <c r="E355" i="49"/>
  <c r="F355" i="49" s="1"/>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E339" i="49"/>
  <c r="F339" i="49" s="1"/>
  <c r="E338" i="49"/>
  <c r="E337" i="49"/>
  <c r="F337" i="49" s="1"/>
  <c r="E336" i="49"/>
  <c r="E335" i="49"/>
  <c r="F335" i="49" s="1"/>
  <c r="E334" i="49"/>
  <c r="E333" i="49"/>
  <c r="F333" i="49" s="1"/>
  <c r="E332" i="49"/>
  <c r="E331" i="49"/>
  <c r="F331" i="49" s="1"/>
  <c r="E330" i="49"/>
  <c r="E329" i="49"/>
  <c r="F329" i="49"/>
  <c r="E328" i="49"/>
  <c r="E327" i="49"/>
  <c r="F327" i="49"/>
  <c r="E326" i="49"/>
  <c r="E325" i="49"/>
  <c r="F325" i="49" s="1"/>
  <c r="E324" i="49"/>
  <c r="E323" i="49"/>
  <c r="E322" i="49"/>
  <c r="F322" i="49" s="1"/>
  <c r="E321" i="49"/>
  <c r="F321" i="49" s="1"/>
  <c r="E320" i="49"/>
  <c r="F320" i="49" s="1"/>
  <c r="I307" i="49"/>
  <c r="I306" i="49"/>
  <c r="I305" i="49"/>
  <c r="I304" i="49"/>
  <c r="I303" i="49"/>
  <c r="I302" i="49"/>
  <c r="I301" i="49"/>
  <c r="I300" i="49"/>
  <c r="I299" i="49"/>
  <c r="I298" i="49"/>
  <c r="I297" i="49"/>
  <c r="I296" i="49"/>
  <c r="I295" i="49"/>
  <c r="I294" i="49"/>
  <c r="I293" i="49"/>
  <c r="I292" i="49"/>
  <c r="I291" i="49"/>
  <c r="I290" i="49"/>
  <c r="I289" i="49"/>
  <c r="I288" i="49"/>
  <c r="I287" i="49"/>
  <c r="E307" i="49"/>
  <c r="F307" i="49" s="1"/>
  <c r="E306" i="49"/>
  <c r="F306" i="49" s="1"/>
  <c r="E305" i="49"/>
  <c r="E304" i="49"/>
  <c r="E303" i="49"/>
  <c r="E302" i="49"/>
  <c r="F302" i="49" s="1"/>
  <c r="E301" i="49"/>
  <c r="E300" i="49"/>
  <c r="E299" i="49"/>
  <c r="F299" i="49" s="1"/>
  <c r="E298" i="49"/>
  <c r="F298" i="49" s="1"/>
  <c r="E297" i="49"/>
  <c r="E296" i="49"/>
  <c r="E295" i="49"/>
  <c r="E294" i="49"/>
  <c r="F294" i="49" s="1"/>
  <c r="E293" i="49"/>
  <c r="E292" i="49"/>
  <c r="E291" i="49"/>
  <c r="F291" i="49" s="1"/>
  <c r="E290" i="49"/>
  <c r="E58" i="49" s="1"/>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F273" i="49" s="1"/>
  <c r="E272" i="49"/>
  <c r="E271" i="49"/>
  <c r="F271" i="49" s="1"/>
  <c r="E270" i="49"/>
  <c r="F270" i="49" s="1"/>
  <c r="E269" i="49"/>
  <c r="F269" i="49"/>
  <c r="E268" i="49"/>
  <c r="E267" i="49"/>
  <c r="E266" i="49"/>
  <c r="F266" i="49" s="1"/>
  <c r="E265" i="49"/>
  <c r="F265" i="49"/>
  <c r="E264" i="49"/>
  <c r="E263" i="49"/>
  <c r="F263" i="49"/>
  <c r="E262" i="49"/>
  <c r="F262" i="49"/>
  <c r="E261" i="49"/>
  <c r="F261" i="49" s="1"/>
  <c r="E260" i="49"/>
  <c r="E259" i="49"/>
  <c r="E258" i="49"/>
  <c r="E257" i="49"/>
  <c r="E256" i="49"/>
  <c r="E255" i="49"/>
  <c r="E254" i="49"/>
  <c r="F254" i="49" s="1"/>
  <c r="I241" i="49"/>
  <c r="I240" i="49"/>
  <c r="I239" i="49"/>
  <c r="I238" i="49"/>
  <c r="I237" i="49"/>
  <c r="I236" i="49"/>
  <c r="I235" i="49"/>
  <c r="I234" i="49"/>
  <c r="I233" i="49"/>
  <c r="I232" i="49"/>
  <c r="I231" i="49"/>
  <c r="I230" i="49"/>
  <c r="I229" i="49"/>
  <c r="I228" i="49"/>
  <c r="I227" i="49"/>
  <c r="I226" i="49"/>
  <c r="I225" i="49"/>
  <c r="I224" i="49"/>
  <c r="I223" i="49"/>
  <c r="I222" i="49"/>
  <c r="I221" i="49"/>
  <c r="E241" i="49"/>
  <c r="F241" i="49" s="1"/>
  <c r="E240" i="49"/>
  <c r="F240" i="49" s="1"/>
  <c r="E239" i="49"/>
  <c r="E238" i="49"/>
  <c r="E237" i="49"/>
  <c r="E236" i="49"/>
  <c r="F236" i="49" s="1"/>
  <c r="E235" i="49"/>
  <c r="E234" i="49"/>
  <c r="E233" i="49"/>
  <c r="E232" i="49"/>
  <c r="F232" i="49" s="1"/>
  <c r="E231" i="49"/>
  <c r="E230" i="49"/>
  <c r="E229" i="49"/>
  <c r="E228" i="49"/>
  <c r="E227" i="49"/>
  <c r="F227" i="49" s="1"/>
  <c r="E226" i="49"/>
  <c r="E225" i="49"/>
  <c r="E224" i="49"/>
  <c r="F224" i="49"/>
  <c r="E223" i="49"/>
  <c r="E221" i="49"/>
  <c r="F221" i="49" s="1"/>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F190" i="49" s="1"/>
  <c r="E191" i="49"/>
  <c r="E192" i="49"/>
  <c r="F192" i="49"/>
  <c r="E193" i="49"/>
  <c r="E194" i="49"/>
  <c r="E195" i="49"/>
  <c r="E196" i="49"/>
  <c r="E197" i="49"/>
  <c r="E198" i="49"/>
  <c r="E199" i="49"/>
  <c r="E200" i="49"/>
  <c r="F200" i="49" s="1"/>
  <c r="E201" i="49"/>
  <c r="E202" i="49"/>
  <c r="E203" i="49"/>
  <c r="E204" i="49"/>
  <c r="F204" i="49" s="1"/>
  <c r="E205" i="49"/>
  <c r="E206" i="49"/>
  <c r="E207" i="49"/>
  <c r="E208" i="49"/>
  <c r="F208" i="49" s="1"/>
  <c r="E188" i="49"/>
  <c r="F188" i="49"/>
  <c r="I175" i="49"/>
  <c r="I174" i="49"/>
  <c r="I173" i="49"/>
  <c r="I172" i="49"/>
  <c r="I171" i="49"/>
  <c r="I170" i="49"/>
  <c r="I169" i="49"/>
  <c r="I168" i="49"/>
  <c r="I167" i="49"/>
  <c r="I166" i="49"/>
  <c r="I165" i="49"/>
  <c r="I164" i="49"/>
  <c r="I163" i="49"/>
  <c r="I162" i="49"/>
  <c r="I161" i="49"/>
  <c r="I160" i="49"/>
  <c r="I159" i="49"/>
  <c r="I158" i="49"/>
  <c r="I157" i="49"/>
  <c r="I156" i="49"/>
  <c r="I155" i="49"/>
  <c r="E175" i="49"/>
  <c r="F175" i="49" s="1"/>
  <c r="E174" i="49"/>
  <c r="F174" i="49" s="1"/>
  <c r="E173" i="49"/>
  <c r="F173" i="49" s="1"/>
  <c r="E172" i="49"/>
  <c r="E171" i="49"/>
  <c r="E170" i="49"/>
  <c r="E169" i="49"/>
  <c r="F169" i="49" s="1"/>
  <c r="E168" i="49"/>
  <c r="E167" i="49"/>
  <c r="F167" i="49"/>
  <c r="E166" i="49"/>
  <c r="F166" i="49"/>
  <c r="E165" i="49"/>
  <c r="E164" i="49"/>
  <c r="E163" i="49"/>
  <c r="E162" i="49"/>
  <c r="E161" i="49"/>
  <c r="F161" i="49"/>
  <c r="E160" i="49"/>
  <c r="E159" i="49"/>
  <c r="E158" i="49"/>
  <c r="F158" i="49" s="1"/>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F138" i="49" s="1"/>
  <c r="E137" i="49"/>
  <c r="E136" i="49"/>
  <c r="E69" i="49" s="1"/>
  <c r="E135" i="49"/>
  <c r="E134" i="49"/>
  <c r="E133" i="49"/>
  <c r="E132" i="49"/>
  <c r="E131" i="49"/>
  <c r="E130" i="49"/>
  <c r="F130" i="49" s="1"/>
  <c r="E129" i="49"/>
  <c r="F129" i="49" s="1"/>
  <c r="E128" i="49"/>
  <c r="E127" i="49"/>
  <c r="E126" i="49"/>
  <c r="E125" i="49"/>
  <c r="E124" i="49"/>
  <c r="E123" i="49"/>
  <c r="E122" i="49"/>
  <c r="F122" i="49"/>
  <c r="I109" i="49"/>
  <c r="I108" i="49"/>
  <c r="I107" i="49"/>
  <c r="I106" i="49"/>
  <c r="I105" i="49"/>
  <c r="I104" i="49"/>
  <c r="I103" i="49"/>
  <c r="I102" i="49"/>
  <c r="I101" i="49"/>
  <c r="I100" i="49"/>
  <c r="I99" i="49"/>
  <c r="I98" i="49"/>
  <c r="I97" i="49"/>
  <c r="I96" i="49"/>
  <c r="I62" i="49" s="1"/>
  <c r="G52" i="48" s="1"/>
  <c r="G20" i="48" s="1"/>
  <c r="I95" i="49"/>
  <c r="I94" i="49"/>
  <c r="I93" i="49"/>
  <c r="I92" i="49"/>
  <c r="I91" i="49"/>
  <c r="I90" i="49"/>
  <c r="I89" i="49"/>
  <c r="E109" i="49"/>
  <c r="E108" i="49"/>
  <c r="F108" i="49" s="1"/>
  <c r="E107" i="49"/>
  <c r="E73" i="49" s="1"/>
  <c r="F107" i="49"/>
  <c r="E106" i="49"/>
  <c r="F106" i="49"/>
  <c r="E105" i="49"/>
  <c r="E104" i="49"/>
  <c r="E103" i="49"/>
  <c r="E102" i="49"/>
  <c r="E101" i="49"/>
  <c r="E100" i="49"/>
  <c r="E99" i="49"/>
  <c r="E98" i="49"/>
  <c r="F98" i="49" s="1"/>
  <c r="E97" i="49"/>
  <c r="E96" i="49"/>
  <c r="E95" i="49"/>
  <c r="E94" i="49"/>
  <c r="F94" i="49"/>
  <c r="E93" i="49"/>
  <c r="E92" i="49"/>
  <c r="F92" i="49" s="1"/>
  <c r="E91" i="49"/>
  <c r="E90" i="49"/>
  <c r="E89" i="49"/>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c r="A19" i="48"/>
  <c r="A20" i="48"/>
  <c r="A21" i="48"/>
  <c r="A22" i="48"/>
  <c r="A23" i="48"/>
  <c r="A24" i="48"/>
  <c r="A25" i="48"/>
  <c r="A26" i="48"/>
  <c r="A27" i="48"/>
  <c r="A28" i="48"/>
  <c r="A29" i="48"/>
  <c r="A30" i="48"/>
  <c r="A31" i="48"/>
  <c r="A32" i="48"/>
  <c r="A33" i="48"/>
  <c r="A34" i="48"/>
  <c r="A35" i="48"/>
  <c r="A36" i="48"/>
  <c r="A37" i="48"/>
  <c r="L13" i="48"/>
  <c r="C13" i="48"/>
  <c r="G75" i="48"/>
  <c r="E75" i="48"/>
  <c r="G74" i="48"/>
  <c r="F43" i="48"/>
  <c r="E73" i="48"/>
  <c r="F406" i="49"/>
  <c r="F405" i="49"/>
  <c r="F404" i="49"/>
  <c r="F402" i="49"/>
  <c r="F398" i="49"/>
  <c r="F397" i="49"/>
  <c r="F396" i="49"/>
  <c r="F394" i="49"/>
  <c r="F393" i="49"/>
  <c r="F389" i="49"/>
  <c r="F388" i="49"/>
  <c r="K384" i="49"/>
  <c r="J384" i="49"/>
  <c r="I384" i="49"/>
  <c r="H384" i="49"/>
  <c r="G384" i="49"/>
  <c r="F384" i="49"/>
  <c r="E384" i="49"/>
  <c r="D384" i="49"/>
  <c r="K383" i="49"/>
  <c r="J383" i="49"/>
  <c r="I383" i="49"/>
  <c r="H383" i="49"/>
  <c r="G383" i="49"/>
  <c r="F383" i="49"/>
  <c r="E383" i="49"/>
  <c r="D383" i="49"/>
  <c r="G382" i="49"/>
  <c r="F372" i="49"/>
  <c r="F369" i="49"/>
  <c r="F368" i="49"/>
  <c r="F363" i="49"/>
  <c r="F362" i="49"/>
  <c r="F360" i="49"/>
  <c r="F359" i="49"/>
  <c r="F356" i="49"/>
  <c r="F354" i="49"/>
  <c r="F353" i="49"/>
  <c r="J353" i="49" s="1"/>
  <c r="J352" i="49"/>
  <c r="K351" i="49"/>
  <c r="J351" i="49"/>
  <c r="I351" i="49"/>
  <c r="H351" i="49"/>
  <c r="G351" i="49"/>
  <c r="F351" i="49"/>
  <c r="E351" i="49"/>
  <c r="D351" i="49"/>
  <c r="K350" i="49"/>
  <c r="J350" i="49"/>
  <c r="I350" i="49"/>
  <c r="H350" i="49"/>
  <c r="G350" i="49"/>
  <c r="F350" i="49"/>
  <c r="E350" i="49"/>
  <c r="D350" i="49"/>
  <c r="G349" i="49"/>
  <c r="F340" i="49"/>
  <c r="F338" i="49"/>
  <c r="F336" i="49"/>
  <c r="F334" i="49"/>
  <c r="F332" i="49"/>
  <c r="F330" i="49"/>
  <c r="F328" i="49"/>
  <c r="F326" i="49"/>
  <c r="F324" i="49"/>
  <c r="F323" i="49"/>
  <c r="K318" i="49"/>
  <c r="J318" i="49"/>
  <c r="I318" i="49"/>
  <c r="H318" i="49"/>
  <c r="G318" i="49"/>
  <c r="F318" i="49"/>
  <c r="E318" i="49"/>
  <c r="D318" i="49"/>
  <c r="K317" i="49"/>
  <c r="J317" i="49"/>
  <c r="I317" i="49"/>
  <c r="H317" i="49"/>
  <c r="G317" i="49"/>
  <c r="F317" i="49"/>
  <c r="E317" i="49"/>
  <c r="D317" i="49"/>
  <c r="G316" i="49"/>
  <c r="F305" i="49"/>
  <c r="F304" i="49"/>
  <c r="F303" i="49"/>
  <c r="F301" i="49"/>
  <c r="F300" i="49"/>
  <c r="F297" i="49"/>
  <c r="F296" i="49"/>
  <c r="F295" i="49"/>
  <c r="F293" i="49"/>
  <c r="F292" i="49"/>
  <c r="F289" i="49"/>
  <c r="F288" i="49"/>
  <c r="F287" i="49"/>
  <c r="J286" i="49"/>
  <c r="K285" i="49"/>
  <c r="J285" i="49"/>
  <c r="I285" i="49"/>
  <c r="H285" i="49"/>
  <c r="G285" i="49"/>
  <c r="F285" i="49"/>
  <c r="E285" i="49"/>
  <c r="D285" i="49"/>
  <c r="K284" i="49"/>
  <c r="J284" i="49"/>
  <c r="I284" i="49"/>
  <c r="H284" i="49"/>
  <c r="G284" i="49"/>
  <c r="F284" i="49"/>
  <c r="E284" i="49"/>
  <c r="D284" i="49"/>
  <c r="G283" i="49"/>
  <c r="F272" i="49"/>
  <c r="F268" i="49"/>
  <c r="F267" i="49"/>
  <c r="F264" i="49"/>
  <c r="F260" i="49"/>
  <c r="F259" i="49"/>
  <c r="F258" i="49"/>
  <c r="F256" i="49"/>
  <c r="F255" i="49"/>
  <c r="J253" i="49"/>
  <c r="K252" i="49"/>
  <c r="J252" i="49"/>
  <c r="I252" i="49"/>
  <c r="H252" i="49"/>
  <c r="F252" i="49"/>
  <c r="E252" i="49"/>
  <c r="D252" i="49"/>
  <c r="K251" i="49"/>
  <c r="J251" i="49"/>
  <c r="I251" i="49"/>
  <c r="H251" i="49"/>
  <c r="F251" i="49"/>
  <c r="E251" i="49"/>
  <c r="D251" i="49"/>
  <c r="F239" i="49"/>
  <c r="F238" i="49"/>
  <c r="F237" i="49"/>
  <c r="F235" i="49"/>
  <c r="F233" i="49"/>
  <c r="F231" i="49"/>
  <c r="F230" i="49"/>
  <c r="F228" i="49"/>
  <c r="F226" i="49"/>
  <c r="F225" i="49"/>
  <c r="F223" i="49"/>
  <c r="F222" i="49"/>
  <c r="J220" i="49"/>
  <c r="K219" i="49"/>
  <c r="J219" i="49"/>
  <c r="I219" i="49"/>
  <c r="H219" i="49"/>
  <c r="G219" i="49"/>
  <c r="F219" i="49"/>
  <c r="E219" i="49"/>
  <c r="D219" i="49"/>
  <c r="K218" i="49"/>
  <c r="J218" i="49"/>
  <c r="I218" i="49"/>
  <c r="H218" i="49"/>
  <c r="G218" i="49"/>
  <c r="F218" i="49"/>
  <c r="E218" i="49"/>
  <c r="D218" i="49"/>
  <c r="G217" i="49"/>
  <c r="F207" i="49"/>
  <c r="F206" i="49"/>
  <c r="F205" i="49"/>
  <c r="F203" i="49"/>
  <c r="F202" i="49"/>
  <c r="F201" i="49"/>
  <c r="F198" i="49"/>
  <c r="F197" i="49"/>
  <c r="F196" i="49"/>
  <c r="F195" i="49"/>
  <c r="F194" i="49"/>
  <c r="F193" i="49"/>
  <c r="F191" i="49"/>
  <c r="F189" i="49"/>
  <c r="J187" i="49"/>
  <c r="J188" i="49" s="1"/>
  <c r="K186" i="49"/>
  <c r="J186" i="49"/>
  <c r="I186" i="49"/>
  <c r="H186" i="49"/>
  <c r="G186" i="49"/>
  <c r="F186" i="49"/>
  <c r="E186" i="49"/>
  <c r="D186" i="49"/>
  <c r="K185" i="49"/>
  <c r="J185" i="49"/>
  <c r="I185" i="49"/>
  <c r="H185" i="49"/>
  <c r="G185" i="49"/>
  <c r="F185" i="49"/>
  <c r="E185" i="49"/>
  <c r="D185" i="49"/>
  <c r="G184" i="49"/>
  <c r="F172" i="49"/>
  <c r="F170" i="49"/>
  <c r="F168" i="49"/>
  <c r="F165" i="49"/>
  <c r="F164" i="49"/>
  <c r="F163" i="49"/>
  <c r="F162" i="49"/>
  <c r="F160" i="49"/>
  <c r="F157" i="49"/>
  <c r="F156" i="49"/>
  <c r="F155" i="49"/>
  <c r="J154" i="49"/>
  <c r="K153" i="49"/>
  <c r="J153" i="49"/>
  <c r="I153" i="49"/>
  <c r="H153" i="49"/>
  <c r="G153" i="49"/>
  <c r="F153" i="49"/>
  <c r="E153" i="49"/>
  <c r="D153" i="49"/>
  <c r="K152" i="49"/>
  <c r="J152" i="49"/>
  <c r="I152" i="49"/>
  <c r="H152" i="49"/>
  <c r="G152" i="49"/>
  <c r="F152" i="49"/>
  <c r="E152" i="49"/>
  <c r="D152" i="49"/>
  <c r="G151" i="49"/>
  <c r="F142" i="49"/>
  <c r="F141" i="49"/>
  <c r="F139" i="49"/>
  <c r="F137" i="49"/>
  <c r="F135" i="49"/>
  <c r="F134" i="49"/>
  <c r="F133" i="49"/>
  <c r="F132" i="49"/>
  <c r="F131" i="49"/>
  <c r="F128" i="49"/>
  <c r="F127" i="49"/>
  <c r="F126" i="49"/>
  <c r="F125" i="49"/>
  <c r="F124" i="49"/>
  <c r="F123" i="49"/>
  <c r="J121" i="49"/>
  <c r="K120" i="49"/>
  <c r="J120" i="49"/>
  <c r="I120" i="49"/>
  <c r="H120" i="49"/>
  <c r="G120" i="49"/>
  <c r="G450" i="49"/>
  <c r="F120" i="49"/>
  <c r="E120" i="49"/>
  <c r="D120" i="49"/>
  <c r="K119" i="49"/>
  <c r="J119" i="49"/>
  <c r="I119" i="49"/>
  <c r="H119" i="49"/>
  <c r="G119" i="49"/>
  <c r="G449" i="49"/>
  <c r="F119" i="49"/>
  <c r="E119" i="49"/>
  <c r="D119" i="49"/>
  <c r="G118" i="49"/>
  <c r="G448" i="49"/>
  <c r="F109" i="49"/>
  <c r="F105" i="49"/>
  <c r="F104" i="49"/>
  <c r="F103" i="49"/>
  <c r="F102" i="49"/>
  <c r="F101" i="49"/>
  <c r="F97" i="49"/>
  <c r="F96" i="49"/>
  <c r="F95" i="49"/>
  <c r="F93" i="49"/>
  <c r="F89" i="49"/>
  <c r="J88" i="49"/>
  <c r="K87" i="49"/>
  <c r="J87" i="49"/>
  <c r="I87" i="49"/>
  <c r="H87" i="49"/>
  <c r="G87" i="49"/>
  <c r="G417" i="49"/>
  <c r="F87" i="49"/>
  <c r="E87" i="49"/>
  <c r="D87" i="49"/>
  <c r="K86" i="49"/>
  <c r="J86" i="49"/>
  <c r="I86" i="49"/>
  <c r="H86" i="49"/>
  <c r="G86" i="49"/>
  <c r="G416" i="49"/>
  <c r="F86" i="49"/>
  <c r="E86" i="49"/>
  <c r="D86" i="49"/>
  <c r="G85" i="49"/>
  <c r="G415" i="49"/>
  <c r="F55" i="48"/>
  <c r="F23" i="48" s="1"/>
  <c r="A14" i="49"/>
  <c r="A15" i="49"/>
  <c r="A16" i="49"/>
  <c r="A17" i="49"/>
  <c r="A18" i="49"/>
  <c r="A19" i="49"/>
  <c r="A20" i="49"/>
  <c r="A21" i="49"/>
  <c r="A22" i="49"/>
  <c r="A23" i="49"/>
  <c r="A24" i="49"/>
  <c r="A25" i="49"/>
  <c r="A45" i="48"/>
  <c r="A46" i="48"/>
  <c r="A47" i="48"/>
  <c r="A48" i="48"/>
  <c r="A49" i="48"/>
  <c r="A50" i="48"/>
  <c r="A51" i="48"/>
  <c r="A52" i="48"/>
  <c r="A53" i="48"/>
  <c r="A54" i="48"/>
  <c r="A55" i="48"/>
  <c r="A56" i="48"/>
  <c r="A57" i="48"/>
  <c r="A58" i="48"/>
  <c r="A59" i="48"/>
  <c r="A60" i="48"/>
  <c r="A61" i="48"/>
  <c r="A62" i="48"/>
  <c r="A63" i="48"/>
  <c r="A64" i="48"/>
  <c r="A65" i="48"/>
  <c r="G41" i="57"/>
  <c r="E78" i="7"/>
  <c r="A26" i="49"/>
  <c r="A33" i="49"/>
  <c r="A34" i="49"/>
  <c r="A35" i="49"/>
  <c r="A36" i="49"/>
  <c r="A37" i="49"/>
  <c r="A38" i="49"/>
  <c r="A39" i="49"/>
  <c r="A40" i="49"/>
  <c r="E57" i="7"/>
  <c r="E46" i="7"/>
  <c r="E53" i="7"/>
  <c r="F33" i="11"/>
  <c r="E15" i="71"/>
  <c r="F32" i="11"/>
  <c r="E17" i="71"/>
  <c r="F34" i="11"/>
  <c r="E14" i="71"/>
  <c r="F31" i="11"/>
  <c r="D46" i="7"/>
  <c r="F29" i="11"/>
  <c r="E9" i="71"/>
  <c r="F26" i="11"/>
  <c r="F62" i="11" s="1"/>
  <c r="E10" i="71"/>
  <c r="E54" i="71"/>
  <c r="F27" i="11"/>
  <c r="E11" i="71"/>
  <c r="F28" i="11"/>
  <c r="P95" i="48"/>
  <c r="P78" i="48"/>
  <c r="F74" i="48"/>
  <c r="E44" i="48"/>
  <c r="P92" i="48"/>
  <c r="P79" i="48"/>
  <c r="P87" i="48"/>
  <c r="P94" i="48"/>
  <c r="P31" i="48" s="1"/>
  <c r="P54" i="48"/>
  <c r="G44" i="48"/>
  <c r="P50" i="48"/>
  <c r="P57" i="48"/>
  <c r="P84" i="48"/>
  <c r="P93" i="48"/>
  <c r="P49" i="48"/>
  <c r="P56" i="48"/>
  <c r="P58" i="48"/>
  <c r="P85" i="48"/>
  <c r="P91" i="48"/>
  <c r="F75" i="48"/>
  <c r="F44" i="48"/>
  <c r="O15" i="48"/>
  <c r="P89" i="48"/>
  <c r="P60" i="48"/>
  <c r="P65" i="48"/>
  <c r="P33" i="48" s="1"/>
  <c r="P76" i="48"/>
  <c r="P82" i="48"/>
  <c r="P83" i="48"/>
  <c r="O28" i="48"/>
  <c r="E42" i="48"/>
  <c r="P46" i="48"/>
  <c r="P64" i="48"/>
  <c r="P77" i="48"/>
  <c r="P14" i="48" s="1"/>
  <c r="O14" i="48"/>
  <c r="O20" i="48"/>
  <c r="P48" i="48"/>
  <c r="P16" i="48" s="1"/>
  <c r="P62" i="48"/>
  <c r="P80" i="48"/>
  <c r="P17" i="48" s="1"/>
  <c r="P61" i="48"/>
  <c r="P29" i="48"/>
  <c r="P53" i="48"/>
  <c r="P45" i="48"/>
  <c r="P96" i="48"/>
  <c r="P88" i="48"/>
  <c r="P59" i="48"/>
  <c r="P27" i="48" s="1"/>
  <c r="P51" i="48"/>
  <c r="P19" i="48"/>
  <c r="P63" i="48"/>
  <c r="P47" i="48"/>
  <c r="P15" i="48"/>
  <c r="P86" i="48"/>
  <c r="P90" i="48"/>
  <c r="E74" i="48"/>
  <c r="E43" i="48"/>
  <c r="P81" i="48"/>
  <c r="P18" i="48" s="1"/>
  <c r="O16" i="48"/>
  <c r="O32" i="48"/>
  <c r="G43" i="48"/>
  <c r="O22" i="48"/>
  <c r="O30" i="48"/>
  <c r="F257" i="49"/>
  <c r="F274" i="49"/>
  <c r="F199" i="49"/>
  <c r="J155" i="49"/>
  <c r="A41" i="49"/>
  <c r="A42" i="49"/>
  <c r="A43" i="49"/>
  <c r="A44" i="49"/>
  <c r="A45" i="49"/>
  <c r="A46"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M13" i="48"/>
  <c r="P24" i="48"/>
  <c r="A66" i="48"/>
  <c r="A67" i="48"/>
  <c r="A68" i="48"/>
  <c r="A76" i="48"/>
  <c r="A77" i="48"/>
  <c r="A78" i="48"/>
  <c r="A79" i="48"/>
  <c r="A80" i="48"/>
  <c r="A81" i="48"/>
  <c r="A82" i="48"/>
  <c r="A83" i="48"/>
  <c r="A84" i="48"/>
  <c r="A85" i="48"/>
  <c r="A86" i="48"/>
  <c r="A87" i="48"/>
  <c r="A88" i="48"/>
  <c r="A89" i="48"/>
  <c r="A90" i="48"/>
  <c r="A91" i="48"/>
  <c r="A92" i="48"/>
  <c r="A93" i="48"/>
  <c r="A94" i="48"/>
  <c r="A95" i="48"/>
  <c r="A96" i="48"/>
  <c r="A97" i="48"/>
  <c r="A98" i="48"/>
  <c r="A99" i="48"/>
  <c r="A103" i="48"/>
  <c r="P28" i="48"/>
  <c r="P32" i="48"/>
  <c r="P13" i="48"/>
  <c r="P26" i="48"/>
  <c r="P22" i="48"/>
  <c r="P23" i="48"/>
  <c r="A107" i="48"/>
  <c r="A111" i="48"/>
  <c r="G72" i="48"/>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G42" i="57"/>
  <c r="E82" i="7"/>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G9" i="71"/>
  <c r="H26" i="11"/>
  <c r="H72" i="48"/>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H27" i="11"/>
  <c r="G10" i="71"/>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G11" i="71"/>
  <c r="H28" i="11"/>
  <c r="A119" i="48"/>
  <c r="J72" i="48"/>
  <c r="A220" i="49"/>
  <c r="A221" i="49"/>
  <c r="A222" i="49"/>
  <c r="A223" i="49"/>
  <c r="A224" i="49"/>
  <c r="A225" i="49"/>
  <c r="A226" i="49"/>
  <c r="A227" i="49"/>
  <c r="A228" i="49"/>
  <c r="A229" i="49"/>
  <c r="A230" i="49"/>
  <c r="A231" i="49"/>
  <c r="A232" i="49"/>
  <c r="A233" i="49"/>
  <c r="A234" i="49"/>
  <c r="A235" i="49"/>
  <c r="A236" i="49"/>
  <c r="A237" i="49"/>
  <c r="A238" i="49"/>
  <c r="A239" i="49"/>
  <c r="A240" i="49"/>
  <c r="A241" i="49"/>
  <c r="G12" i="71"/>
  <c r="H29" i="11"/>
  <c r="A120" i="48"/>
  <c r="A121" i="48"/>
  <c r="A122" i="48"/>
  <c r="A123" i="48"/>
  <c r="A124" i="48"/>
  <c r="A125" i="48"/>
  <c r="A126" i="48"/>
  <c r="A127" i="48"/>
  <c r="A128" i="48"/>
  <c r="A129" i="48"/>
  <c r="A130" i="48"/>
  <c r="A242" i="49"/>
  <c r="A243" i="49"/>
  <c r="A244" i="49"/>
  <c r="A245"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F130" i="48"/>
  <c r="A131" i="48"/>
  <c r="A132" i="48"/>
  <c r="A133" i="48"/>
  <c r="F131" i="48"/>
  <c r="F133" i="48"/>
  <c r="H30" i="11"/>
  <c r="A276" i="49"/>
  <c r="A277" i="49"/>
  <c r="A278"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G13" i="71"/>
  <c r="H31" i="11"/>
  <c r="G14" i="71"/>
  <c r="A319" i="49"/>
  <c r="A320" i="49"/>
  <c r="A321" i="49"/>
  <c r="A322" i="49"/>
  <c r="A323" i="49"/>
  <c r="A324" i="49"/>
  <c r="A325" i="49"/>
  <c r="A326" i="49"/>
  <c r="A327" i="49"/>
  <c r="A328" i="49"/>
  <c r="A329" i="49"/>
  <c r="A330" i="49"/>
  <c r="A331" i="49"/>
  <c r="A332" i="49"/>
  <c r="A333" i="49"/>
  <c r="A334" i="49"/>
  <c r="A335" i="49"/>
  <c r="A336" i="49"/>
  <c r="A337" i="49"/>
  <c r="A338" i="49"/>
  <c r="A339" i="49"/>
  <c r="A340" i="49"/>
  <c r="G15" i="71"/>
  <c r="H32" i="11"/>
  <c r="A341" i="49"/>
  <c r="A342" i="49"/>
  <c r="A343" i="49"/>
  <c r="A344" i="49"/>
  <c r="A352" i="49"/>
  <c r="A353" i="49"/>
  <c r="A354" i="49"/>
  <c r="A355" i="49"/>
  <c r="A356" i="49"/>
  <c r="A357" i="49"/>
  <c r="A358" i="49"/>
  <c r="A359" i="49"/>
  <c r="A360" i="49"/>
  <c r="A361" i="49"/>
  <c r="A362" i="49"/>
  <c r="A363" i="49"/>
  <c r="A364" i="49"/>
  <c r="A365" i="49"/>
  <c r="A366" i="49"/>
  <c r="A367" i="49"/>
  <c r="A368" i="49"/>
  <c r="A369" i="49"/>
  <c r="A370" i="49"/>
  <c r="A371" i="49"/>
  <c r="A372" i="49"/>
  <c r="A373" i="49"/>
  <c r="H33" i="11"/>
  <c r="A374" i="49"/>
  <c r="A375" i="49"/>
  <c r="A376" i="49"/>
  <c r="A377" i="49"/>
  <c r="G17" i="71"/>
  <c r="G16" i="71"/>
  <c r="H34" i="11"/>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H35" i="11"/>
  <c r="I133" i="15"/>
  <c r="A133" i="15"/>
  <c r="I121" i="15"/>
  <c r="E95" i="15"/>
  <c r="A91" i="15"/>
  <c r="A92" i="15"/>
  <c r="I90" i="15"/>
  <c r="I70" i="15"/>
  <c r="E75" i="15"/>
  <c r="I68" i="15"/>
  <c r="A11" i="15"/>
  <c r="A12" i="15"/>
  <c r="A13" i="15"/>
  <c r="E14" i="15"/>
  <c r="F92" i="15"/>
  <c r="I92" i="15"/>
  <c r="A134" i="15"/>
  <c r="A135" i="15"/>
  <c r="E12" i="15"/>
  <c r="I56" i="15"/>
  <c r="A95" i="15"/>
  <c r="E11" i="15"/>
  <c r="E138" i="15"/>
  <c r="A14" i="15"/>
  <c r="I26" i="1"/>
  <c r="A15" i="15"/>
  <c r="E19" i="15"/>
  <c r="A138" i="15"/>
  <c r="I135" i="15"/>
  <c r="E10" i="15"/>
  <c r="I72" i="15"/>
  <c r="A16" i="15"/>
  <c r="A17" i="15"/>
  <c r="G56" i="46"/>
  <c r="A18" i="15"/>
  <c r="A10" i="22"/>
  <c r="A11" i="22"/>
  <c r="A12" i="22"/>
  <c r="A13" i="22"/>
  <c r="A14" i="22"/>
  <c r="A15" i="22"/>
  <c r="A16" i="22"/>
  <c r="A17" i="22"/>
  <c r="A18" i="22"/>
  <c r="A19" i="22"/>
  <c r="A20" i="22"/>
  <c r="A19" i="15"/>
  <c r="A21" i="22"/>
  <c r="G23" i="22"/>
  <c r="A20" i="15"/>
  <c r="D47" i="2"/>
  <c r="D48" i="2" s="1"/>
  <c r="D41" i="2"/>
  <c r="D42" i="2"/>
  <c r="F101" i="46" s="1"/>
  <c r="D35" i="2"/>
  <c r="D36" i="2"/>
  <c r="F82" i="46" s="1"/>
  <c r="A21" i="15"/>
  <c r="A22" i="15"/>
  <c r="A23" i="15"/>
  <c r="A24" i="15"/>
  <c r="H23" i="8"/>
  <c r="C29" i="46"/>
  <c r="G29" i="46"/>
  <c r="E92" i="46"/>
  <c r="I92" i="46" s="1"/>
  <c r="E12" i="2"/>
  <c r="E11" i="2"/>
  <c r="E42" i="71"/>
  <c r="H27" i="8"/>
  <c r="H25" i="8"/>
  <c r="H9" i="8"/>
  <c r="H8" i="8"/>
  <c r="G27" i="32"/>
  <c r="G21" i="32"/>
  <c r="G13" i="32"/>
  <c r="B100" i="44"/>
  <c r="B200" i="71"/>
  <c r="F145" i="71"/>
  <c r="F144" i="71"/>
  <c r="D64" i="46"/>
  <c r="G69" i="8"/>
  <c r="G71" i="8"/>
  <c r="E51" i="7"/>
  <c r="E39" i="7"/>
  <c r="I136" i="1"/>
  <c r="I135" i="1"/>
  <c r="I132" i="1"/>
  <c r="I130" i="1"/>
  <c r="I128" i="1"/>
  <c r="I102" i="1"/>
  <c r="I32" i="1"/>
  <c r="I30" i="1"/>
  <c r="I22" i="1"/>
  <c r="I12" i="1"/>
  <c r="I11" i="1"/>
  <c r="F260" i="61"/>
  <c r="F261" i="61"/>
  <c r="F258" i="61"/>
  <c r="F264" i="61"/>
  <c r="J45" i="8"/>
  <c r="C103" i="26"/>
  <c r="E19" i="55"/>
  <c r="E17" i="55"/>
  <c r="E18" i="55"/>
  <c r="I21" i="45"/>
  <c r="H57" i="26"/>
  <c r="F64" i="26"/>
  <c r="B112" i="12"/>
  <c r="K135" i="1"/>
  <c r="E27" i="12"/>
  <c r="E26" i="12"/>
  <c r="E25" i="12"/>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s="1"/>
  <c r="G49" i="11" s="1"/>
  <c r="H169" i="11"/>
  <c r="G169" i="11"/>
  <c r="G84" i="11" s="1"/>
  <c r="H168" i="11"/>
  <c r="G168" i="11"/>
  <c r="G83" i="11" s="1"/>
  <c r="H167" i="11"/>
  <c r="G167" i="11"/>
  <c r="G82" i="11" s="1"/>
  <c r="H166" i="11"/>
  <c r="G166" i="11"/>
  <c r="G81" i="11"/>
  <c r="H165" i="11"/>
  <c r="G165" i="11"/>
  <c r="G80" i="11" s="1"/>
  <c r="H164" i="11"/>
  <c r="G164" i="11"/>
  <c r="G79" i="11" s="1"/>
  <c r="E79" i="11" s="1"/>
  <c r="H163" i="11"/>
  <c r="G163" i="11"/>
  <c r="G78" i="11"/>
  <c r="H162" i="11"/>
  <c r="G162" i="11"/>
  <c r="G77" i="11"/>
  <c r="H161" i="11"/>
  <c r="G161" i="11"/>
  <c r="G76" i="11" s="1"/>
  <c r="H160" i="11"/>
  <c r="G160" i="11"/>
  <c r="G75" i="11" s="1"/>
  <c r="H159" i="11"/>
  <c r="G159" i="11"/>
  <c r="G74" i="11" s="1"/>
  <c r="H158" i="11"/>
  <c r="G158" i="11"/>
  <c r="G73" i="11" s="1"/>
  <c r="H150" i="11"/>
  <c r="E107" i="11" s="1"/>
  <c r="G107" i="11" s="1"/>
  <c r="G150" i="11"/>
  <c r="H85" i="11" s="1"/>
  <c r="G47" i="11" s="1"/>
  <c r="E47" i="11" s="1"/>
  <c r="E39" i="12" s="1"/>
  <c r="H149" i="11"/>
  <c r="G149" i="11"/>
  <c r="H84" i="11" s="1"/>
  <c r="H148" i="11"/>
  <c r="G148" i="11"/>
  <c r="H83" i="11"/>
  <c r="H147" i="11"/>
  <c r="G147" i="11"/>
  <c r="H82" i="11"/>
  <c r="H146" i="11"/>
  <c r="G146" i="11"/>
  <c r="H81" i="11"/>
  <c r="H145" i="11"/>
  <c r="G145" i="11"/>
  <c r="H80" i="11"/>
  <c r="H144" i="11"/>
  <c r="G144" i="11"/>
  <c r="H79" i="11"/>
  <c r="H143" i="11"/>
  <c r="G143" i="11"/>
  <c r="H78" i="11" s="1"/>
  <c r="H142" i="11"/>
  <c r="E99" i="11" s="1"/>
  <c r="G99" i="11" s="1"/>
  <c r="G142" i="11"/>
  <c r="H77" i="11" s="1"/>
  <c r="H141" i="11"/>
  <c r="G141" i="11"/>
  <c r="H76" i="11" s="1"/>
  <c r="H140" i="11"/>
  <c r="G140" i="11"/>
  <c r="H75" i="11"/>
  <c r="H86" i="11" s="1"/>
  <c r="G61" i="11" s="1"/>
  <c r="H139" i="11"/>
  <c r="E96" i="11" s="1"/>
  <c r="G96" i="11" s="1"/>
  <c r="G139" i="11"/>
  <c r="H74" i="11"/>
  <c r="H138" i="11"/>
  <c r="G138" i="11"/>
  <c r="H73" i="11"/>
  <c r="H130" i="11"/>
  <c r="G130" i="11"/>
  <c r="F85" i="11" s="1"/>
  <c r="H129" i="11"/>
  <c r="G129" i="11"/>
  <c r="F84" i="11" s="1"/>
  <c r="H128" i="11"/>
  <c r="G128" i="11"/>
  <c r="F83" i="11" s="1"/>
  <c r="H127" i="11"/>
  <c r="G127" i="11"/>
  <c r="F82" i="11" s="1"/>
  <c r="H126" i="11"/>
  <c r="G126" i="11"/>
  <c r="F81" i="11"/>
  <c r="E81" i="11" s="1"/>
  <c r="H125" i="11"/>
  <c r="G125" i="11"/>
  <c r="F80" i="11" s="1"/>
  <c r="H124" i="11"/>
  <c r="G124" i="11"/>
  <c r="F79" i="11"/>
  <c r="H123" i="11"/>
  <c r="G123" i="11"/>
  <c r="F78" i="11" s="1"/>
  <c r="H122" i="11"/>
  <c r="G122" i="11"/>
  <c r="F77" i="11"/>
  <c r="H121" i="11"/>
  <c r="E98" i="11" s="1"/>
  <c r="G98" i="11" s="1"/>
  <c r="G121" i="11"/>
  <c r="F76" i="11" s="1"/>
  <c r="H120" i="11"/>
  <c r="G120" i="11"/>
  <c r="F75" i="11" s="1"/>
  <c r="H119" i="11"/>
  <c r="G119" i="11"/>
  <c r="F74" i="11" s="1"/>
  <c r="H118" i="11"/>
  <c r="G118" i="11"/>
  <c r="F73" i="11"/>
  <c r="F108" i="11"/>
  <c r="E106" i="11"/>
  <c r="G106" i="11" s="1"/>
  <c r="E36" i="7"/>
  <c r="D37" i="7"/>
  <c r="G24" i="2"/>
  <c r="G22" i="2"/>
  <c r="F100" i="12"/>
  <c r="B108" i="12"/>
  <c r="E37" i="7"/>
  <c r="H6" i="8"/>
  <c r="I9" i="1"/>
  <c r="E24" i="2"/>
  <c r="E22" i="2"/>
  <c r="H7" i="8"/>
  <c r="I10" i="1"/>
  <c r="B34" i="31"/>
  <c r="F44" i="26"/>
  <c r="D44" i="26"/>
  <c r="G13" i="26"/>
  <c r="I13" i="26"/>
  <c r="F47" i="71"/>
  <c r="A10" i="71"/>
  <c r="A11" i="71"/>
  <c r="A12" i="71"/>
  <c r="A13" i="71"/>
  <c r="A14" i="71"/>
  <c r="A15" i="71"/>
  <c r="A16" i="71"/>
  <c r="A17" i="71"/>
  <c r="A18" i="71"/>
  <c r="A19" i="71"/>
  <c r="A20" i="71"/>
  <c r="D47" i="71"/>
  <c r="D38" i="7"/>
  <c r="J52" i="61"/>
  <c r="M52" i="61" s="1"/>
  <c r="G12" i="2"/>
  <c r="C64" i="46"/>
  <c r="G57" i="26"/>
  <c r="G58" i="26" s="1"/>
  <c r="G37" i="26" s="1"/>
  <c r="D37" i="26" s="1"/>
  <c r="G6" i="26" s="1"/>
  <c r="I6" i="26" s="1"/>
  <c r="H80" i="44"/>
  <c r="H77" i="44"/>
  <c r="H55" i="44"/>
  <c r="A14" i="44"/>
  <c r="A15" i="44"/>
  <c r="A16" i="44"/>
  <c r="A17" i="44"/>
  <c r="A18" i="44"/>
  <c r="A30" i="44"/>
  <c r="K21" i="1"/>
  <c r="C56" i="46"/>
  <c r="L57" i="46"/>
  <c r="E120" i="46"/>
  <c r="I120" i="46"/>
  <c r="K56" i="46"/>
  <c r="G55" i="46"/>
  <c r="L55" i="46"/>
  <c r="E118" i="46" s="1"/>
  <c r="K55" i="46"/>
  <c r="D118" i="46" s="1"/>
  <c r="C55" i="46"/>
  <c r="G54" i="46"/>
  <c r="L54" i="46"/>
  <c r="E117" i="46"/>
  <c r="K54" i="46"/>
  <c r="D117" i="46"/>
  <c r="C54" i="46"/>
  <c r="G53" i="46"/>
  <c r="L53" i="46"/>
  <c r="E116" i="46"/>
  <c r="K53" i="46"/>
  <c r="C53" i="46"/>
  <c r="G52" i="46"/>
  <c r="L56" i="46"/>
  <c r="L58" i="46" s="1"/>
  <c r="K52" i="46"/>
  <c r="D115" i="46"/>
  <c r="C52" i="46"/>
  <c r="C58" i="46" s="1"/>
  <c r="E105" i="46"/>
  <c r="G41" i="46"/>
  <c r="G40" i="46"/>
  <c r="C40" i="46"/>
  <c r="D102" i="46"/>
  <c r="H102" i="46" s="1"/>
  <c r="G39" i="46"/>
  <c r="C39" i="46"/>
  <c r="G38" i="46"/>
  <c r="C38" i="46"/>
  <c r="G37" i="46"/>
  <c r="C37" i="46"/>
  <c r="G36" i="46"/>
  <c r="C36" i="46"/>
  <c r="G35" i="46"/>
  <c r="C35" i="46"/>
  <c r="G34" i="46"/>
  <c r="C34" i="46"/>
  <c r="G33" i="46"/>
  <c r="C33" i="46"/>
  <c r="G32" i="46"/>
  <c r="C32" i="46"/>
  <c r="G31" i="46"/>
  <c r="D94" i="46"/>
  <c r="H94" i="46"/>
  <c r="G94" i="46" s="1"/>
  <c r="C31" i="46"/>
  <c r="G30" i="46"/>
  <c r="C30" i="46"/>
  <c r="G28" i="46"/>
  <c r="C28" i="46"/>
  <c r="G27" i="46"/>
  <c r="D90" i="46"/>
  <c r="C27" i="46"/>
  <c r="G26" i="46"/>
  <c r="C26" i="46"/>
  <c r="D88" i="46"/>
  <c r="H88" i="46" s="1"/>
  <c r="C25" i="46"/>
  <c r="G24" i="46"/>
  <c r="C24" i="46"/>
  <c r="G23" i="46"/>
  <c r="C23" i="46"/>
  <c r="G22" i="46"/>
  <c r="K22" i="46"/>
  <c r="C85" i="46" s="1"/>
  <c r="C22" i="46"/>
  <c r="G21" i="46"/>
  <c r="C21" i="46"/>
  <c r="G20" i="46"/>
  <c r="C20" i="46"/>
  <c r="G19" i="46"/>
  <c r="K19" i="46"/>
  <c r="C82" i="46"/>
  <c r="C19" i="46"/>
  <c r="G18" i="46"/>
  <c r="C18" i="46"/>
  <c r="G17" i="46"/>
  <c r="D80" i="46"/>
  <c r="H80" i="46" s="1"/>
  <c r="C17" i="46"/>
  <c r="G16" i="46"/>
  <c r="D79" i="46"/>
  <c r="C16" i="46"/>
  <c r="G15" i="46"/>
  <c r="K15" i="46"/>
  <c r="C78" i="46" s="1"/>
  <c r="C15" i="46"/>
  <c r="G14" i="46"/>
  <c r="C14" i="46"/>
  <c r="G13" i="46"/>
  <c r="C13" i="46"/>
  <c r="G12"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G11" i="46"/>
  <c r="B55" i="54"/>
  <c r="C10" i="9"/>
  <c r="A5" i="31"/>
  <c r="E15" i="66"/>
  <c r="J25" i="8"/>
  <c r="F15" i="66"/>
  <c r="H43" i="26"/>
  <c r="D43" i="26"/>
  <c r="G12" i="26" s="1"/>
  <c r="I12" i="26" s="1"/>
  <c r="D58" i="7"/>
  <c r="D54" i="7"/>
  <c r="F42" i="54"/>
  <c r="F39" i="54"/>
  <c r="F30" i="54"/>
  <c r="A8" i="2"/>
  <c r="A9" i="2"/>
  <c r="A10" i="2"/>
  <c r="A11" i="2"/>
  <c r="K128" i="1"/>
  <c r="J50" i="8" s="1"/>
  <c r="A11" i="7"/>
  <c r="A12" i="7"/>
  <c r="A13" i="7"/>
  <c r="A14" i="7"/>
  <c r="A15" i="7"/>
  <c r="A16" i="7"/>
  <c r="K32" i="1"/>
  <c r="A14" i="65"/>
  <c r="A15" i="65" s="1"/>
  <c r="A16" i="65" s="1"/>
  <c r="A17" i="65" s="1"/>
  <c r="A18" i="65" s="1"/>
  <c r="A19" i="65" s="1"/>
  <c r="A20" i="65" s="1"/>
  <c r="A21" i="65" s="1"/>
  <c r="A22" i="65" s="1"/>
  <c r="A23" i="65" s="1"/>
  <c r="A24" i="65" s="1"/>
  <c r="A25" i="12"/>
  <c r="A26" i="12"/>
  <c r="E262" i="61"/>
  <c r="I235" i="61"/>
  <c r="N209" i="61"/>
  <c r="N206" i="61"/>
  <c r="N204" i="61"/>
  <c r="N201" i="61"/>
  <c r="N200" i="61"/>
  <c r="N195" i="61"/>
  <c r="M195" i="61"/>
  <c r="L195" i="61"/>
  <c r="J195" i="61"/>
  <c r="I195" i="61"/>
  <c r="H195" i="61"/>
  <c r="G195" i="61"/>
  <c r="J172" i="61"/>
  <c r="M172" i="61"/>
  <c r="N120" i="61"/>
  <c r="H94" i="61"/>
  <c r="N94" i="61" s="1"/>
  <c r="H93" i="61"/>
  <c r="H59" i="61"/>
  <c r="G59" i="61"/>
  <c r="J58" i="61"/>
  <c r="M58" i="61" s="1"/>
  <c r="N57" i="61"/>
  <c r="N56" i="61"/>
  <c r="J55" i="61"/>
  <c r="M55" i="61" s="1"/>
  <c r="J54" i="61"/>
  <c r="M54" i="61" s="1"/>
  <c r="J53" i="61"/>
  <c r="M53" i="61" s="1"/>
  <c r="G18" i="61"/>
  <c r="I18" i="61" s="1"/>
  <c r="J17" i="61"/>
  <c r="M17" i="61" s="1"/>
  <c r="N16" i="61"/>
  <c r="J15" i="61"/>
  <c r="M15" i="61" s="1"/>
  <c r="G14" i="61"/>
  <c r="I14" i="61" s="1"/>
  <c r="J13" i="61"/>
  <c r="M13" i="61" s="1"/>
  <c r="J12" i="61"/>
  <c r="M12" i="61" s="1"/>
  <c r="J11" i="61"/>
  <c r="M11" i="61" s="1"/>
  <c r="J5" i="61"/>
  <c r="M5" i="61" s="1"/>
  <c r="G4" i="61"/>
  <c r="I4" i="61"/>
  <c r="I8" i="61" s="1"/>
  <c r="F63" i="11"/>
  <c r="E47" i="71"/>
  <c r="A8" i="17"/>
  <c r="A9" i="17"/>
  <c r="A10" i="17"/>
  <c r="A11" i="17"/>
  <c r="A12" i="17"/>
  <c r="A13" i="17"/>
  <c r="A14" i="17"/>
  <c r="I103" i="1"/>
  <c r="D50" i="26"/>
  <c r="G19" i="26" s="1"/>
  <c r="I19" i="26" s="1"/>
  <c r="D49" i="26"/>
  <c r="G18" i="26" s="1"/>
  <c r="I18" i="26" s="1"/>
  <c r="D48" i="26"/>
  <c r="G17" i="26" s="1"/>
  <c r="I17" i="26" s="1"/>
  <c r="D47" i="26"/>
  <c r="G16" i="26" s="1"/>
  <c r="I16" i="26" s="1"/>
  <c r="D46" i="26"/>
  <c r="G15" i="26" s="1"/>
  <c r="I15" i="26" s="1"/>
  <c r="D45" i="26"/>
  <c r="G14" i="26" s="1"/>
  <c r="I14" i="26" s="1"/>
  <c r="D42" i="26"/>
  <c r="G11" i="26" s="1"/>
  <c r="I11" i="26" s="1"/>
  <c r="D41" i="26"/>
  <c r="G10" i="26" s="1"/>
  <c r="I10" i="26" s="1"/>
  <c r="D40" i="26"/>
  <c r="G9" i="26" s="1"/>
  <c r="I9" i="26" s="1"/>
  <c r="D39" i="26"/>
  <c r="G8" i="26" s="1"/>
  <c r="I8" i="26" s="1"/>
  <c r="D38" i="26"/>
  <c r="G7" i="26" s="1"/>
  <c r="I7" i="26" s="1"/>
  <c r="A10" i="57"/>
  <c r="A11" i="57"/>
  <c r="A12" i="57"/>
  <c r="A13" i="57"/>
  <c r="A14" i="57"/>
  <c r="A15" i="57"/>
  <c r="A16" i="57"/>
  <c r="A17" i="57"/>
  <c r="A18" i="57"/>
  <c r="A19" i="57"/>
  <c r="A20" i="57"/>
  <c r="A21" i="57"/>
  <c r="A22" i="57"/>
  <c r="A23" i="57"/>
  <c r="A24" i="57"/>
  <c r="A25" i="57"/>
  <c r="A26" i="57"/>
  <c r="A27" i="57"/>
  <c r="A28" i="57"/>
  <c r="K18" i="57"/>
  <c r="J18" i="57"/>
  <c r="I18" i="57"/>
  <c r="H18" i="57"/>
  <c r="H20" i="57" s="1"/>
  <c r="D26" i="57" s="1"/>
  <c r="D28" i="57" s="1"/>
  <c r="G18" i="57"/>
  <c r="K12" i="57"/>
  <c r="J12" i="57"/>
  <c r="I12" i="57"/>
  <c r="H12" i="57"/>
  <c r="G12" i="57"/>
  <c r="F11" i="56"/>
  <c r="F10" i="56"/>
  <c r="A9" i="56"/>
  <c r="A10" i="56"/>
  <c r="F38" i="56"/>
  <c r="F25" i="56"/>
  <c r="F24" i="56"/>
  <c r="F23" i="56"/>
  <c r="F22" i="56"/>
  <c r="F21" i="56"/>
  <c r="F20" i="56"/>
  <c r="K30" i="1"/>
  <c r="K136" i="1"/>
  <c r="A13" i="32"/>
  <c r="G14" i="32"/>
  <c r="A7" i="26"/>
  <c r="A8" i="26"/>
  <c r="A9" i="26"/>
  <c r="A10" i="26"/>
  <c r="A27" i="11"/>
  <c r="K102" i="1"/>
  <c r="A7" i="8"/>
  <c r="A8" i="8"/>
  <c r="A9" i="8"/>
  <c r="E27" i="32"/>
  <c r="F24" i="26"/>
  <c r="F27" i="12"/>
  <c r="F56" i="12"/>
  <c r="F26" i="12"/>
  <c r="F55" i="12"/>
  <c r="F25" i="12"/>
  <c r="F54" i="12"/>
  <c r="F22" i="31"/>
  <c r="E22" i="31"/>
  <c r="D22" i="31"/>
  <c r="E20" i="26"/>
  <c r="F15" i="56"/>
  <c r="I67" i="61"/>
  <c r="F48" i="11"/>
  <c r="A28" i="11"/>
  <c r="A29" i="11"/>
  <c r="A30" i="11"/>
  <c r="A31" i="11"/>
  <c r="A32" i="11"/>
  <c r="A33" i="11"/>
  <c r="A34" i="11"/>
  <c r="A35" i="11"/>
  <c r="A36" i="11"/>
  <c r="A37" i="11"/>
  <c r="A38" i="11"/>
  <c r="C74" i="46"/>
  <c r="L52" i="46"/>
  <c r="H64" i="44"/>
  <c r="A10" i="1"/>
  <c r="A11" i="1" s="1"/>
  <c r="A12" i="1" s="1"/>
  <c r="A21" i="71"/>
  <c r="G21" i="71"/>
  <c r="F54" i="71"/>
  <c r="E103" i="46"/>
  <c r="E87" i="46"/>
  <c r="K24" i="46"/>
  <c r="C87" i="46" s="1"/>
  <c r="E95" i="46"/>
  <c r="K32" i="46"/>
  <c r="C95" i="46" s="1"/>
  <c r="E100" i="46"/>
  <c r="I100" i="46" s="1"/>
  <c r="E101" i="46"/>
  <c r="K38" i="46"/>
  <c r="C101" i="46"/>
  <c r="E76" i="46"/>
  <c r="E86" i="46"/>
  <c r="I86" i="46" s="1"/>
  <c r="K23" i="46"/>
  <c r="C86" i="46"/>
  <c r="E93" i="46"/>
  <c r="K30" i="46"/>
  <c r="C93" i="46"/>
  <c r="K31" i="46"/>
  <c r="C94" i="46" s="1"/>
  <c r="E98" i="46"/>
  <c r="I98" i="46" s="1"/>
  <c r="E77" i="46"/>
  <c r="I77" i="46" s="1"/>
  <c r="K14" i="46"/>
  <c r="C77" i="46" s="1"/>
  <c r="E89" i="46"/>
  <c r="I89" i="46" s="1"/>
  <c r="K26" i="46"/>
  <c r="C89" i="46" s="1"/>
  <c r="E90" i="46"/>
  <c r="K27" i="46"/>
  <c r="C90" i="46" s="1"/>
  <c r="E97" i="46"/>
  <c r="D119" i="46"/>
  <c r="H119" i="46" s="1"/>
  <c r="E74" i="46"/>
  <c r="J14" i="61"/>
  <c r="M14" i="61" s="1"/>
  <c r="G16" i="61"/>
  <c r="I16" i="61" s="1"/>
  <c r="J16" i="61"/>
  <c r="M16" i="61" s="1"/>
  <c r="J50" i="61"/>
  <c r="M50" i="61" s="1"/>
  <c r="G15" i="61"/>
  <c r="I15" i="61" s="1"/>
  <c r="N12" i="61"/>
  <c r="N207" i="61"/>
  <c r="E10" i="2"/>
  <c r="F48" i="71"/>
  <c r="E54" i="7"/>
  <c r="A29" i="57"/>
  <c r="J56" i="61"/>
  <c r="M56" i="61" s="1"/>
  <c r="N55" i="61"/>
  <c r="F40" i="56"/>
  <c r="K20" i="57"/>
  <c r="E31" i="57" s="1"/>
  <c r="G171" i="61"/>
  <c r="I171" i="61" s="1"/>
  <c r="N15" i="61"/>
  <c r="G54" i="61"/>
  <c r="I54" i="61" s="1"/>
  <c r="G11" i="61"/>
  <c r="I11" i="61" s="1"/>
  <c r="N211" i="61"/>
  <c r="N5" i="61"/>
  <c r="I62" i="61"/>
  <c r="G55" i="61"/>
  <c r="I55" i="61" s="1"/>
  <c r="F41" i="12"/>
  <c r="F39" i="12"/>
  <c r="H24" i="8"/>
  <c r="I28" i="1"/>
  <c r="F40" i="12"/>
  <c r="N17" i="61"/>
  <c r="N14" i="61"/>
  <c r="N18" i="61"/>
  <c r="G5" i="61"/>
  <c r="I5" i="61"/>
  <c r="N4" i="61"/>
  <c r="N8" i="61" s="1"/>
  <c r="N205" i="61"/>
  <c r="N208" i="61"/>
  <c r="J51" i="61"/>
  <c r="M51" i="61" s="1"/>
  <c r="J59" i="61"/>
  <c r="M59" i="61" s="1"/>
  <c r="N13" i="61"/>
  <c r="N121" i="61"/>
  <c r="G17" i="61"/>
  <c r="I17" i="61" s="1"/>
  <c r="G13" i="61"/>
  <c r="I13" i="61" s="1"/>
  <c r="N202" i="61"/>
  <c r="N11" i="61"/>
  <c r="N203" i="61"/>
  <c r="N54" i="61"/>
  <c r="G53" i="61"/>
  <c r="I53" i="61" s="1"/>
  <c r="N59" i="61"/>
  <c r="N210" i="61"/>
  <c r="G56" i="61"/>
  <c r="I56" i="61" s="1"/>
  <c r="J4" i="61"/>
  <c r="J8" i="61" s="1"/>
  <c r="J61" i="61"/>
  <c r="M61" i="61" s="1"/>
  <c r="J54" i="46"/>
  <c r="C117" i="46" s="1"/>
  <c r="A12" i="2"/>
  <c r="A13" i="2"/>
  <c r="J20" i="57"/>
  <c r="D27" i="57"/>
  <c r="I20" i="57"/>
  <c r="C27" i="57" s="1"/>
  <c r="E27" i="57" s="1"/>
  <c r="J27" i="8"/>
  <c r="D101" i="46"/>
  <c r="K103" i="1"/>
  <c r="H43" i="44"/>
  <c r="A15" i="17"/>
  <c r="A16" i="17"/>
  <c r="A17" i="17"/>
  <c r="A18" i="17"/>
  <c r="A19" i="17"/>
  <c r="A20" i="17"/>
  <c r="A21" i="17"/>
  <c r="A22" i="17"/>
  <c r="A23" i="17"/>
  <c r="J52" i="46"/>
  <c r="C115" i="46" s="1"/>
  <c r="D74" i="46"/>
  <c r="A17" i="7"/>
  <c r="A18" i="7"/>
  <c r="A19" i="7"/>
  <c r="A20" i="7"/>
  <c r="A21" i="7"/>
  <c r="A22" i="7"/>
  <c r="A23" i="7"/>
  <c r="A24" i="7"/>
  <c r="A25" i="7"/>
  <c r="B197" i="71"/>
  <c r="E79" i="46"/>
  <c r="E81" i="46"/>
  <c r="I81" i="46" s="1"/>
  <c r="E82" i="46"/>
  <c r="E83" i="46"/>
  <c r="I83" i="46" s="1"/>
  <c r="E84" i="46"/>
  <c r="I84" i="46"/>
  <c r="D89" i="46"/>
  <c r="H89" i="46" s="1"/>
  <c r="D93" i="46"/>
  <c r="D77" i="46"/>
  <c r="H77" i="46"/>
  <c r="E85" i="46"/>
  <c r="I85" i="46" s="1"/>
  <c r="D87" i="46"/>
  <c r="G77" i="44"/>
  <c r="A31" i="44"/>
  <c r="A47" i="11"/>
  <c r="H39" i="12"/>
  <c r="A11" i="56"/>
  <c r="A12" i="56"/>
  <c r="E115" i="46"/>
  <c r="A23" i="22"/>
  <c r="A14" i="32"/>
  <c r="A20" i="32"/>
  <c r="A27" i="12"/>
  <c r="D48" i="71"/>
  <c r="E48" i="71"/>
  <c r="E55" i="71"/>
  <c r="D55" i="71"/>
  <c r="A6" i="31"/>
  <c r="A7" i="31"/>
  <c r="A8" i="31"/>
  <c r="B39" i="31"/>
  <c r="A30" i="57"/>
  <c r="A31" i="57"/>
  <c r="G31" i="57"/>
  <c r="F55" i="71"/>
  <c r="E58" i="7"/>
  <c r="F115" i="71"/>
  <c r="G41" i="44"/>
  <c r="E25" i="7"/>
  <c r="E13" i="2"/>
  <c r="E14" i="2"/>
  <c r="A14" i="2"/>
  <c r="A25" i="71"/>
  <c r="F114" i="71"/>
  <c r="F32" i="71"/>
  <c r="F25" i="71"/>
  <c r="A9" i="31"/>
  <c r="H22" i="31"/>
  <c r="A28" i="12"/>
  <c r="A29" i="12"/>
  <c r="A39" i="12"/>
  <c r="A40" i="12"/>
  <c r="A41" i="12"/>
  <c r="A42" i="12"/>
  <c r="A43" i="12"/>
  <c r="A44" i="12"/>
  <c r="I137" i="1"/>
  <c r="E83" i="7"/>
  <c r="E47" i="7"/>
  <c r="A26" i="7"/>
  <c r="A27" i="7"/>
  <c r="A28" i="7"/>
  <c r="A29" i="7"/>
  <c r="A30" i="7"/>
  <c r="A31" i="7"/>
  <c r="A32" i="7"/>
  <c r="A33" i="7"/>
  <c r="A34" i="7"/>
  <c r="A35" i="7"/>
  <c r="A36" i="7"/>
  <c r="D12" i="56"/>
  <c r="A24" i="22"/>
  <c r="G27" i="22"/>
  <c r="A13" i="56"/>
  <c r="A14" i="56"/>
  <c r="A15" i="56"/>
  <c r="A16" i="56"/>
  <c r="A17" i="56"/>
  <c r="A48" i="11"/>
  <c r="H40" i="12"/>
  <c r="A32" i="44"/>
  <c r="G55" i="44"/>
  <c r="D17" i="56"/>
  <c r="A32" i="57"/>
  <c r="A33" i="57"/>
  <c r="E15" i="2"/>
  <c r="A15" i="2"/>
  <c r="A26" i="71"/>
  <c r="A27" i="71"/>
  <c r="A33" i="44"/>
  <c r="B48" i="44"/>
  <c r="G64" i="44"/>
  <c r="A37" i="7"/>
  <c r="A38" i="7"/>
  <c r="A39" i="7"/>
  <c r="A40" i="7"/>
  <c r="A41" i="7"/>
  <c r="A42" i="7"/>
  <c r="A43" i="7"/>
  <c r="A44" i="7"/>
  <c r="A45" i="7"/>
  <c r="A46" i="7"/>
  <c r="A54" i="12"/>
  <c r="B40" i="31"/>
  <c r="B35" i="31"/>
  <c r="A10" i="31"/>
  <c r="A49" i="11"/>
  <c r="H41" i="12"/>
  <c r="A18" i="56"/>
  <c r="A19" i="56"/>
  <c r="A20" i="56"/>
  <c r="A26" i="22"/>
  <c r="I15" i="1"/>
  <c r="G26" i="22"/>
  <c r="A21" i="32"/>
  <c r="A22" i="32"/>
  <c r="A26" i="32"/>
  <c r="G52" i="21"/>
  <c r="G59" i="21"/>
  <c r="G63" i="4"/>
  <c r="G58" i="4"/>
  <c r="A34" i="57"/>
  <c r="A35" i="57"/>
  <c r="A36" i="57"/>
  <c r="A37" i="57"/>
  <c r="A38" i="57"/>
  <c r="A39" i="57"/>
  <c r="A40" i="57"/>
  <c r="A41" i="57"/>
  <c r="A42" i="57"/>
  <c r="A43" i="57"/>
  <c r="A44" i="57"/>
  <c r="A45" i="57"/>
  <c r="G40" i="57"/>
  <c r="G33" i="57"/>
  <c r="G73" i="44"/>
  <c r="I85" i="64"/>
  <c r="A47" i="7"/>
  <c r="A48" i="7"/>
  <c r="A49" i="7"/>
  <c r="A50" i="7"/>
  <c r="A51" i="7"/>
  <c r="A52" i="7"/>
  <c r="A53" i="7"/>
  <c r="A54" i="7"/>
  <c r="A55" i="7"/>
  <c r="G26" i="26"/>
  <c r="G50" i="22"/>
  <c r="F29" i="54"/>
  <c r="G54" i="22"/>
  <c r="G24" i="22"/>
  <c r="I55" i="1"/>
  <c r="A16" i="2"/>
  <c r="A17" i="2"/>
  <c r="A18" i="2"/>
  <c r="A19" i="2"/>
  <c r="A20" i="2"/>
  <c r="A21" i="2"/>
  <c r="A22" i="2"/>
  <c r="G22" i="32"/>
  <c r="A55" i="12"/>
  <c r="A56" i="12"/>
  <c r="A57" i="12"/>
  <c r="A58" i="12"/>
  <c r="A59" i="12"/>
  <c r="H61" i="8"/>
  <c r="B191" i="71"/>
  <c r="B194" i="71"/>
  <c r="F27" i="71"/>
  <c r="F65" i="71"/>
  <c r="A32" i="71"/>
  <c r="A33" i="71"/>
  <c r="A27" i="22"/>
  <c r="H12" i="8"/>
  <c r="A27" i="32"/>
  <c r="A28" i="32"/>
  <c r="A21" i="56"/>
  <c r="A22" i="56"/>
  <c r="A23" i="56"/>
  <c r="A24" i="56"/>
  <c r="A25" i="56"/>
  <c r="A26" i="56"/>
  <c r="A50" i="11"/>
  <c r="A51" i="11"/>
  <c r="A52" i="11"/>
  <c r="A61" i="11"/>
  <c r="B41" i="31"/>
  <c r="B36" i="31"/>
  <c r="A18" i="31"/>
  <c r="E40" i="7"/>
  <c r="A34" i="44"/>
  <c r="G80" i="44"/>
  <c r="G43" i="57"/>
  <c r="G45" i="57"/>
  <c r="A34" i="71"/>
  <c r="A35" i="71"/>
  <c r="F66" i="71"/>
  <c r="A46" i="57"/>
  <c r="A47" i="57"/>
  <c r="G9" i="31"/>
  <c r="G10" i="31"/>
  <c r="H54" i="12"/>
  <c r="F68" i="12"/>
  <c r="E48" i="7"/>
  <c r="E23" i="2"/>
  <c r="A23" i="2"/>
  <c r="B109" i="12"/>
  <c r="A68" i="12"/>
  <c r="A19" i="31"/>
  <c r="A20" i="31"/>
  <c r="A22" i="31"/>
  <c r="A24" i="31"/>
  <c r="A27" i="31"/>
  <c r="A56" i="7"/>
  <c r="A57" i="7"/>
  <c r="A58" i="7"/>
  <c r="A59" i="7"/>
  <c r="A60" i="7"/>
  <c r="A61" i="7"/>
  <c r="E55" i="7"/>
  <c r="D26" i="56"/>
  <c r="G28" i="32"/>
  <c r="A34" i="22"/>
  <c r="A41" i="44"/>
  <c r="A42" i="44"/>
  <c r="A62" i="11"/>
  <c r="A27" i="56"/>
  <c r="A28" i="56"/>
  <c r="D28" i="56"/>
  <c r="A36" i="71"/>
  <c r="A37" i="71"/>
  <c r="C37" i="71"/>
  <c r="B192" i="71"/>
  <c r="B195" i="71"/>
  <c r="G12" i="32"/>
  <c r="G26" i="32"/>
  <c r="G20" i="32"/>
  <c r="E20" i="2"/>
  <c r="A38" i="71"/>
  <c r="A39" i="71"/>
  <c r="A42" i="71"/>
  <c r="A47" i="71"/>
  <c r="A48" i="71"/>
  <c r="A49" i="71"/>
  <c r="F35" i="71"/>
  <c r="H55" i="12"/>
  <c r="F69" i="12"/>
  <c r="A35" i="22"/>
  <c r="A36" i="22"/>
  <c r="A37" i="22"/>
  <c r="A38" i="22"/>
  <c r="A39" i="22"/>
  <c r="A40" i="22"/>
  <c r="A41" i="22"/>
  <c r="A42" i="22"/>
  <c r="A43" i="22"/>
  <c r="A44" i="22"/>
  <c r="A45" i="22"/>
  <c r="A46" i="22"/>
  <c r="G49" i="22"/>
  <c r="A24" i="2"/>
  <c r="A34" i="56"/>
  <c r="A35" i="56"/>
  <c r="A36" i="56"/>
  <c r="A37" i="56"/>
  <c r="A38" i="56"/>
  <c r="E63" i="7"/>
  <c r="A69" i="12"/>
  <c r="A70" i="12"/>
  <c r="A71" i="12"/>
  <c r="A81" i="12"/>
  <c r="A82" i="12"/>
  <c r="A83" i="12"/>
  <c r="A84" i="12"/>
  <c r="A85" i="12"/>
  <c r="A86" i="12"/>
  <c r="B38" i="31"/>
  <c r="H27" i="31"/>
  <c r="A62" i="7"/>
  <c r="A63" i="7"/>
  <c r="E59" i="7"/>
  <c r="B98" i="44"/>
  <c r="A43" i="44"/>
  <c r="A63" i="11"/>
  <c r="B99" i="44"/>
  <c r="H56" i="12"/>
  <c r="F70" i="12"/>
  <c r="E64" i="7"/>
  <c r="E69" i="7"/>
  <c r="E25" i="2"/>
  <c r="A25" i="2"/>
  <c r="G53" i="22"/>
  <c r="A64" i="7"/>
  <c r="A65" i="7"/>
  <c r="B110" i="12"/>
  <c r="A90" i="12"/>
  <c r="A54" i="71"/>
  <c r="A55" i="71"/>
  <c r="A56" i="71"/>
  <c r="F67" i="71"/>
  <c r="G44" i="44"/>
  <c r="A44" i="44"/>
  <c r="A49" i="22"/>
  <c r="A64" i="11"/>
  <c r="A65" i="11"/>
  <c r="A66" i="11"/>
  <c r="A73" i="11"/>
  <c r="A74" i="11"/>
  <c r="A75" i="11"/>
  <c r="A76" i="11"/>
  <c r="A77" i="11"/>
  <c r="A78" i="11"/>
  <c r="A79" i="11"/>
  <c r="A80" i="11"/>
  <c r="A81" i="11"/>
  <c r="A82" i="11"/>
  <c r="A83" i="11"/>
  <c r="A84" i="11"/>
  <c r="A85" i="11"/>
  <c r="A39" i="56"/>
  <c r="A40" i="56"/>
  <c r="A26" i="2"/>
  <c r="A27" i="2"/>
  <c r="A28" i="2"/>
  <c r="E65" i="7"/>
  <c r="D40" i="56"/>
  <c r="A66" i="7"/>
  <c r="A67" i="7"/>
  <c r="A68" i="7"/>
  <c r="A69" i="7"/>
  <c r="A70" i="7"/>
  <c r="A50" i="22"/>
  <c r="A51" i="22"/>
  <c r="H13" i="8"/>
  <c r="A91" i="12"/>
  <c r="A92" i="12"/>
  <c r="H47" i="11"/>
  <c r="H48" i="11"/>
  <c r="H49" i="11"/>
  <c r="A57" i="71"/>
  <c r="A58" i="71"/>
  <c r="F68" i="71"/>
  <c r="A41" i="56"/>
  <c r="A42" i="56"/>
  <c r="E21" i="2"/>
  <c r="D42" i="56"/>
  <c r="A86" i="11"/>
  <c r="G87" i="44"/>
  <c r="A55" i="44"/>
  <c r="A53" i="22"/>
  <c r="I134" i="15"/>
  <c r="I91" i="15"/>
  <c r="I71" i="15"/>
  <c r="A65" i="71"/>
  <c r="A66" i="71"/>
  <c r="F49" i="71"/>
  <c r="F56" i="71"/>
  <c r="E28" i="2"/>
  <c r="A29" i="2"/>
  <c r="A30" i="2"/>
  <c r="A31" i="2"/>
  <c r="A32" i="2"/>
  <c r="I40" i="1"/>
  <c r="G28" i="26"/>
  <c r="G92" i="12"/>
  <c r="A71" i="7"/>
  <c r="E71" i="7"/>
  <c r="A54" i="22"/>
  <c r="A55" i="22"/>
  <c r="I16" i="1"/>
  <c r="G51" i="22"/>
  <c r="A93" i="12"/>
  <c r="A94" i="12"/>
  <c r="G98" i="12"/>
  <c r="A95" i="11"/>
  <c r="A96" i="11"/>
  <c r="A97" i="11"/>
  <c r="A98" i="11"/>
  <c r="A99" i="11"/>
  <c r="A100" i="11"/>
  <c r="A101" i="11"/>
  <c r="A102" i="11"/>
  <c r="A103" i="11"/>
  <c r="A104" i="11"/>
  <c r="A105" i="11"/>
  <c r="A106" i="11"/>
  <c r="A107" i="11"/>
  <c r="A108" i="11"/>
  <c r="A118" i="11"/>
  <c r="H62" i="11"/>
  <c r="H61" i="11"/>
  <c r="H63" i="11"/>
  <c r="A56" i="44"/>
  <c r="A57" i="44"/>
  <c r="G59" i="44"/>
  <c r="C22" i="17"/>
  <c r="A72" i="7"/>
  <c r="A73" i="7"/>
  <c r="A74" i="7"/>
  <c r="A75" i="7"/>
  <c r="A76" i="7"/>
  <c r="A77" i="7"/>
  <c r="A78" i="7"/>
  <c r="A79" i="7"/>
  <c r="A80" i="7"/>
  <c r="A81" i="7"/>
  <c r="A82" i="7"/>
  <c r="A83" i="7"/>
  <c r="A84" i="7"/>
  <c r="A85" i="7"/>
  <c r="A86" i="7"/>
  <c r="E88" i="7"/>
  <c r="A119" i="11"/>
  <c r="A120" i="11"/>
  <c r="A121" i="11"/>
  <c r="A122" i="11"/>
  <c r="A123" i="11"/>
  <c r="A124" i="11"/>
  <c r="A125" i="11"/>
  <c r="A126" i="11"/>
  <c r="A127" i="11"/>
  <c r="A128" i="11"/>
  <c r="A129" i="11"/>
  <c r="A130" i="11"/>
  <c r="F70" i="11"/>
  <c r="A87" i="7"/>
  <c r="A88" i="7"/>
  <c r="A89" i="7"/>
  <c r="C23" i="17"/>
  <c r="I53" i="1"/>
  <c r="G55" i="22"/>
  <c r="A98" i="12"/>
  <c r="G94" i="12"/>
  <c r="A67" i="71"/>
  <c r="A58" i="44"/>
  <c r="A59" i="44"/>
  <c r="G65" i="44"/>
  <c r="E73" i="7"/>
  <c r="E89" i="7"/>
  <c r="E79" i="7"/>
  <c r="A138" i="11"/>
  <c r="A139" i="11"/>
  <c r="A140" i="11"/>
  <c r="A141" i="11"/>
  <c r="A142" i="11"/>
  <c r="A143" i="11"/>
  <c r="A144" i="11"/>
  <c r="A145" i="11"/>
  <c r="A146" i="11"/>
  <c r="A147" i="11"/>
  <c r="A148" i="11"/>
  <c r="A149" i="11"/>
  <c r="A150" i="11"/>
  <c r="A158" i="11"/>
  <c r="A90" i="7"/>
  <c r="A91" i="7"/>
  <c r="I150" i="1"/>
  <c r="G90" i="44"/>
  <c r="A99" i="12"/>
  <c r="A100" i="12"/>
  <c r="A101" i="12"/>
  <c r="A68" i="71"/>
  <c r="B193" i="71"/>
  <c r="E91" i="7"/>
  <c r="E80" i="7"/>
  <c r="E86" i="7"/>
  <c r="E84" i="7"/>
  <c r="G78" i="44"/>
  <c r="A64" i="44"/>
  <c r="B189" i="71"/>
  <c r="B190" i="71"/>
  <c r="B196" i="71"/>
  <c r="H70" i="11"/>
  <c r="A159" i="11"/>
  <c r="A160" i="11"/>
  <c r="A161" i="11"/>
  <c r="A162" i="11"/>
  <c r="A163" i="11"/>
  <c r="A164" i="11"/>
  <c r="A165" i="11"/>
  <c r="A166" i="11"/>
  <c r="A167" i="11"/>
  <c r="A168" i="11"/>
  <c r="A169" i="11"/>
  <c r="A170" i="11"/>
  <c r="A177" i="11"/>
  <c r="A178" i="11"/>
  <c r="A179" i="11"/>
  <c r="A180" i="11"/>
  <c r="A181" i="11"/>
  <c r="A182" i="11"/>
  <c r="A183" i="11"/>
  <c r="A184" i="11"/>
  <c r="A185" i="11"/>
  <c r="A186" i="11"/>
  <c r="A187" i="11"/>
  <c r="A188" i="11"/>
  <c r="A189" i="11"/>
  <c r="A196" i="11"/>
  <c r="A197" i="11"/>
  <c r="A198" i="11"/>
  <c r="A199" i="11"/>
  <c r="A200" i="11"/>
  <c r="A201" i="11"/>
  <c r="A202" i="11"/>
  <c r="A203" i="11"/>
  <c r="A204" i="11"/>
  <c r="A205" i="11"/>
  <c r="A206" i="11"/>
  <c r="A207" i="11"/>
  <c r="A208" i="11"/>
  <c r="A215" i="11"/>
  <c r="A216" i="11"/>
  <c r="A217" i="11"/>
  <c r="A218" i="11"/>
  <c r="A219" i="11"/>
  <c r="A220" i="11"/>
  <c r="A221" i="11"/>
  <c r="A222" i="11"/>
  <c r="A223" i="11"/>
  <c r="A224" i="11"/>
  <c r="A225" i="11"/>
  <c r="A226" i="11"/>
  <c r="A227" i="11"/>
  <c r="A234" i="11"/>
  <c r="A235" i="11"/>
  <c r="A236" i="11"/>
  <c r="A237" i="11"/>
  <c r="A238" i="11"/>
  <c r="A239" i="11"/>
  <c r="A240" i="11"/>
  <c r="A241" i="11"/>
  <c r="A242" i="11"/>
  <c r="A243" i="11"/>
  <c r="A244" i="11"/>
  <c r="A245" i="11"/>
  <c r="A246" i="11"/>
  <c r="A253" i="11"/>
  <c r="A254" i="11"/>
  <c r="A255" i="11"/>
  <c r="A256" i="11"/>
  <c r="A257" i="11"/>
  <c r="A258" i="11"/>
  <c r="A259" i="11"/>
  <c r="A260" i="11"/>
  <c r="A261" i="11"/>
  <c r="A262" i="11"/>
  <c r="A263" i="11"/>
  <c r="A264" i="11"/>
  <c r="A265" i="11"/>
  <c r="A272" i="11"/>
  <c r="A273" i="11"/>
  <c r="A274" i="11"/>
  <c r="A275" i="11"/>
  <c r="A276" i="11"/>
  <c r="A277" i="11"/>
  <c r="A278" i="11"/>
  <c r="A279" i="11"/>
  <c r="A280" i="11"/>
  <c r="A281" i="11"/>
  <c r="A282" i="11"/>
  <c r="A283" i="11"/>
  <c r="A284" i="11"/>
  <c r="A291" i="11"/>
  <c r="A292" i="11"/>
  <c r="A293" i="11"/>
  <c r="A294" i="11"/>
  <c r="A295" i="11"/>
  <c r="A296" i="11"/>
  <c r="A297" i="11"/>
  <c r="A298" i="11"/>
  <c r="A299" i="11"/>
  <c r="A300" i="11"/>
  <c r="A301" i="11"/>
  <c r="A302" i="11"/>
  <c r="A303" i="11"/>
  <c r="G101" i="12"/>
  <c r="F141" i="71"/>
  <c r="A69" i="71"/>
  <c r="A65" i="44"/>
  <c r="A66" i="44"/>
  <c r="A67" i="44"/>
  <c r="A68" i="44"/>
  <c r="A69" i="44"/>
  <c r="A70" i="44"/>
  <c r="A310" i="11"/>
  <c r="A311" i="11"/>
  <c r="A312" i="11"/>
  <c r="A313" i="11"/>
  <c r="A314" i="11"/>
  <c r="A315" i="11"/>
  <c r="A316" i="11"/>
  <c r="A317" i="11"/>
  <c r="A318" i="11"/>
  <c r="A319" i="11"/>
  <c r="A320" i="11"/>
  <c r="A321" i="11"/>
  <c r="A322" i="11"/>
  <c r="G70" i="11"/>
  <c r="A71" i="44"/>
  <c r="A72" i="44"/>
  <c r="G66" i="44"/>
  <c r="A70" i="71"/>
  <c r="A78" i="71"/>
  <c r="F70" i="71"/>
  <c r="G79" i="44"/>
  <c r="A330" i="11"/>
  <c r="A331" i="11"/>
  <c r="A332" i="11"/>
  <c r="A333" i="11"/>
  <c r="A334" i="11"/>
  <c r="A335" i="11"/>
  <c r="A336" i="11"/>
  <c r="A337" i="11"/>
  <c r="A338" i="11"/>
  <c r="A339" i="11"/>
  <c r="A340" i="11"/>
  <c r="A341" i="11"/>
  <c r="G72" i="44"/>
  <c r="A73" i="44"/>
  <c r="A74" i="44"/>
  <c r="A79" i="71"/>
  <c r="A80" i="71"/>
  <c r="A81" i="71"/>
  <c r="A82" i="71"/>
  <c r="A83" i="71"/>
  <c r="A84" i="71"/>
  <c r="A85" i="71"/>
  <c r="A86" i="71"/>
  <c r="A87" i="71"/>
  <c r="A88" i="71"/>
  <c r="A89" i="71"/>
  <c r="A342" i="11"/>
  <c r="G74" i="44"/>
  <c r="G81" i="44"/>
  <c r="A77" i="44"/>
  <c r="A78" i="44"/>
  <c r="A79" i="44"/>
  <c r="A80" i="44"/>
  <c r="A81" i="44"/>
  <c r="A82" i="44"/>
  <c r="A83" i="44"/>
  <c r="A33" i="2"/>
  <c r="B198" i="71"/>
  <c r="A90" i="71"/>
  <c r="A96" i="71"/>
  <c r="I90" i="71"/>
  <c r="A366" i="11"/>
  <c r="A367" i="11"/>
  <c r="A349" i="11"/>
  <c r="A350" i="11"/>
  <c r="A351" i="11"/>
  <c r="A352" i="11"/>
  <c r="A353" i="11"/>
  <c r="A354" i="11"/>
  <c r="A355" i="11"/>
  <c r="A356" i="11"/>
  <c r="A357" i="11"/>
  <c r="A358" i="11"/>
  <c r="A359" i="11"/>
  <c r="A360" i="11"/>
  <c r="A361" i="11"/>
  <c r="G88" i="44"/>
  <c r="A87" i="44"/>
  <c r="A88" i="44"/>
  <c r="A89" i="44"/>
  <c r="A90" i="44"/>
  <c r="A91" i="44"/>
  <c r="A92" i="44"/>
  <c r="A93" i="44"/>
  <c r="I159" i="1"/>
  <c r="A34" i="2"/>
  <c r="A35" i="2"/>
  <c r="A36" i="2"/>
  <c r="A97" i="71"/>
  <c r="A98" i="71"/>
  <c r="A99" i="71"/>
  <c r="A100" i="71"/>
  <c r="A101" i="71"/>
  <c r="A102" i="71"/>
  <c r="A103" i="71"/>
  <c r="A104" i="71"/>
  <c r="A105" i="71"/>
  <c r="A106" i="71"/>
  <c r="A107" i="71"/>
  <c r="A108" i="71"/>
  <c r="A114" i="71"/>
  <c r="A115" i="71"/>
  <c r="A116" i="71"/>
  <c r="F117" i="71"/>
  <c r="I108" i="71"/>
  <c r="G25" i="12"/>
  <c r="A368" i="11"/>
  <c r="A371" i="11"/>
  <c r="A372" i="11"/>
  <c r="B101" i="44"/>
  <c r="G93" i="44"/>
  <c r="G91" i="44"/>
  <c r="E36" i="2"/>
  <c r="E35" i="2"/>
  <c r="A37" i="2"/>
  <c r="A38" i="2"/>
  <c r="A39" i="2"/>
  <c r="G26" i="12"/>
  <c r="A373" i="11"/>
  <c r="A376" i="11"/>
  <c r="A377" i="11"/>
  <c r="A40" i="2"/>
  <c r="A41" i="2"/>
  <c r="A42" i="2"/>
  <c r="F116" i="71"/>
  <c r="A117" i="71"/>
  <c r="A118" i="71"/>
  <c r="A123" i="71"/>
  <c r="F142" i="71"/>
  <c r="G27" i="12"/>
  <c r="A378" i="11"/>
  <c r="A379" i="11"/>
  <c r="A382" i="11"/>
  <c r="A383" i="11"/>
  <c r="A384" i="11"/>
  <c r="A385" i="11"/>
  <c r="A386" i="11"/>
  <c r="A389" i="11"/>
  <c r="A390" i="11"/>
  <c r="A391" i="11"/>
  <c r="A394" i="11"/>
  <c r="A395" i="11"/>
  <c r="A396" i="11"/>
  <c r="A399" i="11"/>
  <c r="A400" i="11"/>
  <c r="A401" i="11"/>
  <c r="A404" i="11"/>
  <c r="A405" i="11"/>
  <c r="A406" i="11"/>
  <c r="A409" i="11"/>
  <c r="A410" i="11"/>
  <c r="A411" i="11"/>
  <c r="A414" i="11"/>
  <c r="A415" i="11"/>
  <c r="A416" i="11"/>
  <c r="A419" i="11"/>
  <c r="A420" i="11"/>
  <c r="A421" i="11"/>
  <c r="A424" i="11"/>
  <c r="A425" i="11"/>
  <c r="A426" i="11"/>
  <c r="A429" i="11"/>
  <c r="A430" i="11"/>
  <c r="A431" i="11"/>
  <c r="A434" i="11"/>
  <c r="A435" i="11"/>
  <c r="A436" i="11"/>
  <c r="E41" i="2"/>
  <c r="E42" i="2"/>
  <c r="A43" i="2"/>
  <c r="F118" i="71"/>
  <c r="A124" i="71"/>
  <c r="A125" i="71"/>
  <c r="A126" i="71"/>
  <c r="A127" i="71"/>
  <c r="A128" i="71"/>
  <c r="A129" i="71"/>
  <c r="A130" i="71"/>
  <c r="A131" i="71"/>
  <c r="A132" i="71"/>
  <c r="A141" i="71"/>
  <c r="A142" i="71"/>
  <c r="A143" i="71"/>
  <c r="A133" i="71"/>
  <c r="A134" i="71"/>
  <c r="A135" i="71"/>
  <c r="A44" i="2"/>
  <c r="A45" i="2"/>
  <c r="A46" i="2"/>
  <c r="A47" i="2"/>
  <c r="A48" i="2"/>
  <c r="A49" i="2"/>
  <c r="F135" i="71"/>
  <c r="B199" i="71"/>
  <c r="A50" i="2"/>
  <c r="A51" i="2"/>
  <c r="A52" i="2"/>
  <c r="A53" i="2"/>
  <c r="A54" i="2"/>
  <c r="F143" i="71"/>
  <c r="A144" i="71"/>
  <c r="A145" i="71"/>
  <c r="A146" i="71"/>
  <c r="A147" i="71"/>
  <c r="A148" i="71"/>
  <c r="A149" i="71"/>
  <c r="B37" i="31"/>
  <c r="A155" i="71"/>
  <c r="A156" i="71"/>
  <c r="A157" i="71"/>
  <c r="A158" i="71"/>
  <c r="A159" i="71"/>
  <c r="A160" i="71"/>
  <c r="A161" i="71"/>
  <c r="A162" i="71"/>
  <c r="A163" i="71"/>
  <c r="A164" i="71"/>
  <c r="F146" i="71"/>
  <c r="F149" i="71"/>
  <c r="F148" i="71"/>
  <c r="F147" i="71"/>
  <c r="A174" i="71"/>
  <c r="A175" i="71"/>
  <c r="A176" i="71"/>
  <c r="A177" i="71"/>
  <c r="A178" i="71"/>
  <c r="A179" i="71"/>
  <c r="A180" i="71"/>
  <c r="A181" i="71"/>
  <c r="A182" i="71"/>
  <c r="A183" i="71"/>
  <c r="A165" i="71"/>
  <c r="A166" i="71"/>
  <c r="A167" i="71"/>
  <c r="E48" i="2"/>
  <c r="E47" i="2"/>
  <c r="E54" i="2"/>
  <c r="E53" i="2"/>
  <c r="I24" i="64"/>
  <c r="C125" i="48" s="1"/>
  <c r="E125" i="48" s="1"/>
  <c r="F24" i="64"/>
  <c r="C122" i="48"/>
  <c r="E122" i="48"/>
  <c r="L183" i="4"/>
  <c r="L24" i="64"/>
  <c r="C128" i="48"/>
  <c r="E128" i="48" s="1"/>
  <c r="F183" i="4"/>
  <c r="K183" i="4"/>
  <c r="K24" i="64"/>
  <c r="C127" i="48" s="1"/>
  <c r="E127" i="48" s="1"/>
  <c r="H183" i="4"/>
  <c r="H24" i="64"/>
  <c r="C124" i="48" s="1"/>
  <c r="E124" i="48" s="1"/>
  <c r="E183" i="4"/>
  <c r="E24" i="64"/>
  <c r="C121" i="48" s="1"/>
  <c r="F53" i="22"/>
  <c r="E46" i="21"/>
  <c r="F51" i="21"/>
  <c r="B148" i="21"/>
  <c r="I21" i="1"/>
  <c r="A25" i="21"/>
  <c r="E38" i="7"/>
  <c r="A45" i="21"/>
  <c r="H46" i="21"/>
  <c r="H19" i="8"/>
  <c r="M86" i="4"/>
  <c r="E104" i="4"/>
  <c r="M104" i="4" s="1"/>
  <c r="F57" i="4"/>
  <c r="K115" i="53"/>
  <c r="E13" i="32"/>
  <c r="C10" i="57"/>
  <c r="C12" i="57"/>
  <c r="E144" i="71"/>
  <c r="F83" i="46"/>
  <c r="J53" i="46"/>
  <c r="C116" i="46" s="1"/>
  <c r="K37" i="46"/>
  <c r="C100" i="46" s="1"/>
  <c r="D91" i="46"/>
  <c r="H91" i="46"/>
  <c r="D83" i="46"/>
  <c r="H83" i="46" s="1"/>
  <c r="P21" i="48"/>
  <c r="P30" i="48"/>
  <c r="H79" i="48"/>
  <c r="H16" i="48" s="1"/>
  <c r="I99" i="48"/>
  <c r="J99" i="48" s="1"/>
  <c r="J36" i="48" s="1"/>
  <c r="I77" i="48"/>
  <c r="J77" i="48" s="1"/>
  <c r="J14" i="48" s="1"/>
  <c r="E95" i="11"/>
  <c r="G95" i="11" s="1"/>
  <c r="E102" i="11"/>
  <c r="G102" i="11" s="1"/>
  <c r="I72" i="49"/>
  <c r="G62" i="48" s="1"/>
  <c r="F159" i="49"/>
  <c r="F140" i="49"/>
  <c r="E65" i="49"/>
  <c r="F111" i="49"/>
  <c r="F90" i="49"/>
  <c r="F99" i="49"/>
  <c r="F91" i="49"/>
  <c r="F30" i="11"/>
  <c r="I49" i="84"/>
  <c r="K107" i="1"/>
  <c r="K110" i="1"/>
  <c r="E49" i="84"/>
  <c r="D39" i="7"/>
  <c r="C28" i="56"/>
  <c r="G183" i="4"/>
  <c r="F12" i="56"/>
  <c r="F161" i="4"/>
  <c r="C158" i="4"/>
  <c r="M137" i="4"/>
  <c r="F155" i="4"/>
  <c r="I154" i="4"/>
  <c r="H105" i="4"/>
  <c r="E151" i="4"/>
  <c r="G154" i="4"/>
  <c r="M97" i="4"/>
  <c r="G150" i="4"/>
  <c r="H161" i="4"/>
  <c r="H155" i="4"/>
  <c r="D150" i="4"/>
  <c r="C105" i="4"/>
  <c r="F153" i="4"/>
  <c r="L152" i="4"/>
  <c r="L26" i="82"/>
  <c r="K64" i="1"/>
  <c r="M40" i="84"/>
  <c r="L40" i="84"/>
  <c r="H27" i="83"/>
  <c r="H49" i="83"/>
  <c r="K31" i="84"/>
  <c r="I49" i="83"/>
  <c r="L12" i="84"/>
  <c r="M12" i="84"/>
  <c r="L18" i="84"/>
  <c r="H17" i="83"/>
  <c r="H31" i="83"/>
  <c r="H51" i="83"/>
  <c r="I17" i="83"/>
  <c r="I22" i="83"/>
  <c r="K19" i="84"/>
  <c r="M19" i="84"/>
  <c r="L44" i="84"/>
  <c r="L42" i="84"/>
  <c r="K14" i="84"/>
  <c r="M9" i="84"/>
  <c r="L9" i="84"/>
  <c r="M39" i="84"/>
  <c r="L39" i="84"/>
  <c r="M34" i="84"/>
  <c r="L34" i="84"/>
  <c r="L37" i="84"/>
  <c r="M37" i="84"/>
  <c r="L10" i="84"/>
  <c r="M10" i="84"/>
  <c r="L32" i="84"/>
  <c r="M32" i="84"/>
  <c r="L31" i="84"/>
  <c r="K46" i="84"/>
  <c r="M31" i="84"/>
  <c r="M21" i="84"/>
  <c r="L21" i="84"/>
  <c r="K17" i="84"/>
  <c r="M35" i="84"/>
  <c r="L35" i="84"/>
  <c r="L22" i="84"/>
  <c r="M22" i="84"/>
  <c r="L38" i="84"/>
  <c r="M38" i="84"/>
  <c r="L33" i="84"/>
  <c r="M33" i="84"/>
  <c r="L11" i="84"/>
  <c r="M11" i="84"/>
  <c r="M36" i="84"/>
  <c r="L36" i="84"/>
  <c r="L41" i="84"/>
  <c r="M41" i="84"/>
  <c r="K26" i="84"/>
  <c r="M20" i="84"/>
  <c r="G138" i="61"/>
  <c r="G94" i="61"/>
  <c r="G239" i="61"/>
  <c r="N239" i="61"/>
  <c r="N46" i="61"/>
  <c r="G8" i="61"/>
  <c r="N227" i="61"/>
  <c r="I158" i="61"/>
  <c r="J227" i="61"/>
  <c r="A97" i="85"/>
  <c r="A98" i="85"/>
  <c r="A12" i="8"/>
  <c r="K13" i="46"/>
  <c r="C76" i="46"/>
  <c r="A44" i="46"/>
  <c r="A52" i="46"/>
  <c r="A53" i="46"/>
  <c r="A54" i="46"/>
  <c r="A55" i="46"/>
  <c r="A56" i="46"/>
  <c r="A57" i="46"/>
  <c r="A58" i="46"/>
  <c r="E62" i="46"/>
  <c r="D116" i="46"/>
  <c r="G24" i="26"/>
  <c r="A11" i="26"/>
  <c r="A12" i="26"/>
  <c r="A13" i="26"/>
  <c r="A14" i="26"/>
  <c r="A15" i="26"/>
  <c r="A16" i="26"/>
  <c r="A17" i="26"/>
  <c r="A18" i="26"/>
  <c r="A19" i="26"/>
  <c r="A46" i="21"/>
  <c r="G58" i="21"/>
  <c r="A33" i="21"/>
  <c r="H18" i="8"/>
  <c r="L115" i="53"/>
  <c r="I79" i="48"/>
  <c r="J79" i="48" s="1"/>
  <c r="J16" i="48" s="1"/>
  <c r="I27" i="83"/>
  <c r="I31" i="83"/>
  <c r="I51" i="83"/>
  <c r="L19" i="84"/>
  <c r="L46" i="84"/>
  <c r="M17" i="84"/>
  <c r="M24" i="84"/>
  <c r="L17" i="84"/>
  <c r="L24" i="84"/>
  <c r="K24" i="84"/>
  <c r="K28" i="84"/>
  <c r="K48" i="84"/>
  <c r="L14" i="84"/>
  <c r="M26" i="84"/>
  <c r="L26" i="84"/>
  <c r="M14" i="84"/>
  <c r="M46" i="84"/>
  <c r="A99" i="85"/>
  <c r="A100" i="85"/>
  <c r="A101" i="85"/>
  <c r="A102" i="85"/>
  <c r="A103" i="85"/>
  <c r="A104" i="85"/>
  <c r="A105" i="85"/>
  <c r="A106" i="85"/>
  <c r="A107" i="85"/>
  <c r="A108" i="85"/>
  <c r="A109" i="85"/>
  <c r="A110" i="85"/>
  <c r="A111" i="85"/>
  <c r="A112" i="85"/>
  <c r="A113" i="85"/>
  <c r="A13" i="8"/>
  <c r="A14" i="8"/>
  <c r="A15" i="8"/>
  <c r="H15" i="8"/>
  <c r="A59" i="46"/>
  <c r="A60" i="46"/>
  <c r="E63" i="46"/>
  <c r="D145" i="46"/>
  <c r="C80" i="26"/>
  <c r="A20" i="26"/>
  <c r="B144" i="21"/>
  <c r="H35" i="21"/>
  <c r="G51" i="21"/>
  <c r="A51" i="21"/>
  <c r="I16" i="48"/>
  <c r="M28" i="84"/>
  <c r="M48" i="84"/>
  <c r="L28" i="84"/>
  <c r="L48" i="84"/>
  <c r="M49" i="84"/>
  <c r="D13" i="15"/>
  <c r="G73" i="8"/>
  <c r="I152" i="1"/>
  <c r="A18" i="8"/>
  <c r="A61" i="46"/>
  <c r="A62" i="46"/>
  <c r="A63" i="46"/>
  <c r="A64"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D144" i="46"/>
  <c r="A23" i="26"/>
  <c r="G23" i="26"/>
  <c r="A52" i="21"/>
  <c r="A53" i="21"/>
  <c r="G53" i="21"/>
  <c r="A19" i="8"/>
  <c r="A20" i="8"/>
  <c r="A21" i="8"/>
  <c r="A107" i="46"/>
  <c r="A115" i="46"/>
  <c r="A116" i="46"/>
  <c r="A117" i="46"/>
  <c r="A118" i="46"/>
  <c r="A119" i="46"/>
  <c r="A120" i="46"/>
  <c r="A121" i="46"/>
  <c r="A122" i="46"/>
  <c r="A123" i="46"/>
  <c r="A124" i="46"/>
  <c r="A24" i="26"/>
  <c r="A25" i="26"/>
  <c r="G25" i="26"/>
  <c r="A58" i="21"/>
  <c r="H20" i="8"/>
  <c r="A23" i="8"/>
  <c r="H29" i="8"/>
  <c r="H21" i="8"/>
  <c r="I126" i="1"/>
  <c r="A125" i="46"/>
  <c r="E7" i="2"/>
  <c r="A26" i="26"/>
  <c r="A27" i="26"/>
  <c r="G27" i="26"/>
  <c r="A59" i="21"/>
  <c r="A60" i="21"/>
  <c r="G60" i="21"/>
  <c r="A24" i="8"/>
  <c r="A28" i="26"/>
  <c r="I23" i="1"/>
  <c r="A70" i="21"/>
  <c r="A71" i="21"/>
  <c r="A72" i="21"/>
  <c r="A73" i="21"/>
  <c r="A74" i="21"/>
  <c r="A75" i="21"/>
  <c r="A76" i="21"/>
  <c r="A77" i="21"/>
  <c r="A78" i="21"/>
  <c r="A79" i="21"/>
  <c r="A80" i="21"/>
  <c r="A81" i="21"/>
  <c r="A82" i="21"/>
  <c r="G91" i="12"/>
  <c r="A25" i="8"/>
  <c r="A29" i="26"/>
  <c r="G29" i="26"/>
  <c r="A89" i="21"/>
  <c r="A90" i="21"/>
  <c r="A91" i="21"/>
  <c r="A92" i="21"/>
  <c r="A93" i="21"/>
  <c r="A94" i="21"/>
  <c r="A95" i="21"/>
  <c r="A96" i="21"/>
  <c r="A97" i="21"/>
  <c r="A98" i="21"/>
  <c r="A99" i="21"/>
  <c r="A100" i="21"/>
  <c r="A106" i="21"/>
  <c r="B149" i="21"/>
  <c r="A26" i="8"/>
  <c r="A27" i="8"/>
  <c r="A29" i="8"/>
  <c r="H30" i="8"/>
  <c r="A30" i="26"/>
  <c r="G30" i="26"/>
  <c r="A109" i="21"/>
  <c r="A112" i="21"/>
  <c r="A119" i="21"/>
  <c r="A120" i="21"/>
  <c r="A121" i="21"/>
  <c r="A122" i="21"/>
  <c r="A123" i="21"/>
  <c r="A124" i="21"/>
  <c r="A125" i="21"/>
  <c r="A126" i="21"/>
  <c r="A127" i="21"/>
  <c r="A128" i="21"/>
  <c r="A129" i="21"/>
  <c r="A130" i="21"/>
  <c r="A131" i="21"/>
  <c r="G90" i="12"/>
  <c r="H41" i="8"/>
  <c r="A33" i="8"/>
  <c r="A34" i="8"/>
  <c r="I127" i="1"/>
  <c r="A37" i="26"/>
  <c r="B150" i="21"/>
  <c r="H34" i="8"/>
  <c r="A38" i="8"/>
  <c r="H55" i="8"/>
  <c r="A38" i="26"/>
  <c r="A39" i="26"/>
  <c r="A40" i="26"/>
  <c r="A41" i="26"/>
  <c r="A42" i="26"/>
  <c r="A43" i="26"/>
  <c r="G81" i="26"/>
  <c r="H56" i="8"/>
  <c r="A41" i="8"/>
  <c r="A42" i="8"/>
  <c r="A43" i="8"/>
  <c r="A44" i="8"/>
  <c r="A45" i="8"/>
  <c r="A48" i="8"/>
  <c r="C82" i="26"/>
  <c r="A44" i="26"/>
  <c r="A49" i="8"/>
  <c r="A50" i="8"/>
  <c r="A51" i="8"/>
  <c r="A52" i="8"/>
  <c r="A53" i="8"/>
  <c r="A54" i="8"/>
  <c r="A55" i="8"/>
  <c r="A56" i="8"/>
  <c r="A57" i="8"/>
  <c r="A58" i="8"/>
  <c r="A59" i="8"/>
  <c r="C73" i="26"/>
  <c r="A45" i="26"/>
  <c r="A46" i="26"/>
  <c r="A47" i="26"/>
  <c r="A48" i="26"/>
  <c r="A49" i="26"/>
  <c r="A50" i="26"/>
  <c r="H64" i="8"/>
  <c r="A61" i="8"/>
  <c r="A64" i="8"/>
  <c r="H59" i="8"/>
  <c r="A68" i="8"/>
  <c r="G68" i="8"/>
  <c r="A69" i="8"/>
  <c r="A70" i="8"/>
  <c r="A71" i="8"/>
  <c r="A72" i="8"/>
  <c r="A74" i="8"/>
  <c r="H14" i="65"/>
  <c r="G70" i="8"/>
  <c r="G72" i="8"/>
  <c r="I89" i="65" l="1"/>
  <c r="A25" i="65"/>
  <c r="B8" i="65"/>
  <c r="E71" i="8"/>
  <c r="E145" i="71"/>
  <c r="A15" i="1"/>
  <c r="K44" i="1"/>
  <c r="J58" i="8"/>
  <c r="J52" i="8"/>
  <c r="J44" i="8"/>
  <c r="K104" i="1"/>
  <c r="C9" i="9"/>
  <c r="J57" i="8"/>
  <c r="G21" i="45"/>
  <c r="J9" i="8" s="1"/>
  <c r="N73" i="61"/>
  <c r="H82" i="61"/>
  <c r="I60" i="46"/>
  <c r="C60" i="46"/>
  <c r="E119" i="46"/>
  <c r="I119" i="46" s="1"/>
  <c r="G119" i="46" s="1"/>
  <c r="J55" i="46"/>
  <c r="C118" i="46" s="1"/>
  <c r="D60" i="46"/>
  <c r="C145" i="46" s="1"/>
  <c r="H57" i="46" s="1"/>
  <c r="K57" i="46" s="1"/>
  <c r="J56" i="46"/>
  <c r="C119" i="46" s="1"/>
  <c r="D81" i="46"/>
  <c r="H81" i="46" s="1"/>
  <c r="G81" i="46" s="1"/>
  <c r="K20" i="46"/>
  <c r="C83" i="46" s="1"/>
  <c r="K36" i="46"/>
  <c r="C99" i="46" s="1"/>
  <c r="K33" i="46"/>
  <c r="C96" i="46" s="1"/>
  <c r="G84" i="46"/>
  <c r="G77" i="46"/>
  <c r="G83" i="46"/>
  <c r="G91" i="46"/>
  <c r="D75" i="46"/>
  <c r="H75" i="46" s="1"/>
  <c r="G92" i="46"/>
  <c r="G85" i="46"/>
  <c r="G98" i="46"/>
  <c r="G89" i="46"/>
  <c r="G75" i="46"/>
  <c r="G80" i="46"/>
  <c r="G102" i="46"/>
  <c r="G78" i="46"/>
  <c r="E106" i="46"/>
  <c r="G88" i="46"/>
  <c r="G100" i="46"/>
  <c r="G86" i="46"/>
  <c r="K40" i="46"/>
  <c r="C103" i="46" s="1"/>
  <c r="K25" i="46"/>
  <c r="C88" i="46" s="1"/>
  <c r="K21" i="46"/>
  <c r="C84" i="46" s="1"/>
  <c r="K17" i="46"/>
  <c r="C80" i="46" s="1"/>
  <c r="M43" i="46"/>
  <c r="L60" i="46" s="1"/>
  <c r="D96" i="46"/>
  <c r="H96" i="46" s="1"/>
  <c r="G96" i="46" s="1"/>
  <c r="K34" i="46"/>
  <c r="C97" i="46" s="1"/>
  <c r="K29" i="46"/>
  <c r="C92" i="46" s="1"/>
  <c r="K35" i="46"/>
  <c r="C98" i="46" s="1"/>
  <c r="I20" i="26"/>
  <c r="F23" i="26" s="1"/>
  <c r="F25" i="26" s="1"/>
  <c r="L117" i="53"/>
  <c r="L124" i="53"/>
  <c r="L118" i="53"/>
  <c r="L120" i="53"/>
  <c r="L127" i="53"/>
  <c r="L121" i="53"/>
  <c r="L128" i="53"/>
  <c r="K130" i="53"/>
  <c r="L116" i="53"/>
  <c r="N60" i="61"/>
  <c r="I59" i="61"/>
  <c r="G60" i="61"/>
  <c r="N74" i="61"/>
  <c r="I93" i="61"/>
  <c r="I236" i="61"/>
  <c r="I239" i="61" s="1"/>
  <c r="J239" i="61"/>
  <c r="I227" i="61"/>
  <c r="M227" i="61"/>
  <c r="H184" i="61"/>
  <c r="I164" i="61"/>
  <c r="I184" i="61" s="1"/>
  <c r="N184" i="61"/>
  <c r="M184" i="61"/>
  <c r="G184" i="61"/>
  <c r="J184" i="61"/>
  <c r="L251" i="61"/>
  <c r="E254" i="61" s="1"/>
  <c r="E255" i="61" s="1"/>
  <c r="M244" i="61"/>
  <c r="M246" i="61" s="1"/>
  <c r="I40" i="61"/>
  <c r="I46" i="61" s="1"/>
  <c r="E246" i="61"/>
  <c r="E251" i="61" s="1"/>
  <c r="E257" i="61"/>
  <c r="E258" i="61" s="1"/>
  <c r="G246" i="61"/>
  <c r="N155" i="61"/>
  <c r="I155" i="61"/>
  <c r="M155" i="61"/>
  <c r="J155" i="61"/>
  <c r="H155" i="61"/>
  <c r="G155" i="61"/>
  <c r="G82" i="61"/>
  <c r="I82" i="61"/>
  <c r="N82" i="61"/>
  <c r="M82" i="61"/>
  <c r="J82" i="61"/>
  <c r="N58" i="61"/>
  <c r="E259" i="61"/>
  <c r="E260" i="61" s="1"/>
  <c r="M46" i="61"/>
  <c r="J46" i="61"/>
  <c r="I37" i="61"/>
  <c r="J37" i="61"/>
  <c r="N37" i="61"/>
  <c r="M37" i="61"/>
  <c r="G37" i="61"/>
  <c r="M4" i="61"/>
  <c r="M8" i="61" s="1"/>
  <c r="F118" i="46"/>
  <c r="F115" i="46"/>
  <c r="F117" i="46"/>
  <c r="F116" i="46"/>
  <c r="F79" i="46"/>
  <c r="F74" i="46"/>
  <c r="F87" i="46"/>
  <c r="F76" i="46"/>
  <c r="F97" i="46"/>
  <c r="F95" i="46"/>
  <c r="F93" i="46"/>
  <c r="F103" i="46"/>
  <c r="I101" i="46"/>
  <c r="H101" i="46"/>
  <c r="G101" i="46" s="1"/>
  <c r="H82" i="46"/>
  <c r="I82" i="46"/>
  <c r="F90" i="46"/>
  <c r="F99" i="46"/>
  <c r="P36" i="48"/>
  <c r="P25" i="48"/>
  <c r="P37" i="48" s="1"/>
  <c r="D41" i="57" s="1"/>
  <c r="P20" i="48"/>
  <c r="P34" i="48"/>
  <c r="J91" i="48"/>
  <c r="J28" i="48" s="1"/>
  <c r="I28" i="48"/>
  <c r="H27" i="48"/>
  <c r="I90" i="48"/>
  <c r="H34" i="48"/>
  <c r="I97" i="48"/>
  <c r="I22" i="48"/>
  <c r="J85" i="48"/>
  <c r="J22" i="48" s="1"/>
  <c r="I20" i="48"/>
  <c r="J83" i="48"/>
  <c r="J20" i="48" s="1"/>
  <c r="J96" i="48"/>
  <c r="J33" i="48" s="1"/>
  <c r="I33" i="48"/>
  <c r="I84" i="48"/>
  <c r="J80" i="48"/>
  <c r="J17" i="48" s="1"/>
  <c r="I17" i="48"/>
  <c r="I25" i="48"/>
  <c r="J88" i="48"/>
  <c r="J25" i="48" s="1"/>
  <c r="I94" i="48"/>
  <c r="H31" i="48"/>
  <c r="J82" i="48"/>
  <c r="J19" i="48" s="1"/>
  <c r="I19" i="48"/>
  <c r="I76" i="48"/>
  <c r="H13" i="48"/>
  <c r="J95" i="48"/>
  <c r="J32" i="48" s="1"/>
  <c r="I32" i="48"/>
  <c r="H24" i="48"/>
  <c r="I87" i="48"/>
  <c r="I81" i="48"/>
  <c r="H18" i="48"/>
  <c r="J92" i="48"/>
  <c r="J29" i="48" s="1"/>
  <c r="I29" i="48"/>
  <c r="I36" i="48"/>
  <c r="I78" i="48"/>
  <c r="H93" i="48"/>
  <c r="H30" i="48" s="1"/>
  <c r="I14" i="48"/>
  <c r="H25" i="48"/>
  <c r="H89" i="48"/>
  <c r="H26" i="48" s="1"/>
  <c r="H29" i="48"/>
  <c r="H98" i="48"/>
  <c r="H35" i="48" s="1"/>
  <c r="H84" i="48"/>
  <c r="H21" i="48" s="1"/>
  <c r="G30" i="48"/>
  <c r="E100" i="11"/>
  <c r="G100" i="11" s="1"/>
  <c r="E105" i="11"/>
  <c r="G105" i="11" s="1"/>
  <c r="E97" i="11"/>
  <c r="G97" i="11" s="1"/>
  <c r="E101" i="11"/>
  <c r="G101" i="11" s="1"/>
  <c r="E104" i="11"/>
  <c r="G104" i="11" s="1"/>
  <c r="G86" i="11"/>
  <c r="G63" i="11" s="1"/>
  <c r="E70" i="12" s="1"/>
  <c r="E82" i="11"/>
  <c r="E73" i="11"/>
  <c r="E77" i="11"/>
  <c r="E74" i="11"/>
  <c r="E61" i="11"/>
  <c r="E54" i="12" s="1"/>
  <c r="E68" i="12"/>
  <c r="E80" i="11"/>
  <c r="E84" i="11"/>
  <c r="E78" i="11"/>
  <c r="E75" i="11"/>
  <c r="E103" i="11"/>
  <c r="G103" i="11" s="1"/>
  <c r="E76" i="11"/>
  <c r="E83" i="11"/>
  <c r="G48" i="11"/>
  <c r="E48" i="11" s="1"/>
  <c r="E40" i="12" s="1"/>
  <c r="E85" i="11"/>
  <c r="F86" i="11"/>
  <c r="G62" i="11" s="1"/>
  <c r="E69" i="12" s="1"/>
  <c r="E62" i="11"/>
  <c r="J419" i="49"/>
  <c r="K419" i="49" s="1"/>
  <c r="E78" i="49"/>
  <c r="E68" i="49"/>
  <c r="E63" i="49"/>
  <c r="E56" i="49"/>
  <c r="J387" i="49"/>
  <c r="K386" i="49"/>
  <c r="E76" i="49"/>
  <c r="I73" i="49"/>
  <c r="G63" i="48" s="1"/>
  <c r="G31" i="48" s="1"/>
  <c r="I59" i="49"/>
  <c r="G49" i="48" s="1"/>
  <c r="G17" i="48" s="1"/>
  <c r="I67" i="49"/>
  <c r="G57" i="48" s="1"/>
  <c r="G25" i="48" s="1"/>
  <c r="I68" i="49"/>
  <c r="G58" i="48" s="1"/>
  <c r="G26" i="48" s="1"/>
  <c r="K353" i="49"/>
  <c r="J354" i="49"/>
  <c r="E59" i="49"/>
  <c r="F60" i="49"/>
  <c r="I75" i="49"/>
  <c r="G65" i="48" s="1"/>
  <c r="G33" i="48" s="1"/>
  <c r="I71" i="49"/>
  <c r="G61" i="48" s="1"/>
  <c r="G29" i="48" s="1"/>
  <c r="I64" i="49"/>
  <c r="G54" i="48" s="1"/>
  <c r="G22" i="48" s="1"/>
  <c r="J320" i="49"/>
  <c r="J321" i="49" s="1"/>
  <c r="E77" i="49"/>
  <c r="E60" i="49"/>
  <c r="E66" i="49"/>
  <c r="E72" i="49"/>
  <c r="J287" i="49"/>
  <c r="J288" i="49" s="1"/>
  <c r="F290" i="49"/>
  <c r="F58" i="49" s="1"/>
  <c r="E74" i="49"/>
  <c r="F56" i="49"/>
  <c r="I69" i="49"/>
  <c r="G59" i="48" s="1"/>
  <c r="G27" i="48" s="1"/>
  <c r="I76" i="49"/>
  <c r="G66" i="48" s="1"/>
  <c r="G34" i="48" s="1"/>
  <c r="J254" i="49"/>
  <c r="K254" i="49" s="1"/>
  <c r="I74" i="49"/>
  <c r="G64" i="48" s="1"/>
  <c r="G32" i="48" s="1"/>
  <c r="I66" i="49"/>
  <c r="G56" i="48" s="1"/>
  <c r="G24" i="48" s="1"/>
  <c r="I58" i="49"/>
  <c r="G48" i="48" s="1"/>
  <c r="G16" i="48" s="1"/>
  <c r="E75" i="49"/>
  <c r="E55" i="49"/>
  <c r="J221" i="49"/>
  <c r="J222" i="49" s="1"/>
  <c r="F229" i="49"/>
  <c r="E61" i="49"/>
  <c r="E70" i="49"/>
  <c r="F234" i="49"/>
  <c r="F68" i="49" s="1"/>
  <c r="F57" i="49"/>
  <c r="F61" i="49"/>
  <c r="I56" i="49"/>
  <c r="G46" i="48" s="1"/>
  <c r="G14" i="48" s="1"/>
  <c r="E71" i="49"/>
  <c r="E57" i="49"/>
  <c r="F59" i="49"/>
  <c r="F62" i="49"/>
  <c r="E67" i="49"/>
  <c r="I61" i="49"/>
  <c r="G51" i="48" s="1"/>
  <c r="G19" i="48" s="1"/>
  <c r="I55" i="49"/>
  <c r="G45" i="48" s="1"/>
  <c r="K45" i="48" s="1"/>
  <c r="I63" i="49"/>
  <c r="G53" i="48" s="1"/>
  <c r="G21" i="48" s="1"/>
  <c r="I77" i="49"/>
  <c r="G67" i="48" s="1"/>
  <c r="G35" i="48" s="1"/>
  <c r="J156" i="49"/>
  <c r="K156" i="49" s="1"/>
  <c r="F67" i="49"/>
  <c r="F63" i="49"/>
  <c r="F75" i="49"/>
  <c r="F171" i="49"/>
  <c r="F71" i="49" s="1"/>
  <c r="F77" i="49"/>
  <c r="F65" i="49"/>
  <c r="I60" i="49"/>
  <c r="G50" i="48" s="1"/>
  <c r="G18" i="48" s="1"/>
  <c r="J122" i="49"/>
  <c r="J123" i="49" s="1"/>
  <c r="I70" i="49"/>
  <c r="G60" i="48" s="1"/>
  <c r="G28" i="48" s="1"/>
  <c r="E62" i="49"/>
  <c r="F74" i="49"/>
  <c r="F136" i="49"/>
  <c r="F69" i="49" s="1"/>
  <c r="F76" i="49"/>
  <c r="F64" i="49"/>
  <c r="F72" i="49"/>
  <c r="F55" i="49"/>
  <c r="F70" i="49"/>
  <c r="F73" i="49"/>
  <c r="F78" i="49"/>
  <c r="F100" i="49"/>
  <c r="F66" i="49" s="1"/>
  <c r="E64" i="49"/>
  <c r="J89" i="49"/>
  <c r="F38" i="11"/>
  <c r="J24" i="8" s="1"/>
  <c r="F91" i="12" s="1"/>
  <c r="K321" i="49"/>
  <c r="J322" i="49"/>
  <c r="J255" i="49"/>
  <c r="E19" i="71"/>
  <c r="E21" i="71"/>
  <c r="E25" i="71" s="1"/>
  <c r="D26" i="49"/>
  <c r="K320" i="49"/>
  <c r="D32" i="71"/>
  <c r="D25" i="71"/>
  <c r="K188" i="49"/>
  <c r="J189" i="49"/>
  <c r="K221" i="49"/>
  <c r="J124" i="49"/>
  <c r="K123" i="49"/>
  <c r="E55" i="12"/>
  <c r="K155" i="49"/>
  <c r="K122" i="49"/>
  <c r="F49" i="11"/>
  <c r="E49" i="11" s="1"/>
  <c r="E41" i="12" s="1"/>
  <c r="L35" i="82"/>
  <c r="K69" i="1" s="1"/>
  <c r="L45" i="82"/>
  <c r="K73" i="1" s="1"/>
  <c r="L29" i="82"/>
  <c r="K68" i="1"/>
  <c r="L12" i="82"/>
  <c r="L23" i="82" s="1"/>
  <c r="K65" i="1" s="1"/>
  <c r="M143" i="4"/>
  <c r="M187" i="4" s="1"/>
  <c r="C155" i="4"/>
  <c r="G191" i="4"/>
  <c r="D191" i="4"/>
  <c r="D159" i="4"/>
  <c r="E160" i="4"/>
  <c r="M160" i="4" s="1"/>
  <c r="I161" i="4"/>
  <c r="C143" i="4"/>
  <c r="C187" i="4" s="1"/>
  <c r="C191" i="4" s="1"/>
  <c r="E157" i="4"/>
  <c r="E150" i="4"/>
  <c r="I191" i="4"/>
  <c r="D160" i="4"/>
  <c r="G160" i="4"/>
  <c r="L191" i="4"/>
  <c r="I152" i="4"/>
  <c r="L150" i="4"/>
  <c r="L162" i="4" s="1"/>
  <c r="E154" i="4"/>
  <c r="F160" i="4"/>
  <c r="L151" i="4"/>
  <c r="L158" i="4"/>
  <c r="D154" i="4"/>
  <c r="H191" i="4"/>
  <c r="H204" i="4" s="1"/>
  <c r="J151" i="4"/>
  <c r="J162" i="4" s="1"/>
  <c r="J159" i="4"/>
  <c r="K156" i="4"/>
  <c r="H151" i="4"/>
  <c r="H156" i="4"/>
  <c r="J152" i="4"/>
  <c r="K191" i="4"/>
  <c r="C161" i="4"/>
  <c r="F152" i="4"/>
  <c r="F162" i="4" s="1"/>
  <c r="G156" i="4"/>
  <c r="H159" i="4"/>
  <c r="K158" i="4"/>
  <c r="G175" i="4"/>
  <c r="H97" i="21" s="1"/>
  <c r="G168" i="4"/>
  <c r="H90" i="21" s="1"/>
  <c r="M158" i="4"/>
  <c r="G171" i="4"/>
  <c r="H93" i="21" s="1"/>
  <c r="K162" i="4"/>
  <c r="H162" i="4"/>
  <c r="H176" i="4" s="1"/>
  <c r="H168" i="4"/>
  <c r="I90" i="21" s="1"/>
  <c r="H173" i="4"/>
  <c r="I95" i="21" s="1"/>
  <c r="M154" i="4"/>
  <c r="G173" i="4"/>
  <c r="H95" i="21" s="1"/>
  <c r="M156" i="4"/>
  <c r="J105" i="4"/>
  <c r="C150" i="4"/>
  <c r="L105" i="4"/>
  <c r="F105" i="4"/>
  <c r="E161" i="4"/>
  <c r="K105" i="4"/>
  <c r="M103" i="4"/>
  <c r="G105" i="4"/>
  <c r="G162" i="4"/>
  <c r="G174" i="4" s="1"/>
  <c r="H96" i="21" s="1"/>
  <c r="M153" i="4"/>
  <c r="E105" i="4"/>
  <c r="M105" i="4" s="1"/>
  <c r="C159" i="4"/>
  <c r="I155" i="4"/>
  <c r="D152" i="4"/>
  <c r="C157" i="4"/>
  <c r="M94" i="4"/>
  <c r="D151" i="4"/>
  <c r="G77" i="64"/>
  <c r="F92" i="64" s="1"/>
  <c r="F70" i="21"/>
  <c r="M48" i="64"/>
  <c r="N70" i="21"/>
  <c r="C18" i="57"/>
  <c r="C20" i="57"/>
  <c r="D18" i="57"/>
  <c r="D20" i="57"/>
  <c r="G20" i="57"/>
  <c r="C26" i="57" s="1"/>
  <c r="E20" i="57"/>
  <c r="E26" i="57"/>
  <c r="C28" i="57"/>
  <c r="G21" i="2"/>
  <c r="F42" i="56"/>
  <c r="G199" i="4"/>
  <c r="G202" i="4"/>
  <c r="H199" i="4"/>
  <c r="J24" i="64"/>
  <c r="C126" i="48" s="1"/>
  <c r="E126" i="48" s="1"/>
  <c r="J183" i="4"/>
  <c r="J191" i="4" s="1"/>
  <c r="M24" i="4"/>
  <c r="E121" i="48"/>
  <c r="F17" i="56"/>
  <c r="E28" i="56"/>
  <c r="A26" i="65" l="1"/>
  <c r="A27" i="65" s="1"/>
  <c r="A28" i="65" s="1"/>
  <c r="A29" i="65" s="1"/>
  <c r="A30" i="65" s="1"/>
  <c r="A31" i="65" s="1"/>
  <c r="A32" i="65" s="1"/>
  <c r="A33" i="65" s="1"/>
  <c r="A34" i="65" s="1"/>
  <c r="A35" i="65" s="1"/>
  <c r="A36" i="65" s="1"/>
  <c r="B98" i="65" s="1"/>
  <c r="B103" i="65"/>
  <c r="H251" i="61"/>
  <c r="K52" i="1"/>
  <c r="L51" i="84"/>
  <c r="L52" i="84" s="1"/>
  <c r="D23" i="7"/>
  <c r="J43" i="8"/>
  <c r="E34" i="71"/>
  <c r="D34" i="71"/>
  <c r="H56" i="44"/>
  <c r="H57" i="44" s="1"/>
  <c r="G16" i="12"/>
  <c r="M51" i="84"/>
  <c r="M52" i="84" s="1"/>
  <c r="A16" i="1"/>
  <c r="A17" i="1" s="1"/>
  <c r="I18" i="1"/>
  <c r="C144" i="46"/>
  <c r="H42" i="46" s="1"/>
  <c r="L42" i="46" s="1"/>
  <c r="E121" i="46"/>
  <c r="E124" i="46" s="1"/>
  <c r="G82" i="46"/>
  <c r="H58" i="46"/>
  <c r="G57" i="46"/>
  <c r="G58" i="46" s="1"/>
  <c r="J57" i="46"/>
  <c r="K58" i="46"/>
  <c r="D120" i="46"/>
  <c r="M118" i="53"/>
  <c r="C16" i="53" s="1"/>
  <c r="M127" i="53"/>
  <c r="C25" i="53" s="1"/>
  <c r="M120" i="53"/>
  <c r="C18" i="53" s="1"/>
  <c r="M124" i="53"/>
  <c r="C22" i="53" s="1"/>
  <c r="M117" i="53"/>
  <c r="C15" i="53" s="1"/>
  <c r="M116" i="53"/>
  <c r="C13" i="53" s="1"/>
  <c r="M128" i="53"/>
  <c r="C26" i="53" s="1"/>
  <c r="L130" i="53"/>
  <c r="E261" i="61"/>
  <c r="E263" i="61" s="1"/>
  <c r="E264" i="61" s="1"/>
  <c r="E267" i="61" s="1"/>
  <c r="K132" i="1" s="1"/>
  <c r="N251" i="61"/>
  <c r="I251" i="61"/>
  <c r="G251" i="61"/>
  <c r="J251" i="61"/>
  <c r="M251" i="61"/>
  <c r="H116" i="46"/>
  <c r="I116" i="46"/>
  <c r="I117" i="46"/>
  <c r="H117" i="46"/>
  <c r="G117" i="46" s="1"/>
  <c r="I115" i="46"/>
  <c r="H115" i="46"/>
  <c r="I118" i="46"/>
  <c r="H118" i="46"/>
  <c r="H93" i="46"/>
  <c r="I93" i="46"/>
  <c r="H95" i="46"/>
  <c r="I95" i="46"/>
  <c r="I97" i="46"/>
  <c r="H97" i="46"/>
  <c r="G97" i="46" s="1"/>
  <c r="I76" i="46"/>
  <c r="H76" i="46"/>
  <c r="I87" i="46"/>
  <c r="H87" i="46"/>
  <c r="I74" i="46"/>
  <c r="H74" i="46"/>
  <c r="H103" i="46"/>
  <c r="I103" i="46"/>
  <c r="H79" i="46"/>
  <c r="I79" i="46"/>
  <c r="I90" i="46"/>
  <c r="H90" i="46"/>
  <c r="I99" i="46"/>
  <c r="H99" i="46"/>
  <c r="G99" i="46" s="1"/>
  <c r="J76" i="48"/>
  <c r="J13" i="48" s="1"/>
  <c r="I13" i="48"/>
  <c r="I18" i="48"/>
  <c r="J81" i="48"/>
  <c r="J18" i="48" s="1"/>
  <c r="J84" i="48"/>
  <c r="J21" i="48" s="1"/>
  <c r="I21" i="48"/>
  <c r="I34" i="48"/>
  <c r="J97" i="48"/>
  <c r="J34" i="48" s="1"/>
  <c r="I98" i="48"/>
  <c r="I89" i="48"/>
  <c r="I15" i="48"/>
  <c r="J78" i="48"/>
  <c r="J15" i="48" s="1"/>
  <c r="I93" i="48"/>
  <c r="I31" i="48"/>
  <c r="J94" i="48"/>
  <c r="J31" i="48" s="1"/>
  <c r="J90" i="48"/>
  <c r="J27" i="48" s="1"/>
  <c r="I27" i="48"/>
  <c r="J87" i="48"/>
  <c r="J24" i="48" s="1"/>
  <c r="I24" i="48"/>
  <c r="G108" i="11"/>
  <c r="E63" i="11"/>
  <c r="E56" i="12" s="1"/>
  <c r="E86" i="11"/>
  <c r="E108" i="11"/>
  <c r="J420" i="49"/>
  <c r="K387" i="49"/>
  <c r="J388" i="49"/>
  <c r="K354" i="49"/>
  <c r="J355" i="49"/>
  <c r="K287" i="49"/>
  <c r="J55" i="49"/>
  <c r="G13" i="48"/>
  <c r="J157" i="49"/>
  <c r="J158" i="49" s="1"/>
  <c r="K46" i="48"/>
  <c r="K47" i="48" s="1"/>
  <c r="N45" i="48"/>
  <c r="K89" i="49"/>
  <c r="J90" i="49"/>
  <c r="J421" i="49"/>
  <c r="K420" i="49"/>
  <c r="E32" i="71"/>
  <c r="K255" i="49"/>
  <c r="J256" i="49"/>
  <c r="K322" i="49"/>
  <c r="J323" i="49"/>
  <c r="J289" i="49"/>
  <c r="K288" i="49"/>
  <c r="K189" i="49"/>
  <c r="J190" i="49"/>
  <c r="J91" i="49"/>
  <c r="K90" i="49"/>
  <c r="J56" i="49"/>
  <c r="K222" i="49"/>
  <c r="J223" i="49"/>
  <c r="E52" i="11"/>
  <c r="J125" i="49"/>
  <c r="K124" i="49"/>
  <c r="L37" i="82"/>
  <c r="K70" i="1" s="1"/>
  <c r="K63" i="1"/>
  <c r="K85" i="1"/>
  <c r="I98" i="21"/>
  <c r="H207" i="4"/>
  <c r="F176" i="4"/>
  <c r="F171" i="4"/>
  <c r="G93" i="21" s="1"/>
  <c r="J169" i="4"/>
  <c r="K91" i="21" s="1"/>
  <c r="L209" i="4"/>
  <c r="L170" i="4"/>
  <c r="M92" i="21" s="1"/>
  <c r="L168" i="4"/>
  <c r="L178" i="4"/>
  <c r="M100" i="21" s="1"/>
  <c r="L174" i="4"/>
  <c r="M96" i="21" s="1"/>
  <c r="L175" i="4"/>
  <c r="J167" i="4"/>
  <c r="K89" i="21" s="1"/>
  <c r="J177" i="4"/>
  <c r="K99" i="21" s="1"/>
  <c r="L167" i="4"/>
  <c r="F169" i="4"/>
  <c r="G91" i="21" s="1"/>
  <c r="G177" i="4"/>
  <c r="G176" i="4"/>
  <c r="H169" i="4"/>
  <c r="J168" i="4"/>
  <c r="K90" i="21" s="1"/>
  <c r="F207" i="4"/>
  <c r="G98" i="21"/>
  <c r="M157" i="4"/>
  <c r="G205" i="4"/>
  <c r="M152" i="4"/>
  <c r="C162" i="4"/>
  <c r="M150" i="4"/>
  <c r="M159" i="4"/>
  <c r="F173" i="4"/>
  <c r="F178" i="4"/>
  <c r="F172" i="4"/>
  <c r="F175" i="4"/>
  <c r="F167" i="4"/>
  <c r="F174" i="4"/>
  <c r="F168" i="4"/>
  <c r="F170" i="4"/>
  <c r="F177" i="4"/>
  <c r="I172" i="4"/>
  <c r="I162" i="4"/>
  <c r="G206" i="4"/>
  <c r="J175" i="4"/>
  <c r="K97" i="21" s="1"/>
  <c r="J173" i="4"/>
  <c r="K95" i="21" s="1"/>
  <c r="J172" i="4"/>
  <c r="K94" i="21" s="1"/>
  <c r="J178" i="4"/>
  <c r="K100" i="21" s="1"/>
  <c r="J171" i="4"/>
  <c r="K93" i="21" s="1"/>
  <c r="K178" i="4"/>
  <c r="K169" i="4"/>
  <c r="K177" i="4"/>
  <c r="K167" i="4"/>
  <c r="K176" i="4"/>
  <c r="K174" i="4"/>
  <c r="K168" i="4"/>
  <c r="K172" i="4"/>
  <c r="K171" i="4"/>
  <c r="K170" i="4"/>
  <c r="J170" i="4"/>
  <c r="K92" i="21" s="1"/>
  <c r="G204" i="4"/>
  <c r="F202" i="4"/>
  <c r="L205" i="4"/>
  <c r="D162" i="4"/>
  <c r="D169" i="4" s="1"/>
  <c r="M151" i="4"/>
  <c r="M161" i="4"/>
  <c r="E162" i="4"/>
  <c r="H174" i="4"/>
  <c r="H170" i="4"/>
  <c r="H175" i="4"/>
  <c r="H177" i="4"/>
  <c r="H171" i="4"/>
  <c r="H178" i="4"/>
  <c r="H167" i="4"/>
  <c r="K173" i="4"/>
  <c r="H172" i="4"/>
  <c r="M155" i="4"/>
  <c r="L176" i="4"/>
  <c r="L171" i="4"/>
  <c r="L169" i="4"/>
  <c r="L172" i="4"/>
  <c r="L173" i="4"/>
  <c r="L177" i="4"/>
  <c r="G170" i="4"/>
  <c r="G178" i="4"/>
  <c r="G172" i="4"/>
  <c r="G167" i="4"/>
  <c r="G169" i="4"/>
  <c r="K175" i="4"/>
  <c r="J176" i="4"/>
  <c r="K98" i="21" s="1"/>
  <c r="J174" i="4"/>
  <c r="K96" i="21" s="1"/>
  <c r="E28" i="57"/>
  <c r="C29" i="57" s="1"/>
  <c r="C31" i="57" s="1"/>
  <c r="C33" i="57" s="1"/>
  <c r="C40" i="57" s="1"/>
  <c r="M183" i="4"/>
  <c r="M191" i="4" s="1"/>
  <c r="D36" i="7"/>
  <c r="D40" i="7" s="1"/>
  <c r="D44" i="4"/>
  <c r="K9" i="1" s="1"/>
  <c r="M24" i="64"/>
  <c r="J209" i="4"/>
  <c r="J203" i="4"/>
  <c r="J204" i="4"/>
  <c r="J206" i="4"/>
  <c r="J200" i="4"/>
  <c r="J199" i="4"/>
  <c r="J208" i="4"/>
  <c r="J198" i="4"/>
  <c r="J207" i="4"/>
  <c r="E130" i="48"/>
  <c r="E131" i="48"/>
  <c r="F28" i="56"/>
  <c r="G20" i="2"/>
  <c r="B116" i="65" l="1"/>
  <c r="A38" i="65"/>
  <c r="A39" i="65" s="1"/>
  <c r="A40" i="65" s="1"/>
  <c r="F40" i="65"/>
  <c r="B9" i="65"/>
  <c r="B7" i="65"/>
  <c r="B94" i="65"/>
  <c r="G76" i="46"/>
  <c r="K75" i="1"/>
  <c r="K81" i="1" s="1"/>
  <c r="K86" i="1"/>
  <c r="J54" i="8"/>
  <c r="A18" i="1"/>
  <c r="H14" i="8"/>
  <c r="F20" i="17"/>
  <c r="F22" i="17" s="1"/>
  <c r="H65" i="44"/>
  <c r="H66" i="44" s="1"/>
  <c r="H79" i="44" s="1"/>
  <c r="H59" i="44"/>
  <c r="H78" i="44" s="1"/>
  <c r="G42" i="46"/>
  <c r="G43" i="46" s="1"/>
  <c r="G60" i="46" s="1"/>
  <c r="H43" i="46"/>
  <c r="H60" i="46" s="1"/>
  <c r="G118" i="46"/>
  <c r="G90" i="46"/>
  <c r="G87" i="46"/>
  <c r="G103" i="46"/>
  <c r="D121" i="46"/>
  <c r="H120" i="46"/>
  <c r="G120" i="46" s="1"/>
  <c r="C120" i="46"/>
  <c r="C121" i="46" s="1"/>
  <c r="J58" i="46"/>
  <c r="D105" i="46"/>
  <c r="D106" i="46" s="1"/>
  <c r="K42" i="46"/>
  <c r="L43" i="46"/>
  <c r="K60" i="46" s="1"/>
  <c r="M122" i="53"/>
  <c r="C20" i="53" s="1"/>
  <c r="M126" i="53"/>
  <c r="C24" i="53" s="1"/>
  <c r="M125" i="53"/>
  <c r="C23" i="53" s="1"/>
  <c r="M115" i="53"/>
  <c r="M123" i="53"/>
  <c r="C21" i="53" s="1"/>
  <c r="M119" i="53"/>
  <c r="C17" i="53" s="1"/>
  <c r="M121" i="53"/>
  <c r="C19" i="53" s="1"/>
  <c r="G115" i="46"/>
  <c r="I121" i="46"/>
  <c r="G116" i="46"/>
  <c r="G79" i="46"/>
  <c r="C149" i="46"/>
  <c r="G74" i="46"/>
  <c r="I106" i="46"/>
  <c r="G95" i="46"/>
  <c r="G93" i="46"/>
  <c r="I30" i="48"/>
  <c r="J93" i="48"/>
  <c r="J30" i="48" s="1"/>
  <c r="J89" i="48"/>
  <c r="J26" i="48" s="1"/>
  <c r="I26" i="48"/>
  <c r="I35" i="48"/>
  <c r="J98" i="48"/>
  <c r="J35" i="48" s="1"/>
  <c r="K76" i="48"/>
  <c r="E66" i="11"/>
  <c r="K388" i="49"/>
  <c r="J389" i="49"/>
  <c r="J356" i="49"/>
  <c r="K355" i="49"/>
  <c r="K55" i="49"/>
  <c r="K157" i="49"/>
  <c r="K48" i="48"/>
  <c r="K421" i="49"/>
  <c r="J422" i="49"/>
  <c r="J290" i="49"/>
  <c r="K289" i="49"/>
  <c r="K323" i="49"/>
  <c r="J324" i="49"/>
  <c r="J257" i="49"/>
  <c r="K256" i="49"/>
  <c r="K56" i="49"/>
  <c r="J191" i="49"/>
  <c r="K190" i="49"/>
  <c r="K125" i="49"/>
  <c r="J126" i="49"/>
  <c r="K91" i="49"/>
  <c r="J57" i="49"/>
  <c r="J92" i="49"/>
  <c r="K223" i="49"/>
  <c r="J224" i="49"/>
  <c r="K158" i="49"/>
  <c r="J159" i="49"/>
  <c r="H99" i="21"/>
  <c r="G208" i="4"/>
  <c r="M90" i="21"/>
  <c r="L199" i="4"/>
  <c r="L14" i="4" s="1"/>
  <c r="L14" i="64" s="1"/>
  <c r="L50" i="64" s="1"/>
  <c r="M72" i="21" s="1"/>
  <c r="J205" i="4"/>
  <c r="I91" i="21"/>
  <c r="H200" i="4"/>
  <c r="M97" i="21"/>
  <c r="L206" i="4"/>
  <c r="M89" i="21"/>
  <c r="L198" i="4"/>
  <c r="L13" i="4" s="1"/>
  <c r="L13" i="64" s="1"/>
  <c r="L49" i="64" s="1"/>
  <c r="L201" i="4"/>
  <c r="J201" i="4"/>
  <c r="F200" i="4"/>
  <c r="H98" i="21"/>
  <c r="G207" i="4"/>
  <c r="E91" i="21"/>
  <c r="D200" i="4"/>
  <c r="L97" i="21"/>
  <c r="K206" i="4"/>
  <c r="M94" i="21"/>
  <c r="L203" i="4"/>
  <c r="I100" i="21"/>
  <c r="H209" i="4"/>
  <c r="L99" i="21"/>
  <c r="K208" i="4"/>
  <c r="G97" i="21"/>
  <c r="F206" i="4"/>
  <c r="C169" i="4"/>
  <c r="C177" i="4"/>
  <c r="C171" i="4"/>
  <c r="C170" i="4"/>
  <c r="C178" i="4"/>
  <c r="C175" i="4"/>
  <c r="C168" i="4"/>
  <c r="C173" i="4"/>
  <c r="C172" i="4"/>
  <c r="G200" i="4"/>
  <c r="H91" i="21"/>
  <c r="M91" i="21"/>
  <c r="L200" i="4"/>
  <c r="I93" i="21"/>
  <c r="H202" i="4"/>
  <c r="D168" i="4"/>
  <c r="L92" i="21"/>
  <c r="K201" i="4"/>
  <c r="L91" i="21"/>
  <c r="K200" i="4"/>
  <c r="I176" i="4"/>
  <c r="I168" i="4"/>
  <c r="I174" i="4"/>
  <c r="I175" i="4"/>
  <c r="I171" i="4"/>
  <c r="I178" i="4"/>
  <c r="I173" i="4"/>
  <c r="I170" i="4"/>
  <c r="I167" i="4"/>
  <c r="I169" i="4"/>
  <c r="I177" i="4"/>
  <c r="F203" i="4"/>
  <c r="G94" i="21"/>
  <c r="H89" i="21"/>
  <c r="G198" i="4"/>
  <c r="L93" i="21"/>
  <c r="K202" i="4"/>
  <c r="G100" i="21"/>
  <c r="F209" i="4"/>
  <c r="I97" i="21"/>
  <c r="H206" i="4"/>
  <c r="G99" i="21"/>
  <c r="F208" i="4"/>
  <c r="H201" i="4"/>
  <c r="I92" i="21"/>
  <c r="L90" i="21"/>
  <c r="K199" i="4"/>
  <c r="G92" i="21"/>
  <c r="F201" i="4"/>
  <c r="C176" i="4"/>
  <c r="M93" i="21"/>
  <c r="L202" i="4"/>
  <c r="L96" i="21"/>
  <c r="K205" i="4"/>
  <c r="G90" i="21"/>
  <c r="F199" i="4"/>
  <c r="C174" i="4"/>
  <c r="M98" i="21"/>
  <c r="L207" i="4"/>
  <c r="J202" i="4"/>
  <c r="H92" i="21"/>
  <c r="G201" i="4"/>
  <c r="I96" i="21"/>
  <c r="H205" i="4"/>
  <c r="M99" i="21"/>
  <c r="L208" i="4"/>
  <c r="L95" i="21"/>
  <c r="K204" i="4"/>
  <c r="E168" i="4"/>
  <c r="E169" i="4"/>
  <c r="E174" i="4"/>
  <c r="E172" i="4"/>
  <c r="E167" i="4"/>
  <c r="E175" i="4"/>
  <c r="E171" i="4"/>
  <c r="E170" i="4"/>
  <c r="E176" i="4"/>
  <c r="E177" i="4"/>
  <c r="E173" i="4"/>
  <c r="L98" i="21"/>
  <c r="K207" i="4"/>
  <c r="G96" i="21"/>
  <c r="F205" i="4"/>
  <c r="C167" i="4"/>
  <c r="I99" i="21"/>
  <c r="H208" i="4"/>
  <c r="L100" i="21"/>
  <c r="K209" i="4"/>
  <c r="J94" i="21"/>
  <c r="I203" i="4"/>
  <c r="H94" i="21"/>
  <c r="G203" i="4"/>
  <c r="D172" i="4"/>
  <c r="D170" i="4"/>
  <c r="D178" i="4"/>
  <c r="D174" i="4"/>
  <c r="D173" i="4"/>
  <c r="D171" i="4"/>
  <c r="D175" i="4"/>
  <c r="D167" i="4"/>
  <c r="D176" i="4"/>
  <c r="D177" i="4"/>
  <c r="L94" i="21"/>
  <c r="K203" i="4"/>
  <c r="G95" i="21"/>
  <c r="F204" i="4"/>
  <c r="H100" i="21"/>
  <c r="G209" i="4"/>
  <c r="I94" i="21"/>
  <c r="H203" i="4"/>
  <c r="M95" i="21"/>
  <c r="L204" i="4"/>
  <c r="I89" i="21"/>
  <c r="H198" i="4"/>
  <c r="E178" i="4"/>
  <c r="L89" i="21"/>
  <c r="K198" i="4"/>
  <c r="G89" i="21"/>
  <c r="F198" i="4"/>
  <c r="M162" i="4"/>
  <c r="E33" i="57"/>
  <c r="E40" i="57" s="1"/>
  <c r="D29" i="57"/>
  <c r="D31" i="57" s="1"/>
  <c r="D33" i="57" s="1"/>
  <c r="D40" i="57" s="1"/>
  <c r="D43" i="57" s="1"/>
  <c r="J13" i="4"/>
  <c r="J210" i="4"/>
  <c r="J14" i="4"/>
  <c r="J14" i="64" s="1"/>
  <c r="J50" i="64" s="1"/>
  <c r="K72" i="21" s="1"/>
  <c r="E133" i="48"/>
  <c r="M71" i="21"/>
  <c r="A41" i="65" l="1"/>
  <c r="A21" i="1"/>
  <c r="F23" i="17"/>
  <c r="K53" i="1"/>
  <c r="K82" i="1"/>
  <c r="I124" i="46"/>
  <c r="D124" i="46"/>
  <c r="K43" i="46"/>
  <c r="J60" i="46" s="1"/>
  <c r="C105" i="46"/>
  <c r="C106" i="46" s="1"/>
  <c r="C124" i="46" s="1"/>
  <c r="H105" i="46"/>
  <c r="G105" i="46" s="1"/>
  <c r="G106" i="46" s="1"/>
  <c r="H121" i="46"/>
  <c r="M130" i="53"/>
  <c r="C12" i="53"/>
  <c r="C28" i="53" s="1"/>
  <c r="G121" i="46"/>
  <c r="K77" i="48"/>
  <c r="N76" i="48"/>
  <c r="N13" i="48" s="1"/>
  <c r="K13" i="48"/>
  <c r="K389" i="49"/>
  <c r="J390" i="49"/>
  <c r="J357" i="49"/>
  <c r="K356" i="49"/>
  <c r="K49" i="48"/>
  <c r="L50" i="48" s="1"/>
  <c r="K324" i="49"/>
  <c r="J325" i="49"/>
  <c r="K290" i="49"/>
  <c r="J291" i="49"/>
  <c r="K57" i="49"/>
  <c r="J423" i="49"/>
  <c r="K422" i="49"/>
  <c r="K257" i="49"/>
  <c r="J258" i="49"/>
  <c r="K126" i="49"/>
  <c r="J127" i="49"/>
  <c r="J225" i="49"/>
  <c r="K224" i="49"/>
  <c r="J192" i="49"/>
  <c r="K191" i="49"/>
  <c r="K159" i="49"/>
  <c r="J160" i="49"/>
  <c r="K92" i="49"/>
  <c r="J93" i="49"/>
  <c r="J58" i="49"/>
  <c r="K91" i="1"/>
  <c r="E97" i="8" s="1"/>
  <c r="E89" i="21"/>
  <c r="D198" i="4"/>
  <c r="D89" i="21"/>
  <c r="C198" i="4"/>
  <c r="F92" i="21"/>
  <c r="E201" i="4"/>
  <c r="J92" i="21"/>
  <c r="I201" i="4"/>
  <c r="D92" i="21"/>
  <c r="C201" i="4"/>
  <c r="E95" i="21"/>
  <c r="D204" i="4"/>
  <c r="E198" i="4"/>
  <c r="F89" i="21"/>
  <c r="D96" i="21"/>
  <c r="C205" i="4"/>
  <c r="J93" i="21"/>
  <c r="I202" i="4"/>
  <c r="D94" i="21"/>
  <c r="C203" i="4"/>
  <c r="D91" i="21"/>
  <c r="C200" i="4"/>
  <c r="F100" i="21"/>
  <c r="E209" i="4"/>
  <c r="D93" i="21"/>
  <c r="C202" i="4"/>
  <c r="H13" i="4"/>
  <c r="H210" i="4"/>
  <c r="J100" i="21"/>
  <c r="I209" i="4"/>
  <c r="E96" i="21"/>
  <c r="D205" i="4"/>
  <c r="F94" i="21"/>
  <c r="E203" i="4"/>
  <c r="J97" i="21"/>
  <c r="I206" i="4"/>
  <c r="E90" i="21"/>
  <c r="D199" i="4"/>
  <c r="D95" i="21"/>
  <c r="C204" i="4"/>
  <c r="E97" i="21"/>
  <c r="D206" i="4"/>
  <c r="J95" i="21"/>
  <c r="I204" i="4"/>
  <c r="E93" i="21"/>
  <c r="D202" i="4"/>
  <c r="D98" i="21"/>
  <c r="C207" i="4"/>
  <c r="D99" i="21"/>
  <c r="C208" i="4"/>
  <c r="F210" i="4"/>
  <c r="F13" i="4"/>
  <c r="E100" i="21"/>
  <c r="D209" i="4"/>
  <c r="F95" i="21"/>
  <c r="E204" i="4"/>
  <c r="F96" i="21"/>
  <c r="E205" i="4"/>
  <c r="J99" i="21"/>
  <c r="I208" i="4"/>
  <c r="J96" i="21"/>
  <c r="I205" i="4"/>
  <c r="D90" i="21"/>
  <c r="C199" i="4"/>
  <c r="F97" i="21"/>
  <c r="E206" i="4"/>
  <c r="E99" i="21"/>
  <c r="D208" i="4"/>
  <c r="E92" i="21"/>
  <c r="D201" i="4"/>
  <c r="F99" i="21"/>
  <c r="E208" i="4"/>
  <c r="F91" i="21"/>
  <c r="E200" i="4"/>
  <c r="J91" i="21"/>
  <c r="I200" i="4"/>
  <c r="J90" i="21"/>
  <c r="I199" i="4"/>
  <c r="D97" i="21"/>
  <c r="C206" i="4"/>
  <c r="M206" i="4" s="1"/>
  <c r="F93" i="21"/>
  <c r="E202" i="4"/>
  <c r="G210" i="4"/>
  <c r="G13" i="4"/>
  <c r="K210" i="4"/>
  <c r="K13" i="4"/>
  <c r="E98" i="21"/>
  <c r="D207" i="4"/>
  <c r="E94" i="21"/>
  <c r="D203" i="4"/>
  <c r="F98" i="21"/>
  <c r="E207" i="4"/>
  <c r="F90" i="21"/>
  <c r="E199" i="4"/>
  <c r="J89" i="21"/>
  <c r="I198" i="4"/>
  <c r="J98" i="21"/>
  <c r="I207" i="4"/>
  <c r="L210" i="4"/>
  <c r="L15" i="4"/>
  <c r="D100" i="21"/>
  <c r="C209" i="4"/>
  <c r="M209" i="4" s="1"/>
  <c r="J15" i="4"/>
  <c r="L77" i="48"/>
  <c r="M77" i="48" s="1"/>
  <c r="L47" i="48"/>
  <c r="L49" i="48"/>
  <c r="L78" i="48"/>
  <c r="L48" i="48"/>
  <c r="L46" i="48"/>
  <c r="J13" i="64"/>
  <c r="J49" i="64" s="1"/>
  <c r="B95" i="65" l="1"/>
  <c r="A42" i="65"/>
  <c r="F42" i="65"/>
  <c r="G15" i="12"/>
  <c r="G17" i="12" s="1"/>
  <c r="F93" i="12"/>
  <c r="E98" i="8"/>
  <c r="K92" i="1"/>
  <c r="K54" i="1"/>
  <c r="E104" i="8"/>
  <c r="J42" i="8" s="1"/>
  <c r="K80" i="1"/>
  <c r="I24" i="1"/>
  <c r="A22" i="1"/>
  <c r="A23" i="1" s="1"/>
  <c r="A24" i="1" s="1"/>
  <c r="G124" i="46"/>
  <c r="K126" i="1" s="1"/>
  <c r="H106" i="46"/>
  <c r="H124" i="46" s="1"/>
  <c r="K78" i="48"/>
  <c r="K14" i="48"/>
  <c r="K390" i="49"/>
  <c r="J391" i="49"/>
  <c r="K357" i="49"/>
  <c r="J358" i="49"/>
  <c r="K50" i="48"/>
  <c r="J292" i="49"/>
  <c r="K291" i="49"/>
  <c r="K423" i="49"/>
  <c r="J424" i="49"/>
  <c r="J326" i="49"/>
  <c r="K325" i="49"/>
  <c r="K258" i="49"/>
  <c r="J259" i="49"/>
  <c r="J94" i="49"/>
  <c r="J59" i="49"/>
  <c r="K93" i="49"/>
  <c r="J226" i="49"/>
  <c r="K225" i="49"/>
  <c r="J193" i="49"/>
  <c r="K192" i="49"/>
  <c r="K58" i="49"/>
  <c r="J128" i="49"/>
  <c r="K127" i="49"/>
  <c r="K160" i="49"/>
  <c r="J161" i="49"/>
  <c r="M199" i="4"/>
  <c r="M207" i="4"/>
  <c r="M204" i="4"/>
  <c r="M205" i="4"/>
  <c r="I210" i="4"/>
  <c r="I13" i="4"/>
  <c r="I13" i="64" s="1"/>
  <c r="I49" i="64" s="1"/>
  <c r="J71" i="21" s="1"/>
  <c r="E13" i="4"/>
  <c r="E13" i="64" s="1"/>
  <c r="E49" i="64" s="1"/>
  <c r="F71" i="21" s="1"/>
  <c r="E210" i="4"/>
  <c r="K13" i="64"/>
  <c r="K49" i="64" s="1"/>
  <c r="L71" i="21" s="1"/>
  <c r="K14" i="4"/>
  <c r="L16" i="4"/>
  <c r="L15" i="64"/>
  <c r="L51" i="64" s="1"/>
  <c r="M73" i="21" s="1"/>
  <c r="G13" i="64"/>
  <c r="G49" i="64" s="1"/>
  <c r="H71" i="21" s="1"/>
  <c r="G14" i="4"/>
  <c r="F13" i="64"/>
  <c r="F49" i="64" s="1"/>
  <c r="G71" i="21" s="1"/>
  <c r="F14" i="4"/>
  <c r="M203" i="4"/>
  <c r="C210" i="4"/>
  <c r="C13" i="4"/>
  <c r="M198" i="4"/>
  <c r="M200" i="4"/>
  <c r="H14" i="4"/>
  <c r="H13" i="64"/>
  <c r="H49" i="64" s="1"/>
  <c r="I71" i="21" s="1"/>
  <c r="E14" i="4"/>
  <c r="E14" i="64" s="1"/>
  <c r="E50" i="64" s="1"/>
  <c r="F72" i="21" s="1"/>
  <c r="M208" i="4"/>
  <c r="M202" i="4"/>
  <c r="M201" i="4"/>
  <c r="D13" i="4"/>
  <c r="D14" i="4" s="1"/>
  <c r="D210" i="4"/>
  <c r="L15" i="48"/>
  <c r="J15" i="64"/>
  <c r="J51" i="64" s="1"/>
  <c r="K73" i="21" s="1"/>
  <c r="J16" i="4"/>
  <c r="K71" i="21"/>
  <c r="N77" i="48"/>
  <c r="M78" i="48"/>
  <c r="M46" i="48"/>
  <c r="L14" i="48"/>
  <c r="A43" i="65" l="1"/>
  <c r="A44" i="65" s="1"/>
  <c r="F43" i="65"/>
  <c r="G7" i="2"/>
  <c r="G15" i="2" s="1"/>
  <c r="G23" i="2" s="1"/>
  <c r="K95" i="1"/>
  <c r="J48" i="8"/>
  <c r="A26" i="1"/>
  <c r="I34" i="1"/>
  <c r="E83" i="12"/>
  <c r="F83" i="12" s="1"/>
  <c r="G39" i="12"/>
  <c r="G44" i="12" s="1"/>
  <c r="K137" i="1" s="1"/>
  <c r="G54" i="12"/>
  <c r="E82" i="12"/>
  <c r="F82" i="12" s="1"/>
  <c r="G56" i="12"/>
  <c r="D42" i="71"/>
  <c r="D51" i="7"/>
  <c r="G40" i="12"/>
  <c r="E81" i="12"/>
  <c r="F81" i="12" s="1"/>
  <c r="G41" i="12"/>
  <c r="G55" i="12"/>
  <c r="K90" i="1"/>
  <c r="K83" i="1"/>
  <c r="K55" i="1"/>
  <c r="H134" i="15"/>
  <c r="H135" i="15" s="1"/>
  <c r="H73" i="44"/>
  <c r="H74" i="44" s="1"/>
  <c r="H81" i="44" s="1"/>
  <c r="H83" i="44" s="1"/>
  <c r="H88" i="44" s="1"/>
  <c r="G31" i="79"/>
  <c r="G32" i="79" s="1"/>
  <c r="F59" i="21"/>
  <c r="F60" i="21" s="1"/>
  <c r="K23" i="1" s="1"/>
  <c r="F26" i="26"/>
  <c r="F27" i="26" s="1"/>
  <c r="E29" i="54"/>
  <c r="E30" i="54" s="1"/>
  <c r="E39" i="54" s="1"/>
  <c r="K11" i="1" s="1"/>
  <c r="F50" i="22"/>
  <c r="F51" i="22" s="1"/>
  <c r="J13" i="8" s="1"/>
  <c r="H91" i="15"/>
  <c r="H92" i="15" s="1"/>
  <c r="G38" i="79"/>
  <c r="G39" i="79" s="1"/>
  <c r="I38" i="79"/>
  <c r="I39" i="79" s="1"/>
  <c r="I19" i="79" s="1"/>
  <c r="F54" i="22"/>
  <c r="F55" i="22" s="1"/>
  <c r="K16" i="1" s="1"/>
  <c r="G25" i="2"/>
  <c r="I31" i="79"/>
  <c r="I32" i="79" s="1"/>
  <c r="I18" i="79" s="1"/>
  <c r="I26" i="79"/>
  <c r="I27" i="79" s="1"/>
  <c r="I17" i="79" s="1"/>
  <c r="H85" i="64"/>
  <c r="H86" i="64" s="1"/>
  <c r="F93" i="64" s="1"/>
  <c r="F24" i="22"/>
  <c r="D29" i="54"/>
  <c r="D30" i="54" s="1"/>
  <c r="D39" i="54" s="1"/>
  <c r="F58" i="4"/>
  <c r="F59" i="4" s="1"/>
  <c r="J7" i="8" s="1"/>
  <c r="K79" i="48"/>
  <c r="K15" i="48"/>
  <c r="L79" i="48"/>
  <c r="L16" i="48" s="1"/>
  <c r="K391" i="49"/>
  <c r="J392" i="49"/>
  <c r="K358" i="49"/>
  <c r="J359" i="49"/>
  <c r="K51" i="48"/>
  <c r="L51" i="48"/>
  <c r="J293" i="49"/>
  <c r="K292" i="49"/>
  <c r="K59" i="49"/>
  <c r="K259" i="49"/>
  <c r="J260" i="49"/>
  <c r="K424" i="49"/>
  <c r="J425" i="49"/>
  <c r="J327" i="49"/>
  <c r="K326" i="49"/>
  <c r="J129" i="49"/>
  <c r="K128" i="49"/>
  <c r="J60" i="49"/>
  <c r="J95" i="49"/>
  <c r="K94" i="49"/>
  <c r="K193" i="49"/>
  <c r="J194" i="49"/>
  <c r="K161" i="49"/>
  <c r="J162" i="49"/>
  <c r="K226" i="49"/>
  <c r="J227" i="49"/>
  <c r="E15" i="4"/>
  <c r="E15" i="64" s="1"/>
  <c r="E51" i="64" s="1"/>
  <c r="F73" i="21" s="1"/>
  <c r="E16" i="4"/>
  <c r="M210" i="4"/>
  <c r="L16" i="64"/>
  <c r="L52" i="64" s="1"/>
  <c r="M74" i="21" s="1"/>
  <c r="L17" i="4"/>
  <c r="I14" i="4"/>
  <c r="K14" i="64"/>
  <c r="K50" i="64" s="1"/>
  <c r="L72" i="21" s="1"/>
  <c r="K15" i="4"/>
  <c r="D14" i="64"/>
  <c r="D50" i="64" s="1"/>
  <c r="E72" i="21" s="1"/>
  <c r="D15" i="4"/>
  <c r="D13" i="64"/>
  <c r="D49" i="64" s="1"/>
  <c r="H14" i="64"/>
  <c r="H50" i="64" s="1"/>
  <c r="I72" i="21" s="1"/>
  <c r="H15" i="4"/>
  <c r="F14" i="64"/>
  <c r="F50" i="64" s="1"/>
  <c r="G72" i="21" s="1"/>
  <c r="F15" i="4"/>
  <c r="G15" i="4"/>
  <c r="G14" i="64"/>
  <c r="G50" i="64" s="1"/>
  <c r="H72" i="21" s="1"/>
  <c r="M13" i="4"/>
  <c r="C13" i="64"/>
  <c r="C49" i="64" s="1"/>
  <c r="C14" i="4"/>
  <c r="J16" i="64"/>
  <c r="J52" i="64" s="1"/>
  <c r="K74" i="21" s="1"/>
  <c r="J17" i="4"/>
  <c r="M79" i="48"/>
  <c r="N78" i="48"/>
  <c r="M14" i="48"/>
  <c r="M47" i="48"/>
  <c r="N46" i="48"/>
  <c r="N14" i="48" s="1"/>
  <c r="F86" i="12" l="1"/>
  <c r="F44" i="65"/>
  <c r="A45" i="65"/>
  <c r="A46" i="65" s="1"/>
  <c r="A47" i="65" s="1"/>
  <c r="A48" i="65" s="1"/>
  <c r="A49" i="65" s="1"/>
  <c r="A50" i="65" s="1"/>
  <c r="A51" i="65" s="1"/>
  <c r="A52" i="65" s="1"/>
  <c r="A53" i="65" s="1"/>
  <c r="A54" i="65" s="1"/>
  <c r="F41" i="65"/>
  <c r="I151" i="1"/>
  <c r="G26" i="79"/>
  <c r="G27" i="79" s="1"/>
  <c r="G17" i="79" s="1"/>
  <c r="F63" i="4"/>
  <c r="F64" i="4" s="1"/>
  <c r="K10" i="1" s="1"/>
  <c r="H71" i="15"/>
  <c r="H72" i="15" s="1"/>
  <c r="F52" i="21"/>
  <c r="F53" i="21" s="1"/>
  <c r="J20" i="8" s="1"/>
  <c r="K56" i="1"/>
  <c r="D59" i="7"/>
  <c r="D55" i="7"/>
  <c r="A28" i="1"/>
  <c r="A30" i="1" s="1"/>
  <c r="A31" i="1" s="1"/>
  <c r="A32" i="1" s="1"/>
  <c r="A34" i="1" s="1"/>
  <c r="D56" i="71"/>
  <c r="E56" i="71"/>
  <c r="D49" i="71"/>
  <c r="E49" i="71"/>
  <c r="K24" i="1"/>
  <c r="E96" i="8"/>
  <c r="E99" i="8" s="1"/>
  <c r="J33" i="8" s="1"/>
  <c r="D21" i="7"/>
  <c r="D25" i="7" s="1"/>
  <c r="D83" i="7" s="1"/>
  <c r="K93" i="1"/>
  <c r="D33" i="71"/>
  <c r="D35" i="71" s="1"/>
  <c r="E33" i="71"/>
  <c r="E35" i="71" s="1"/>
  <c r="D22" i="7"/>
  <c r="K138" i="1"/>
  <c r="G59" i="12"/>
  <c r="J61" i="8" s="1"/>
  <c r="J62" i="8" s="1"/>
  <c r="I20" i="79"/>
  <c r="K9" i="79" s="1"/>
  <c r="K31" i="1" s="1"/>
  <c r="G28" i="2"/>
  <c r="K32" i="79"/>
  <c r="G18" i="79"/>
  <c r="K18" i="79" s="1"/>
  <c r="D42" i="54"/>
  <c r="J8" i="8" s="1"/>
  <c r="K39" i="79"/>
  <c r="G19" i="79"/>
  <c r="K19" i="79" s="1"/>
  <c r="F26" i="22"/>
  <c r="K15" i="1" s="1"/>
  <c r="F27" i="22"/>
  <c r="J12" i="8" s="1"/>
  <c r="K27" i="79"/>
  <c r="K80" i="48"/>
  <c r="L80" i="48"/>
  <c r="L17" i="48" s="1"/>
  <c r="K16" i="48"/>
  <c r="J393" i="49"/>
  <c r="K392" i="49"/>
  <c r="K359" i="49"/>
  <c r="J360" i="49"/>
  <c r="K52" i="48"/>
  <c r="L52" i="48"/>
  <c r="K327" i="49"/>
  <c r="J328" i="49"/>
  <c r="J426" i="49"/>
  <c r="K425" i="49"/>
  <c r="K293" i="49"/>
  <c r="J294" i="49"/>
  <c r="J261" i="49"/>
  <c r="K260" i="49"/>
  <c r="K194" i="49"/>
  <c r="J195" i="49"/>
  <c r="K60" i="49"/>
  <c r="K95" i="49"/>
  <c r="J61" i="49"/>
  <c r="J96" i="49"/>
  <c r="J163" i="49"/>
  <c r="K162" i="49"/>
  <c r="K227" i="49"/>
  <c r="J228" i="49"/>
  <c r="K129" i="49"/>
  <c r="J130" i="49"/>
  <c r="E17" i="4"/>
  <c r="E16" i="64"/>
  <c r="E52" i="64" s="1"/>
  <c r="F74" i="21" s="1"/>
  <c r="G16" i="4"/>
  <c r="G15" i="64"/>
  <c r="G51" i="64" s="1"/>
  <c r="H73" i="21" s="1"/>
  <c r="D16" i="4"/>
  <c r="D15" i="64"/>
  <c r="D51" i="64" s="1"/>
  <c r="E73" i="21" s="1"/>
  <c r="F15" i="64"/>
  <c r="F51" i="64" s="1"/>
  <c r="G73" i="21" s="1"/>
  <c r="F16" i="4"/>
  <c r="K15" i="64"/>
  <c r="K51" i="64" s="1"/>
  <c r="L73" i="21" s="1"/>
  <c r="K16" i="4"/>
  <c r="C14" i="64"/>
  <c r="C50" i="64" s="1"/>
  <c r="M14" i="4"/>
  <c r="M14" i="64" s="1"/>
  <c r="C15" i="4"/>
  <c r="H15" i="64"/>
  <c r="H51" i="64" s="1"/>
  <c r="I73" i="21" s="1"/>
  <c r="H16" i="4"/>
  <c r="I14" i="64"/>
  <c r="I50" i="64" s="1"/>
  <c r="J72" i="21" s="1"/>
  <c r="I15" i="4"/>
  <c r="D71" i="21"/>
  <c r="M49" i="64"/>
  <c r="L18" i="4"/>
  <c r="L17" i="64"/>
  <c r="L53" i="64" s="1"/>
  <c r="M75" i="21" s="1"/>
  <c r="M13" i="64"/>
  <c r="E71" i="21"/>
  <c r="J18" i="4"/>
  <c r="J17" i="64"/>
  <c r="J53" i="64" s="1"/>
  <c r="K75" i="21" s="1"/>
  <c r="M48" i="48"/>
  <c r="N47" i="48"/>
  <c r="N15" i="48" s="1"/>
  <c r="M15" i="48"/>
  <c r="N79" i="48"/>
  <c r="M80" i="48"/>
  <c r="I35" i="1" l="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F79" i="71"/>
  <c r="D68" i="71"/>
  <c r="E68" i="71"/>
  <c r="F97" i="71"/>
  <c r="A39" i="1"/>
  <c r="I117" i="1"/>
  <c r="D47" i="7"/>
  <c r="D48" i="7" s="1"/>
  <c r="D63" i="7" s="1"/>
  <c r="D69" i="7" s="1"/>
  <c r="H41" i="44"/>
  <c r="H44" i="44" s="1"/>
  <c r="H87" i="44" s="1"/>
  <c r="H92" i="44" s="1"/>
  <c r="E115" i="71"/>
  <c r="E101" i="71"/>
  <c r="E103" i="71"/>
  <c r="E66" i="71"/>
  <c r="E102" i="71"/>
  <c r="E99" i="71"/>
  <c r="E105" i="71"/>
  <c r="E104" i="71"/>
  <c r="E106" i="71"/>
  <c r="E100" i="71"/>
  <c r="E97" i="71"/>
  <c r="E96" i="71"/>
  <c r="E98" i="71"/>
  <c r="E79" i="71"/>
  <c r="E80" i="71"/>
  <c r="E88" i="71"/>
  <c r="E84" i="71"/>
  <c r="E86" i="71"/>
  <c r="E81" i="71"/>
  <c r="E85" i="71"/>
  <c r="E87" i="71"/>
  <c r="D66" i="71"/>
  <c r="E83" i="71"/>
  <c r="E78" i="71"/>
  <c r="E82" i="71"/>
  <c r="E67" i="71"/>
  <c r="F96" i="71"/>
  <c r="F108" i="71" s="1"/>
  <c r="D26" i="71"/>
  <c r="D27" i="71" s="1"/>
  <c r="E26" i="71"/>
  <c r="E27" i="71" s="1"/>
  <c r="F78" i="71"/>
  <c r="D67" i="71"/>
  <c r="K17" i="79"/>
  <c r="K20" i="79" s="1"/>
  <c r="K10" i="79" s="1"/>
  <c r="J26" i="8" s="1"/>
  <c r="G20" i="79"/>
  <c r="G91" i="15"/>
  <c r="G92" i="15" s="1"/>
  <c r="D92" i="15" s="1"/>
  <c r="D11" i="15" s="1"/>
  <c r="G134" i="15"/>
  <c r="G135" i="15" s="1"/>
  <c r="D135" i="15" s="1"/>
  <c r="D12" i="15" s="1"/>
  <c r="F28" i="26"/>
  <c r="F29" i="26" s="1"/>
  <c r="F30" i="26" s="1"/>
  <c r="K127" i="1" s="1"/>
  <c r="G71" i="15"/>
  <c r="G72" i="15" s="1"/>
  <c r="D72" i="15" s="1"/>
  <c r="D10" i="15" s="1"/>
  <c r="K40" i="1"/>
  <c r="K81" i="48"/>
  <c r="L81" i="48"/>
  <c r="L18" i="48" s="1"/>
  <c r="K17" i="48"/>
  <c r="J394" i="49"/>
  <c r="K393" i="49"/>
  <c r="J361" i="49"/>
  <c r="K360" i="49"/>
  <c r="K53" i="48"/>
  <c r="L53" i="48"/>
  <c r="K328" i="49"/>
  <c r="J329" i="49"/>
  <c r="J427" i="49"/>
  <c r="K426" i="49"/>
  <c r="J262" i="49"/>
  <c r="K261" i="49"/>
  <c r="J295" i="49"/>
  <c r="K294" i="49"/>
  <c r="J131" i="49"/>
  <c r="K130" i="49"/>
  <c r="K61" i="49"/>
  <c r="J62" i="49"/>
  <c r="K96" i="49"/>
  <c r="J97" i="49"/>
  <c r="K228" i="49"/>
  <c r="J229" i="49"/>
  <c r="K195" i="49"/>
  <c r="J196" i="49"/>
  <c r="J164" i="49"/>
  <c r="K163" i="49"/>
  <c r="F16" i="64"/>
  <c r="F52" i="64" s="1"/>
  <c r="G74" i="21" s="1"/>
  <c r="F17" i="4"/>
  <c r="I15" i="64"/>
  <c r="I51" i="64" s="1"/>
  <c r="J73" i="21" s="1"/>
  <c r="I16" i="4"/>
  <c r="E17" i="64"/>
  <c r="E53" i="64" s="1"/>
  <c r="F75" i="21" s="1"/>
  <c r="E18" i="4"/>
  <c r="H17" i="4"/>
  <c r="H16" i="64"/>
  <c r="H52" i="64" s="1"/>
  <c r="I74" i="21" s="1"/>
  <c r="L18" i="64"/>
  <c r="L54" i="64" s="1"/>
  <c r="M76" i="21" s="1"/>
  <c r="L19" i="4"/>
  <c r="C16" i="4"/>
  <c r="C15" i="64"/>
  <c r="C51" i="64" s="1"/>
  <c r="M15" i="4"/>
  <c r="D16" i="64"/>
  <c r="D52" i="64" s="1"/>
  <c r="E74" i="21" s="1"/>
  <c r="D17" i="4"/>
  <c r="N71" i="21"/>
  <c r="D72" i="21"/>
  <c r="N72" i="21" s="1"/>
  <c r="M50" i="64"/>
  <c r="G16" i="64"/>
  <c r="G52" i="64" s="1"/>
  <c r="H74" i="21" s="1"/>
  <c r="G17" i="4"/>
  <c r="K16" i="64"/>
  <c r="K52" i="64" s="1"/>
  <c r="L74" i="21" s="1"/>
  <c r="K17" i="4"/>
  <c r="J18" i="64"/>
  <c r="J54" i="64" s="1"/>
  <c r="K76" i="21" s="1"/>
  <c r="J19" i="4"/>
  <c r="M16" i="48"/>
  <c r="N48" i="48"/>
  <c r="N16" i="48" s="1"/>
  <c r="M49" i="48"/>
  <c r="N80" i="48"/>
  <c r="F90" i="71" l="1"/>
  <c r="B115" i="65"/>
  <c r="A78" i="65"/>
  <c r="A79" i="65" s="1"/>
  <c r="A80" i="65" s="1"/>
  <c r="A81" i="65" s="1"/>
  <c r="A82" i="65" s="1"/>
  <c r="A83" i="65" s="1"/>
  <c r="A84" i="65" s="1"/>
  <c r="A85" i="65" s="1"/>
  <c r="A86" i="65" s="1"/>
  <c r="A87" i="65" s="1"/>
  <c r="A88" i="65" s="1"/>
  <c r="A89" i="65" s="1"/>
  <c r="A90" i="65" s="1"/>
  <c r="A91" i="65" s="1"/>
  <c r="B109" i="65" s="1"/>
  <c r="D14" i="15"/>
  <c r="K26" i="1" s="1"/>
  <c r="K41" i="1"/>
  <c r="D98" i="71"/>
  <c r="G98" i="71" s="1"/>
  <c r="H98" i="71" s="1"/>
  <c r="D102" i="71"/>
  <c r="E65" i="71"/>
  <c r="E69" i="71" s="1"/>
  <c r="E70" i="71" s="1"/>
  <c r="D103" i="71"/>
  <c r="G103" i="71" s="1"/>
  <c r="H103" i="71" s="1"/>
  <c r="D97" i="71"/>
  <c r="G97" i="71" s="1"/>
  <c r="H97" i="71" s="1"/>
  <c r="D106" i="71"/>
  <c r="G106" i="71" s="1"/>
  <c r="H106" i="71" s="1"/>
  <c r="D99" i="71"/>
  <c r="D101" i="71"/>
  <c r="G101" i="71" s="1"/>
  <c r="H101" i="71" s="1"/>
  <c r="D104" i="71"/>
  <c r="G104" i="71" s="1"/>
  <c r="H104" i="71" s="1"/>
  <c r="D96" i="71"/>
  <c r="D100" i="71"/>
  <c r="G100" i="71" s="1"/>
  <c r="H100" i="71" s="1"/>
  <c r="D105" i="71"/>
  <c r="G105" i="71" s="1"/>
  <c r="H105" i="71" s="1"/>
  <c r="D65" i="71"/>
  <c r="D82" i="71"/>
  <c r="D88" i="71"/>
  <c r="D87" i="71"/>
  <c r="D86" i="71"/>
  <c r="D81" i="71"/>
  <c r="D78" i="71"/>
  <c r="D83" i="71"/>
  <c r="D84" i="71"/>
  <c r="D79" i="71"/>
  <c r="D80" i="71"/>
  <c r="D85" i="71"/>
  <c r="A40" i="1"/>
  <c r="A41" i="1" s="1"/>
  <c r="E108" i="71"/>
  <c r="D64" i="7"/>
  <c r="D65" i="7" s="1"/>
  <c r="E90" i="71"/>
  <c r="D72" i="7"/>
  <c r="J49" i="8"/>
  <c r="K17" i="1"/>
  <c r="K82" i="48"/>
  <c r="L82" i="48"/>
  <c r="L19" i="48" s="1"/>
  <c r="K18" i="48"/>
  <c r="M81" i="48"/>
  <c r="N81" i="48" s="1"/>
  <c r="K394" i="49"/>
  <c r="J395" i="49"/>
  <c r="J362" i="49"/>
  <c r="K361" i="49"/>
  <c r="K54" i="48"/>
  <c r="L54" i="48"/>
  <c r="K427" i="49"/>
  <c r="J428" i="49"/>
  <c r="K295" i="49"/>
  <c r="J296" i="49"/>
  <c r="K329" i="49"/>
  <c r="J330" i="49"/>
  <c r="J263" i="49"/>
  <c r="K262" i="49"/>
  <c r="K229" i="49"/>
  <c r="J230" i="49"/>
  <c r="J165" i="49"/>
  <c r="K164" i="49"/>
  <c r="K131" i="49"/>
  <c r="J132" i="49"/>
  <c r="K97" i="49"/>
  <c r="J98" i="49"/>
  <c r="J63" i="49"/>
  <c r="K62" i="49"/>
  <c r="K196" i="49"/>
  <c r="J197" i="49"/>
  <c r="G17" i="64"/>
  <c r="G53" i="64" s="1"/>
  <c r="H75" i="21" s="1"/>
  <c r="G18" i="4"/>
  <c r="D18" i="4"/>
  <c r="D17" i="64"/>
  <c r="D53" i="64" s="1"/>
  <c r="H18" i="4"/>
  <c r="H17" i="64"/>
  <c r="H53" i="64" s="1"/>
  <c r="I75" i="21" s="1"/>
  <c r="E19" i="4"/>
  <c r="E18" i="64"/>
  <c r="E54" i="64" s="1"/>
  <c r="F76" i="21" s="1"/>
  <c r="M15" i="64"/>
  <c r="K17" i="64"/>
  <c r="K53" i="64" s="1"/>
  <c r="L75" i="21" s="1"/>
  <c r="K18" i="4"/>
  <c r="D73" i="21"/>
  <c r="M51" i="64"/>
  <c r="I16" i="64"/>
  <c r="I52" i="64" s="1"/>
  <c r="J74" i="21" s="1"/>
  <c r="I17" i="4"/>
  <c r="M16" i="4"/>
  <c r="M16" i="64" s="1"/>
  <c r="C16" i="64"/>
  <c r="C52" i="64" s="1"/>
  <c r="C17" i="4"/>
  <c r="L19" i="64"/>
  <c r="L55" i="64" s="1"/>
  <c r="M77" i="21" s="1"/>
  <c r="L20" i="4"/>
  <c r="F17" i="64"/>
  <c r="F53" i="64" s="1"/>
  <c r="G75" i="21" s="1"/>
  <c r="F18" i="4"/>
  <c r="J20" i="4"/>
  <c r="J19" i="64"/>
  <c r="J55" i="64" s="1"/>
  <c r="K77" i="21" s="1"/>
  <c r="N49" i="48"/>
  <c r="N17" i="48" s="1"/>
  <c r="M50" i="48"/>
  <c r="M17" i="48"/>
  <c r="M82" i="48"/>
  <c r="B108" i="65" l="1"/>
  <c r="B119" i="65"/>
  <c r="D24" i="15"/>
  <c r="J23" i="8" s="1"/>
  <c r="D69" i="71"/>
  <c r="D70" i="71" s="1"/>
  <c r="E141" i="71"/>
  <c r="D159" i="71"/>
  <c r="D178" i="71"/>
  <c r="G82" i="71"/>
  <c r="H82" i="71" s="1"/>
  <c r="D179" i="71"/>
  <c r="D160" i="71"/>
  <c r="G83" i="71"/>
  <c r="H83" i="71" s="1"/>
  <c r="D161" i="71"/>
  <c r="D180" i="71"/>
  <c r="G84" i="71"/>
  <c r="H84" i="71" s="1"/>
  <c r="I41" i="1"/>
  <c r="G81" i="71"/>
  <c r="H81" i="71" s="1"/>
  <c r="D177" i="71"/>
  <c r="D158" i="71"/>
  <c r="G96" i="71"/>
  <c r="D108" i="71"/>
  <c r="G102" i="71"/>
  <c r="H102" i="71" s="1"/>
  <c r="D175" i="71"/>
  <c r="G79" i="71"/>
  <c r="H79" i="71" s="1"/>
  <c r="D156" i="71"/>
  <c r="D90" i="71"/>
  <c r="D174" i="71"/>
  <c r="D186" i="71" s="1"/>
  <c r="D155" i="71"/>
  <c r="G78" i="71"/>
  <c r="H78" i="71" s="1"/>
  <c r="A43" i="1"/>
  <c r="A44" i="1" s="1"/>
  <c r="G86" i="71"/>
  <c r="H86" i="71" s="1"/>
  <c r="D163" i="71"/>
  <c r="D182" i="71"/>
  <c r="D181" i="71"/>
  <c r="D162" i="71"/>
  <c r="G85" i="71"/>
  <c r="H85" i="71" s="1"/>
  <c r="D183" i="71"/>
  <c r="D164" i="71"/>
  <c r="G87" i="71"/>
  <c r="H87" i="71" s="1"/>
  <c r="D157" i="71"/>
  <c r="D176" i="71"/>
  <c r="G80" i="71"/>
  <c r="H80" i="71" s="1"/>
  <c r="D184" i="71"/>
  <c r="D165" i="71"/>
  <c r="G88" i="71"/>
  <c r="H88" i="71" s="1"/>
  <c r="G99" i="71"/>
  <c r="H99" i="71" s="1"/>
  <c r="K58" i="1"/>
  <c r="J14" i="8"/>
  <c r="J15" i="8" s="1"/>
  <c r="K18" i="1"/>
  <c r="K83" i="48"/>
  <c r="L83" i="48"/>
  <c r="L20" i="48" s="1"/>
  <c r="K19" i="48"/>
  <c r="K395" i="49"/>
  <c r="J396" i="49"/>
  <c r="J363" i="49"/>
  <c r="K362" i="49"/>
  <c r="K55" i="48"/>
  <c r="L55" i="48"/>
  <c r="J331" i="49"/>
  <c r="K330" i="49"/>
  <c r="K263" i="49"/>
  <c r="J264" i="49"/>
  <c r="K296" i="49"/>
  <c r="J297" i="49"/>
  <c r="J429" i="49"/>
  <c r="K428" i="49"/>
  <c r="J133" i="49"/>
  <c r="K132" i="49"/>
  <c r="J166" i="49"/>
  <c r="K165" i="49"/>
  <c r="J198" i="49"/>
  <c r="K197" i="49"/>
  <c r="J99" i="49"/>
  <c r="J64" i="49"/>
  <c r="K98" i="49"/>
  <c r="K230" i="49"/>
  <c r="J231" i="49"/>
  <c r="K63" i="49"/>
  <c r="N73" i="21"/>
  <c r="K18" i="64"/>
  <c r="K54" i="64" s="1"/>
  <c r="L76" i="21" s="1"/>
  <c r="K19" i="4"/>
  <c r="C18" i="4"/>
  <c r="C17" i="64"/>
  <c r="C53" i="64" s="1"/>
  <c r="M17" i="4"/>
  <c r="E75" i="21"/>
  <c r="D74" i="21"/>
  <c r="N74" i="21" s="1"/>
  <c r="M52" i="64"/>
  <c r="D18" i="64"/>
  <c r="D54" i="64" s="1"/>
  <c r="E76" i="21" s="1"/>
  <c r="D19" i="4"/>
  <c r="G18" i="64"/>
  <c r="G54" i="64" s="1"/>
  <c r="H76" i="21" s="1"/>
  <c r="G19" i="4"/>
  <c r="H19" i="4"/>
  <c r="H18" i="64"/>
  <c r="H54" i="64" s="1"/>
  <c r="I76" i="21" s="1"/>
  <c r="F18" i="64"/>
  <c r="F54" i="64" s="1"/>
  <c r="G76" i="21" s="1"/>
  <c r="F19" i="4"/>
  <c r="I17" i="64"/>
  <c r="I53" i="64" s="1"/>
  <c r="J75" i="21" s="1"/>
  <c r="I18" i="4"/>
  <c r="E19" i="64"/>
  <c r="E55" i="64" s="1"/>
  <c r="F77" i="21" s="1"/>
  <c r="E20" i="4"/>
  <c r="L20" i="64"/>
  <c r="L56" i="64" s="1"/>
  <c r="M78" i="21" s="1"/>
  <c r="L21" i="4"/>
  <c r="J20" i="64"/>
  <c r="J56" i="64" s="1"/>
  <c r="K78" i="21" s="1"/>
  <c r="J21" i="4"/>
  <c r="N82" i="48"/>
  <c r="M51" i="48"/>
  <c r="M18" i="48"/>
  <c r="N50" i="48"/>
  <c r="N18" i="48" s="1"/>
  <c r="H90" i="71" l="1"/>
  <c r="G108" i="71"/>
  <c r="H96" i="71"/>
  <c r="H108" i="71" s="1"/>
  <c r="A45" i="1"/>
  <c r="G90" i="71"/>
  <c r="K131" i="1"/>
  <c r="K34" i="1"/>
  <c r="D167" i="71"/>
  <c r="K84" i="48"/>
  <c r="L84" i="48"/>
  <c r="L21" i="48" s="1"/>
  <c r="K20" i="48"/>
  <c r="M83" i="48"/>
  <c r="M84" i="48" s="1"/>
  <c r="J397" i="49"/>
  <c r="K396" i="49"/>
  <c r="J364" i="49"/>
  <c r="K363" i="49"/>
  <c r="K56" i="48"/>
  <c r="L56" i="48"/>
  <c r="K264" i="49"/>
  <c r="J265" i="49"/>
  <c r="J298" i="49"/>
  <c r="K297" i="49"/>
  <c r="J430" i="49"/>
  <c r="K429" i="49"/>
  <c r="J332" i="49"/>
  <c r="K331" i="49"/>
  <c r="K231" i="49"/>
  <c r="J232" i="49"/>
  <c r="J134" i="49"/>
  <c r="K133" i="49"/>
  <c r="K99" i="49"/>
  <c r="J100" i="49"/>
  <c r="J65" i="49"/>
  <c r="J167" i="49"/>
  <c r="K166" i="49"/>
  <c r="K64" i="49"/>
  <c r="K198" i="49"/>
  <c r="J199" i="49"/>
  <c r="I19" i="4"/>
  <c r="I18" i="64"/>
  <c r="I54" i="64" s="1"/>
  <c r="J76" i="21" s="1"/>
  <c r="F20" i="4"/>
  <c r="F19" i="64"/>
  <c r="F55" i="64" s="1"/>
  <c r="G77" i="21" s="1"/>
  <c r="K19" i="64"/>
  <c r="K55" i="64" s="1"/>
  <c r="L77" i="21" s="1"/>
  <c r="K20" i="4"/>
  <c r="D19" i="64"/>
  <c r="D55" i="64" s="1"/>
  <c r="E77" i="21" s="1"/>
  <c r="D20" i="4"/>
  <c r="L21" i="64"/>
  <c r="L57" i="64" s="1"/>
  <c r="M79" i="21" s="1"/>
  <c r="L22" i="4"/>
  <c r="M17" i="64"/>
  <c r="D75" i="21"/>
  <c r="N75" i="21" s="1"/>
  <c r="M53" i="64"/>
  <c r="H20" i="4"/>
  <c r="H19" i="64"/>
  <c r="H55" i="64" s="1"/>
  <c r="I77" i="21" s="1"/>
  <c r="C18" i="64"/>
  <c r="C54" i="64" s="1"/>
  <c r="M18" i="4"/>
  <c r="M18" i="64" s="1"/>
  <c r="C19" i="4"/>
  <c r="E21" i="4"/>
  <c r="E20" i="64"/>
  <c r="E56" i="64" s="1"/>
  <c r="F78" i="21" s="1"/>
  <c r="G19" i="64"/>
  <c r="G55" i="64" s="1"/>
  <c r="H77" i="21" s="1"/>
  <c r="G20" i="4"/>
  <c r="J22" i="4"/>
  <c r="J21" i="64"/>
  <c r="J57" i="64" s="1"/>
  <c r="K79" i="21" s="1"/>
  <c r="M52" i="48"/>
  <c r="M19" i="48"/>
  <c r="N51" i="48"/>
  <c r="N19" i="48" s="1"/>
  <c r="N83" i="48"/>
  <c r="K112" i="1" l="1"/>
  <c r="K134" i="1" s="1"/>
  <c r="K97" i="1"/>
  <c r="K133" i="1" s="1"/>
  <c r="J53" i="8"/>
  <c r="A46" i="1"/>
  <c r="A47" i="1" s="1"/>
  <c r="A48" i="1" s="1"/>
  <c r="I44" i="1"/>
  <c r="K85" i="48"/>
  <c r="L85" i="48"/>
  <c r="L22" i="48" s="1"/>
  <c r="K21" i="48"/>
  <c r="K397" i="49"/>
  <c r="J398" i="49"/>
  <c r="J365" i="49"/>
  <c r="K364" i="49"/>
  <c r="K57" i="48"/>
  <c r="L57" i="48"/>
  <c r="J266" i="49"/>
  <c r="K265" i="49"/>
  <c r="J333" i="49"/>
  <c r="K332" i="49"/>
  <c r="J299" i="49"/>
  <c r="K298" i="49"/>
  <c r="K65" i="49"/>
  <c r="K430" i="49"/>
  <c r="J431" i="49"/>
  <c r="K167" i="49"/>
  <c r="J168" i="49"/>
  <c r="K100" i="49"/>
  <c r="J66" i="49"/>
  <c r="J101" i="49"/>
  <c r="K134" i="49"/>
  <c r="J135" i="49"/>
  <c r="K199" i="49"/>
  <c r="J200" i="49"/>
  <c r="J233" i="49"/>
  <c r="K232" i="49"/>
  <c r="D20" i="64"/>
  <c r="D56" i="64" s="1"/>
  <c r="E78" i="21" s="1"/>
  <c r="D21" i="4"/>
  <c r="G21" i="4"/>
  <c r="G20" i="64"/>
  <c r="G56" i="64" s="1"/>
  <c r="H78" i="21" s="1"/>
  <c r="E21" i="64"/>
  <c r="E57" i="64" s="1"/>
  <c r="F79" i="21" s="1"/>
  <c r="E22" i="4"/>
  <c r="C19" i="64"/>
  <c r="C55" i="64" s="1"/>
  <c r="C20" i="4"/>
  <c r="M19" i="4"/>
  <c r="M19" i="64" s="1"/>
  <c r="M54" i="64"/>
  <c r="D76" i="21"/>
  <c r="N76" i="21" s="1"/>
  <c r="K21" i="4"/>
  <c r="K20" i="64"/>
  <c r="K56" i="64" s="1"/>
  <c r="L78" i="21" s="1"/>
  <c r="H21" i="4"/>
  <c r="H20" i="64"/>
  <c r="H56" i="64" s="1"/>
  <c r="I78" i="21" s="1"/>
  <c r="L23" i="4"/>
  <c r="L22" i="64"/>
  <c r="L58" i="64" s="1"/>
  <c r="M80" i="21" s="1"/>
  <c r="F20" i="64"/>
  <c r="F56" i="64" s="1"/>
  <c r="G78" i="21" s="1"/>
  <c r="F21" i="4"/>
  <c r="I20" i="4"/>
  <c r="I19" i="64"/>
  <c r="I55" i="64" s="1"/>
  <c r="J77" i="21" s="1"/>
  <c r="J23" i="4"/>
  <c r="J22" i="64"/>
  <c r="J58" i="64" s="1"/>
  <c r="K80" i="21" s="1"/>
  <c r="N84" i="48"/>
  <c r="M20" i="48"/>
  <c r="M53" i="48"/>
  <c r="N52" i="48"/>
  <c r="N20" i="48" s="1"/>
  <c r="A49" i="1" l="1"/>
  <c r="A50" i="1" s="1"/>
  <c r="A51" i="1" s="1"/>
  <c r="A52" i="1" s="1"/>
  <c r="K86" i="48"/>
  <c r="L86" i="48"/>
  <c r="L23" i="48" s="1"/>
  <c r="K22" i="48"/>
  <c r="M85" i="48"/>
  <c r="N85" i="48" s="1"/>
  <c r="K398" i="49"/>
  <c r="J399" i="49"/>
  <c r="K365" i="49"/>
  <c r="J366" i="49"/>
  <c r="K58" i="48"/>
  <c r="L58" i="48"/>
  <c r="J300" i="49"/>
  <c r="K299" i="49"/>
  <c r="K333" i="49"/>
  <c r="J334" i="49"/>
  <c r="K431" i="49"/>
  <c r="J432" i="49"/>
  <c r="K266" i="49"/>
  <c r="J267" i="49"/>
  <c r="J102" i="49"/>
  <c r="K101" i="49"/>
  <c r="J67" i="49"/>
  <c r="K66" i="49"/>
  <c r="J234" i="49"/>
  <c r="K233" i="49"/>
  <c r="K200" i="49"/>
  <c r="J201" i="49"/>
  <c r="J169" i="49"/>
  <c r="K168" i="49"/>
  <c r="K135" i="49"/>
  <c r="J136" i="49"/>
  <c r="E23" i="4"/>
  <c r="E22" i="64"/>
  <c r="E58" i="64" s="1"/>
  <c r="F21" i="64"/>
  <c r="F57" i="64" s="1"/>
  <c r="G79" i="21" s="1"/>
  <c r="F22" i="4"/>
  <c r="K22" i="4"/>
  <c r="K21" i="64"/>
  <c r="K57" i="64" s="1"/>
  <c r="L79" i="21" s="1"/>
  <c r="G22" i="4"/>
  <c r="G21" i="64"/>
  <c r="G57" i="64" s="1"/>
  <c r="H79" i="21" s="1"/>
  <c r="L25" i="4"/>
  <c r="L23" i="64"/>
  <c r="L59" i="64" s="1"/>
  <c r="I20" i="64"/>
  <c r="I56" i="64" s="1"/>
  <c r="I21" i="4"/>
  <c r="C20" i="64"/>
  <c r="C56" i="64" s="1"/>
  <c r="C21" i="4"/>
  <c r="M20" i="4"/>
  <c r="D21" i="64"/>
  <c r="D57" i="64" s="1"/>
  <c r="E79" i="21" s="1"/>
  <c r="D22" i="4"/>
  <c r="H21" i="64"/>
  <c r="H57" i="64" s="1"/>
  <c r="I79" i="21" s="1"/>
  <c r="H22" i="4"/>
  <c r="M55" i="64"/>
  <c r="D77" i="21"/>
  <c r="N77" i="21" s="1"/>
  <c r="J25" i="4"/>
  <c r="J23" i="64"/>
  <c r="J59" i="64" s="1"/>
  <c r="K81" i="21" s="1"/>
  <c r="K82" i="21" s="1"/>
  <c r="K109" i="21" s="1"/>
  <c r="K112" i="21" s="1"/>
  <c r="M86" i="48"/>
  <c r="M21" i="48"/>
  <c r="M54" i="48"/>
  <c r="N53" i="48"/>
  <c r="N21" i="48" s="1"/>
  <c r="I52" i="1" l="1"/>
  <c r="A53" i="1"/>
  <c r="A54" i="1" s="1"/>
  <c r="I54" i="1"/>
  <c r="C20" i="17"/>
  <c r="K87" i="48"/>
  <c r="L87" i="48"/>
  <c r="L24" i="48" s="1"/>
  <c r="K23" i="48"/>
  <c r="K399" i="49"/>
  <c r="J400" i="49"/>
  <c r="J367" i="49"/>
  <c r="K366" i="49"/>
  <c r="K59" i="48"/>
  <c r="L59" i="48"/>
  <c r="K432" i="49"/>
  <c r="J433" i="49"/>
  <c r="J268" i="49"/>
  <c r="K267" i="49"/>
  <c r="J335" i="49"/>
  <c r="K334" i="49"/>
  <c r="K300" i="49"/>
  <c r="J301" i="49"/>
  <c r="K201" i="49"/>
  <c r="J202" i="49"/>
  <c r="J235" i="49"/>
  <c r="K234" i="49"/>
  <c r="J170" i="49"/>
  <c r="K169" i="49"/>
  <c r="K67" i="49"/>
  <c r="J137" i="49"/>
  <c r="K136" i="49"/>
  <c r="J103" i="49"/>
  <c r="J68" i="49"/>
  <c r="K102" i="49"/>
  <c r="C22" i="4"/>
  <c r="M21" i="4"/>
  <c r="M21" i="64" s="1"/>
  <c r="C21" i="64"/>
  <c r="C57" i="64" s="1"/>
  <c r="H22" i="64"/>
  <c r="H58" i="64" s="1"/>
  <c r="H23" i="4"/>
  <c r="H23" i="64" s="1"/>
  <c r="H59" i="64" s="1"/>
  <c r="I81" i="21" s="1"/>
  <c r="H25" i="4"/>
  <c r="D78" i="21"/>
  <c r="N78" i="21" s="1"/>
  <c r="M56" i="64"/>
  <c r="G22" i="64"/>
  <c r="G58" i="64" s="1"/>
  <c r="H80" i="21" s="1"/>
  <c r="G23" i="4"/>
  <c r="G23" i="64" s="1"/>
  <c r="G59" i="64" s="1"/>
  <c r="D22" i="64"/>
  <c r="D58" i="64" s="1"/>
  <c r="E80" i="21" s="1"/>
  <c r="D23" i="4"/>
  <c r="I21" i="64"/>
  <c r="I57" i="64" s="1"/>
  <c r="J79" i="21" s="1"/>
  <c r="I22" i="4"/>
  <c r="K23" i="4"/>
  <c r="K22" i="64"/>
  <c r="K58" i="64" s="1"/>
  <c r="L80" i="21" s="1"/>
  <c r="J78" i="21"/>
  <c r="F22" i="64"/>
  <c r="F58" i="64" s="1"/>
  <c r="G80" i="21" s="1"/>
  <c r="F23" i="4"/>
  <c r="G25" i="4"/>
  <c r="L60" i="64"/>
  <c r="M81" i="21"/>
  <c r="M82" i="21" s="1"/>
  <c r="M109" i="21" s="1"/>
  <c r="M112" i="21" s="1"/>
  <c r="F80" i="21"/>
  <c r="M20" i="64"/>
  <c r="E23" i="64"/>
  <c r="E59" i="64" s="1"/>
  <c r="F81" i="21" s="1"/>
  <c r="E25" i="4"/>
  <c r="J60" i="64"/>
  <c r="K130" i="21"/>
  <c r="K119" i="21"/>
  <c r="K121" i="21"/>
  <c r="K126" i="21"/>
  <c r="K123" i="21"/>
  <c r="K128" i="21"/>
  <c r="K120" i="21"/>
  <c r="K122" i="21"/>
  <c r="K129" i="21"/>
  <c r="K127" i="21"/>
  <c r="K125" i="21"/>
  <c r="K124" i="21"/>
  <c r="H81" i="21"/>
  <c r="H82" i="21" s="1"/>
  <c r="H109" i="21" s="1"/>
  <c r="H112" i="21" s="1"/>
  <c r="G60" i="64"/>
  <c r="N86" i="48"/>
  <c r="M55" i="48"/>
  <c r="N54" i="48"/>
  <c r="N22" i="48" s="1"/>
  <c r="M22" i="48"/>
  <c r="A55" i="1" l="1"/>
  <c r="A56" i="1" s="1"/>
  <c r="K88" i="48"/>
  <c r="L88" i="48"/>
  <c r="L25" i="48" s="1"/>
  <c r="K24" i="48"/>
  <c r="M87" i="48"/>
  <c r="M88" i="48" s="1"/>
  <c r="J401" i="49"/>
  <c r="K400" i="49"/>
  <c r="K367" i="49"/>
  <c r="J368" i="49"/>
  <c r="K60" i="48"/>
  <c r="L60" i="48"/>
  <c r="K268" i="49"/>
  <c r="J269" i="49"/>
  <c r="K301" i="49"/>
  <c r="J302" i="49"/>
  <c r="K433" i="49"/>
  <c r="J434" i="49"/>
  <c r="J336" i="49"/>
  <c r="K335" i="49"/>
  <c r="K103" i="49"/>
  <c r="J104" i="49"/>
  <c r="J69" i="49"/>
  <c r="K202" i="49"/>
  <c r="J203" i="49"/>
  <c r="K235" i="49"/>
  <c r="J236" i="49"/>
  <c r="K137" i="49"/>
  <c r="J138" i="49"/>
  <c r="J171" i="49"/>
  <c r="K170" i="49"/>
  <c r="K68" i="49"/>
  <c r="F82" i="21"/>
  <c r="F109" i="21" s="1"/>
  <c r="F112" i="21" s="1"/>
  <c r="M121" i="21"/>
  <c r="M120" i="21"/>
  <c r="M122" i="21"/>
  <c r="M130" i="21"/>
  <c r="M128" i="21"/>
  <c r="M125" i="21"/>
  <c r="M119" i="21"/>
  <c r="M126" i="21"/>
  <c r="M123" i="21"/>
  <c r="M129" i="21"/>
  <c r="M124" i="21"/>
  <c r="M127" i="21"/>
  <c r="K23" i="64"/>
  <c r="K59" i="64" s="1"/>
  <c r="L81" i="21" s="1"/>
  <c r="L82" i="21" s="1"/>
  <c r="L109" i="21" s="1"/>
  <c r="L112" i="21" s="1"/>
  <c r="L121" i="21" s="1"/>
  <c r="K25" i="4"/>
  <c r="I82" i="21"/>
  <c r="I109" i="21" s="1"/>
  <c r="I112" i="21" s="1"/>
  <c r="D23" i="64"/>
  <c r="D59" i="64" s="1"/>
  <c r="D25" i="4"/>
  <c r="I80" i="21"/>
  <c r="H60" i="64"/>
  <c r="F25" i="4"/>
  <c r="F23" i="64"/>
  <c r="F59" i="64" s="1"/>
  <c r="G81" i="21" s="1"/>
  <c r="G82" i="21" s="1"/>
  <c r="G109" i="21" s="1"/>
  <c r="G112" i="21" s="1"/>
  <c r="G122" i="21" s="1"/>
  <c r="I60" i="64"/>
  <c r="D79" i="21"/>
  <c r="N79" i="21" s="1"/>
  <c r="M57" i="64"/>
  <c r="I22" i="64"/>
  <c r="I58" i="64" s="1"/>
  <c r="J80" i="21" s="1"/>
  <c r="I23" i="4"/>
  <c r="I23" i="64" s="1"/>
  <c r="I59" i="64" s="1"/>
  <c r="J81" i="21" s="1"/>
  <c r="J82" i="21" s="1"/>
  <c r="J109" i="21" s="1"/>
  <c r="J112" i="21" s="1"/>
  <c r="E60" i="64"/>
  <c r="F130" i="21"/>
  <c r="F122" i="21"/>
  <c r="F128" i="21"/>
  <c r="F120" i="21"/>
  <c r="F121" i="21"/>
  <c r="F123" i="21"/>
  <c r="F125" i="21"/>
  <c r="F126" i="21"/>
  <c r="F124" i="21"/>
  <c r="F129" i="21"/>
  <c r="F119" i="21"/>
  <c r="F127" i="21"/>
  <c r="C22" i="64"/>
  <c r="C58" i="64" s="1"/>
  <c r="C23" i="4"/>
  <c r="M22" i="4"/>
  <c r="M22" i="64" s="1"/>
  <c r="K13" i="21"/>
  <c r="K131" i="21"/>
  <c r="M23" i="48"/>
  <c r="M56" i="48"/>
  <c r="N55" i="48"/>
  <c r="N23" i="48" s="1"/>
  <c r="L123" i="21"/>
  <c r="H129" i="21"/>
  <c r="H125" i="21"/>
  <c r="H123" i="21"/>
  <c r="H126" i="21"/>
  <c r="H120" i="21"/>
  <c r="H127" i="21"/>
  <c r="H124" i="21"/>
  <c r="H130" i="21"/>
  <c r="H121" i="21"/>
  <c r="H122" i="21"/>
  <c r="H119" i="21"/>
  <c r="H128" i="21"/>
  <c r="G120" i="21"/>
  <c r="G121" i="21"/>
  <c r="I56" i="1" l="1"/>
  <c r="A58" i="1"/>
  <c r="I58" i="1"/>
  <c r="K89" i="48"/>
  <c r="L89" i="48"/>
  <c r="L26" i="48" s="1"/>
  <c r="K25" i="48"/>
  <c r="N87" i="48"/>
  <c r="K401" i="49"/>
  <c r="J402" i="49"/>
  <c r="K368" i="49"/>
  <c r="J369" i="49"/>
  <c r="K61" i="48"/>
  <c r="L61" i="48"/>
  <c r="J303" i="49"/>
  <c r="K302" i="49"/>
  <c r="J435" i="49"/>
  <c r="K434" i="49"/>
  <c r="K336" i="49"/>
  <c r="J337" i="49"/>
  <c r="J270" i="49"/>
  <c r="K269" i="49"/>
  <c r="J204" i="49"/>
  <c r="K203" i="49"/>
  <c r="J172" i="49"/>
  <c r="K171" i="49"/>
  <c r="J139" i="49"/>
  <c r="K138" i="49"/>
  <c r="K104" i="49"/>
  <c r="J70" i="49"/>
  <c r="J105" i="49"/>
  <c r="K69" i="49"/>
  <c r="J237" i="49"/>
  <c r="K236" i="49"/>
  <c r="L119" i="21"/>
  <c r="G124" i="21"/>
  <c r="G119" i="21"/>
  <c r="G13" i="21" s="1"/>
  <c r="L127" i="21"/>
  <c r="L129" i="21"/>
  <c r="G125" i="21"/>
  <c r="G131" i="21" s="1"/>
  <c r="L125" i="21"/>
  <c r="L130" i="21"/>
  <c r="K60" i="64"/>
  <c r="G123" i="21"/>
  <c r="G130" i="21"/>
  <c r="G127" i="21"/>
  <c r="L128" i="21"/>
  <c r="F60" i="64"/>
  <c r="G129" i="21"/>
  <c r="L122" i="21"/>
  <c r="L131" i="21" s="1"/>
  <c r="G128" i="21"/>
  <c r="L120" i="21"/>
  <c r="G126" i="21"/>
  <c r="L126" i="21"/>
  <c r="M131" i="21"/>
  <c r="M13" i="21"/>
  <c r="M14" i="21" s="1"/>
  <c r="M15" i="21" s="1"/>
  <c r="M16" i="21" s="1"/>
  <c r="M17" i="21" s="1"/>
  <c r="M18" i="21" s="1"/>
  <c r="M19" i="21" s="1"/>
  <c r="M20" i="21" s="1"/>
  <c r="M21" i="21" s="1"/>
  <c r="M22" i="21" s="1"/>
  <c r="M23" i="21" s="1"/>
  <c r="E81" i="21"/>
  <c r="E82" i="21" s="1"/>
  <c r="E109" i="21" s="1"/>
  <c r="E112" i="21" s="1"/>
  <c r="D60" i="64"/>
  <c r="C23" i="64"/>
  <c r="C59" i="64" s="1"/>
  <c r="M23" i="4"/>
  <c r="C25" i="4"/>
  <c r="I126" i="21"/>
  <c r="I129" i="21"/>
  <c r="I128" i="21"/>
  <c r="I130" i="21"/>
  <c r="I125" i="21"/>
  <c r="I121" i="21"/>
  <c r="I127" i="21"/>
  <c r="I124" i="21"/>
  <c r="I120" i="21"/>
  <c r="I119" i="21"/>
  <c r="I122" i="21"/>
  <c r="I123" i="21"/>
  <c r="M58" i="64"/>
  <c r="D80" i="21"/>
  <c r="N80" i="21" s="1"/>
  <c r="I25" i="4"/>
  <c r="J128" i="21"/>
  <c r="J120" i="21"/>
  <c r="J126" i="21"/>
  <c r="J123" i="21"/>
  <c r="J130" i="21"/>
  <c r="J121" i="21"/>
  <c r="J124" i="21"/>
  <c r="J125" i="21"/>
  <c r="J122" i="21"/>
  <c r="J119" i="21"/>
  <c r="J129" i="21"/>
  <c r="J127" i="21"/>
  <c r="L124" i="21"/>
  <c r="F13" i="21"/>
  <c r="F14" i="21" s="1"/>
  <c r="F15" i="21" s="1"/>
  <c r="F16" i="21" s="1"/>
  <c r="F17" i="21" s="1"/>
  <c r="F18" i="21" s="1"/>
  <c r="F19" i="21" s="1"/>
  <c r="F20" i="21" s="1"/>
  <c r="F21" i="21" s="1"/>
  <c r="F22" i="21" s="1"/>
  <c r="F23" i="21" s="1"/>
  <c r="F131" i="21"/>
  <c r="K14" i="21"/>
  <c r="K15" i="21" s="1"/>
  <c r="K16" i="21" s="1"/>
  <c r="K17" i="21" s="1"/>
  <c r="K18" i="21" s="1"/>
  <c r="K19" i="21" s="1"/>
  <c r="K20" i="21" s="1"/>
  <c r="K21" i="21" s="1"/>
  <c r="K22" i="21" s="1"/>
  <c r="K23" i="21" s="1"/>
  <c r="H131" i="21"/>
  <c r="H13" i="21"/>
  <c r="N88" i="48"/>
  <c r="M89" i="48"/>
  <c r="L13" i="21"/>
  <c r="N56" i="48"/>
  <c r="N24" i="48" s="1"/>
  <c r="M24" i="48"/>
  <c r="M57" i="48"/>
  <c r="G14" i="21"/>
  <c r="G15" i="21" s="1"/>
  <c r="G16" i="21" s="1"/>
  <c r="G17" i="21" s="1"/>
  <c r="G18" i="21" s="1"/>
  <c r="G19" i="21" s="1"/>
  <c r="G20" i="21" s="1"/>
  <c r="G21" i="21" s="1"/>
  <c r="G22" i="21" s="1"/>
  <c r="G23" i="21" s="1"/>
  <c r="A63" i="1" l="1"/>
  <c r="I131" i="1"/>
  <c r="K90" i="48"/>
  <c r="L90" i="48"/>
  <c r="L27" i="48" s="1"/>
  <c r="K26" i="48"/>
  <c r="K402" i="49"/>
  <c r="J403" i="49"/>
  <c r="J370" i="49"/>
  <c r="K369" i="49"/>
  <c r="K62" i="48"/>
  <c r="L62" i="48"/>
  <c r="K337" i="49"/>
  <c r="J338" i="49"/>
  <c r="K435" i="49"/>
  <c r="J436" i="49"/>
  <c r="K70" i="49"/>
  <c r="J271" i="49"/>
  <c r="K270" i="49"/>
  <c r="K303" i="49"/>
  <c r="J304" i="49"/>
  <c r="K139" i="49"/>
  <c r="J140" i="49"/>
  <c r="J238" i="49"/>
  <c r="K237" i="49"/>
  <c r="K172" i="49"/>
  <c r="J173" i="49"/>
  <c r="K105" i="49"/>
  <c r="J106" i="49"/>
  <c r="J71" i="49"/>
  <c r="J205" i="49"/>
  <c r="K204" i="49"/>
  <c r="M25" i="21"/>
  <c r="C60" i="64"/>
  <c r="M59" i="64"/>
  <c r="M61" i="64" s="1"/>
  <c r="F91" i="64" s="1"/>
  <c r="F94" i="64" s="1"/>
  <c r="K129" i="1" s="1"/>
  <c r="D81" i="21"/>
  <c r="J13" i="21"/>
  <c r="J131" i="21"/>
  <c r="E130" i="21"/>
  <c r="E127" i="21"/>
  <c r="E125" i="21"/>
  <c r="E129" i="21"/>
  <c r="E128" i="21"/>
  <c r="E119" i="21"/>
  <c r="E120" i="21"/>
  <c r="E123" i="21"/>
  <c r="E124" i="21"/>
  <c r="E122" i="21"/>
  <c r="E121" i="21"/>
  <c r="E126" i="21"/>
  <c r="M23" i="64"/>
  <c r="M25" i="4"/>
  <c r="D43" i="4" s="1"/>
  <c r="J6" i="8" s="1"/>
  <c r="F25" i="21"/>
  <c r="I13" i="21"/>
  <c r="I131" i="21"/>
  <c r="K25" i="21"/>
  <c r="M58" i="48"/>
  <c r="N57" i="48"/>
  <c r="N25" i="48" s="1"/>
  <c r="M25" i="48"/>
  <c r="H14" i="21"/>
  <c r="H15" i="21" s="1"/>
  <c r="H16" i="21" s="1"/>
  <c r="H17" i="21" s="1"/>
  <c r="H18" i="21" s="1"/>
  <c r="H19" i="21" s="1"/>
  <c r="H20" i="21" s="1"/>
  <c r="H21" i="21" s="1"/>
  <c r="H22" i="21" s="1"/>
  <c r="H23" i="21" s="1"/>
  <c r="L14" i="21"/>
  <c r="L15" i="21" s="1"/>
  <c r="L16" i="21" s="1"/>
  <c r="L17" i="21" s="1"/>
  <c r="L18" i="21" s="1"/>
  <c r="L19" i="21" s="1"/>
  <c r="L20" i="21" s="1"/>
  <c r="L21" i="21" s="1"/>
  <c r="L22" i="21" s="1"/>
  <c r="L23" i="21" s="1"/>
  <c r="M90" i="48"/>
  <c r="N89" i="48"/>
  <c r="G25" i="21"/>
  <c r="A64" i="1" l="1"/>
  <c r="A65" i="1" s="1"/>
  <c r="J51" i="8"/>
  <c r="K139" i="1"/>
  <c r="K91" i="48"/>
  <c r="L91" i="48"/>
  <c r="L28" i="48" s="1"/>
  <c r="K27" i="48"/>
  <c r="K403" i="49"/>
  <c r="J404" i="49"/>
  <c r="K370" i="49"/>
  <c r="J371" i="49"/>
  <c r="K63" i="48"/>
  <c r="L63" i="48"/>
  <c r="J437" i="49"/>
  <c r="K436" i="49"/>
  <c r="K304" i="49"/>
  <c r="J305" i="49"/>
  <c r="J272" i="49"/>
  <c r="K271" i="49"/>
  <c r="K338" i="49"/>
  <c r="J339" i="49"/>
  <c r="K71" i="49"/>
  <c r="K173" i="49"/>
  <c r="J174" i="49"/>
  <c r="J239" i="49"/>
  <c r="K238" i="49"/>
  <c r="J206" i="49"/>
  <c r="K205" i="49"/>
  <c r="J141" i="49"/>
  <c r="K140" i="49"/>
  <c r="J107" i="49"/>
  <c r="J72" i="49"/>
  <c r="K106" i="49"/>
  <c r="I14" i="21"/>
  <c r="I15" i="21" s="1"/>
  <c r="I16" i="21" s="1"/>
  <c r="I17" i="21" s="1"/>
  <c r="I18" i="21" s="1"/>
  <c r="I19" i="21" s="1"/>
  <c r="I20" i="21" s="1"/>
  <c r="I21" i="21" s="1"/>
  <c r="I22" i="21" s="1"/>
  <c r="I23" i="21" s="1"/>
  <c r="J14" i="21"/>
  <c r="J15" i="21" s="1"/>
  <c r="J16" i="21" s="1"/>
  <c r="J17" i="21" s="1"/>
  <c r="J18" i="21" s="1"/>
  <c r="J19" i="21" s="1"/>
  <c r="J20" i="21" s="1"/>
  <c r="J21" i="21" s="1"/>
  <c r="J22" i="21" s="1"/>
  <c r="J23" i="21" s="1"/>
  <c r="E13" i="21"/>
  <c r="E131" i="21"/>
  <c r="N81" i="21"/>
  <c r="D82" i="21"/>
  <c r="N90" i="48"/>
  <c r="M91" i="48"/>
  <c r="L25" i="21"/>
  <c r="H25" i="21"/>
  <c r="M59" i="48"/>
  <c r="M26" i="48"/>
  <c r="N58" i="48"/>
  <c r="N26" i="48" s="1"/>
  <c r="A68" i="1" l="1"/>
  <c r="I85" i="1"/>
  <c r="D70" i="7"/>
  <c r="D71" i="7" s="1"/>
  <c r="D73" i="7" s="1"/>
  <c r="D79" i="7" s="1"/>
  <c r="K141" i="1"/>
  <c r="K142" i="1"/>
  <c r="K92" i="48"/>
  <c r="L92" i="48"/>
  <c r="L29" i="48" s="1"/>
  <c r="K28" i="48"/>
  <c r="J405" i="49"/>
  <c r="K404" i="49"/>
  <c r="K371" i="49"/>
  <c r="J372" i="49"/>
  <c r="K64" i="48"/>
  <c r="L64" i="48"/>
  <c r="K339" i="49"/>
  <c r="J340" i="49"/>
  <c r="K305" i="49"/>
  <c r="J306" i="49"/>
  <c r="J438" i="49"/>
  <c r="K437" i="49"/>
  <c r="J273" i="49"/>
  <c r="K272" i="49"/>
  <c r="J240" i="49"/>
  <c r="K239" i="49"/>
  <c r="J142" i="49"/>
  <c r="K141" i="49"/>
  <c r="K206" i="49"/>
  <c r="J207" i="49"/>
  <c r="K72" i="49"/>
  <c r="J108" i="49"/>
  <c r="J73" i="49"/>
  <c r="K107" i="49"/>
  <c r="J175" i="49"/>
  <c r="K174" i="49"/>
  <c r="J25" i="21"/>
  <c r="D109" i="21"/>
  <c r="N82" i="21"/>
  <c r="E14" i="21"/>
  <c r="E15" i="21" s="1"/>
  <c r="E16" i="21" s="1"/>
  <c r="E17" i="21" s="1"/>
  <c r="E18" i="21" s="1"/>
  <c r="E19" i="21" s="1"/>
  <c r="E20" i="21" s="1"/>
  <c r="E21" i="21" s="1"/>
  <c r="E22" i="21" s="1"/>
  <c r="E23" i="21" s="1"/>
  <c r="I25" i="21"/>
  <c r="N91" i="48"/>
  <c r="M92" i="48"/>
  <c r="N59" i="48"/>
  <c r="N27" i="48" s="1"/>
  <c r="M60" i="48"/>
  <c r="M27" i="48"/>
  <c r="H89" i="44" l="1"/>
  <c r="A69" i="1"/>
  <c r="A70" i="1" s="1"/>
  <c r="K144" i="1"/>
  <c r="K93" i="48"/>
  <c r="L93" i="48"/>
  <c r="L30" i="48" s="1"/>
  <c r="K29" i="48"/>
  <c r="K405" i="49"/>
  <c r="J406" i="49"/>
  <c r="J373" i="49"/>
  <c r="K372" i="49"/>
  <c r="K65" i="48"/>
  <c r="L65" i="48"/>
  <c r="K306" i="49"/>
  <c r="J307" i="49"/>
  <c r="K273" i="49"/>
  <c r="J274" i="49"/>
  <c r="J439" i="49"/>
  <c r="K438" i="49"/>
  <c r="K73" i="49"/>
  <c r="K340" i="49"/>
  <c r="J341" i="49"/>
  <c r="J176" i="49"/>
  <c r="K175" i="49"/>
  <c r="K142" i="49"/>
  <c r="J143" i="49"/>
  <c r="J74" i="49"/>
  <c r="J109" i="49"/>
  <c r="K108" i="49"/>
  <c r="K207" i="49"/>
  <c r="J208" i="49"/>
  <c r="K240" i="49"/>
  <c r="J241" i="49"/>
  <c r="E25" i="21"/>
  <c r="N109" i="21"/>
  <c r="D112" i="21"/>
  <c r="M28" i="48"/>
  <c r="M61" i="48"/>
  <c r="N60" i="48"/>
  <c r="N28" i="48" s="1"/>
  <c r="N92" i="48"/>
  <c r="M93" i="48"/>
  <c r="A73" i="1" l="1"/>
  <c r="I86" i="1"/>
  <c r="K149" i="1"/>
  <c r="C6" i="9"/>
  <c r="K94" i="48"/>
  <c r="L94" i="48"/>
  <c r="L31" i="48" s="1"/>
  <c r="K30" i="48"/>
  <c r="K406" i="49"/>
  <c r="J407" i="49"/>
  <c r="J374" i="49"/>
  <c r="K373" i="49"/>
  <c r="K66" i="48"/>
  <c r="L66" i="48"/>
  <c r="K341" i="49"/>
  <c r="J342" i="49"/>
  <c r="J440" i="49"/>
  <c r="K439" i="49"/>
  <c r="J275" i="49"/>
  <c r="K274" i="49"/>
  <c r="J308" i="49"/>
  <c r="K307" i="49"/>
  <c r="K74" i="49"/>
  <c r="J75" i="49"/>
  <c r="J110" i="49"/>
  <c r="K109" i="49"/>
  <c r="K143" i="49"/>
  <c r="J144" i="49"/>
  <c r="J242" i="49"/>
  <c r="K241" i="49"/>
  <c r="K208" i="49"/>
  <c r="J209" i="49"/>
  <c r="K176" i="49"/>
  <c r="J177" i="49"/>
  <c r="D123" i="21"/>
  <c r="N123" i="21" s="1"/>
  <c r="D125" i="21"/>
  <c r="N125" i="21" s="1"/>
  <c r="D119" i="21"/>
  <c r="D129" i="21"/>
  <c r="N129" i="21" s="1"/>
  <c r="D126" i="21"/>
  <c r="N126" i="21" s="1"/>
  <c r="D128" i="21"/>
  <c r="N128" i="21" s="1"/>
  <c r="D120" i="21"/>
  <c r="N120" i="21" s="1"/>
  <c r="D121" i="21"/>
  <c r="N121" i="21" s="1"/>
  <c r="D124" i="21"/>
  <c r="N124" i="21" s="1"/>
  <c r="D130" i="21"/>
  <c r="N130" i="21" s="1"/>
  <c r="D127" i="21"/>
  <c r="N127" i="21" s="1"/>
  <c r="D122" i="21"/>
  <c r="N122" i="21" s="1"/>
  <c r="N112" i="21"/>
  <c r="M94" i="48"/>
  <c r="N93" i="48"/>
  <c r="N61" i="48"/>
  <c r="N29" i="48" s="1"/>
  <c r="M62" i="48"/>
  <c r="M29" i="48"/>
  <c r="A75" i="1" l="1"/>
  <c r="I82" i="1"/>
  <c r="I75" i="1"/>
  <c r="K95" i="48"/>
  <c r="L95" i="48"/>
  <c r="L32" i="48" s="1"/>
  <c r="K31" i="48"/>
  <c r="J408" i="49"/>
  <c r="K407" i="49"/>
  <c r="K374" i="49"/>
  <c r="J375" i="49"/>
  <c r="K67" i="48"/>
  <c r="L67" i="48"/>
  <c r="K308" i="49"/>
  <c r="J309" i="49"/>
  <c r="K275" i="49"/>
  <c r="J276" i="49"/>
  <c r="J441" i="49"/>
  <c r="K440" i="49"/>
  <c r="J343" i="49"/>
  <c r="K343" i="49" s="1"/>
  <c r="K344" i="49" s="1"/>
  <c r="K342" i="49"/>
  <c r="K144" i="49"/>
  <c r="J145" i="49"/>
  <c r="K145" i="49" s="1"/>
  <c r="K146" i="49" s="1"/>
  <c r="J178" i="49"/>
  <c r="K178" i="49" s="1"/>
  <c r="K179" i="49" s="1"/>
  <c r="K177" i="49"/>
  <c r="K110" i="49"/>
  <c r="J76" i="49"/>
  <c r="J111" i="49"/>
  <c r="K75" i="49"/>
  <c r="K209" i="49"/>
  <c r="J210" i="49"/>
  <c r="K242" i="49"/>
  <c r="J243" i="49"/>
  <c r="D13" i="21"/>
  <c r="N119" i="21"/>
  <c r="N131" i="21" s="1"/>
  <c r="D131" i="21"/>
  <c r="N62" i="48"/>
  <c r="N30" i="48" s="1"/>
  <c r="M30" i="48"/>
  <c r="M63" i="48"/>
  <c r="N94" i="48"/>
  <c r="M95" i="48"/>
  <c r="A80" i="1" l="1"/>
  <c r="I81" i="1"/>
  <c r="K96" i="48"/>
  <c r="L96" i="48"/>
  <c r="L33" i="48" s="1"/>
  <c r="K32" i="48"/>
  <c r="K408" i="49"/>
  <c r="J409" i="49"/>
  <c r="K409" i="49" s="1"/>
  <c r="K410" i="49" s="1"/>
  <c r="K375" i="49"/>
  <c r="J376" i="49"/>
  <c r="K376" i="49" s="1"/>
  <c r="K377" i="49" s="1"/>
  <c r="K68" i="48"/>
  <c r="L68" i="48"/>
  <c r="F16" i="71"/>
  <c r="G33" i="11"/>
  <c r="K309" i="49"/>
  <c r="J310" i="49"/>
  <c r="K310" i="49" s="1"/>
  <c r="K311" i="49" s="1"/>
  <c r="K76" i="49"/>
  <c r="K276" i="49"/>
  <c r="J277" i="49"/>
  <c r="K277" i="49" s="1"/>
  <c r="J442" i="49"/>
  <c r="K442" i="49" s="1"/>
  <c r="K443" i="49" s="1"/>
  <c r="K441" i="49"/>
  <c r="J112" i="49"/>
  <c r="J77" i="49"/>
  <c r="K111" i="49"/>
  <c r="K210" i="49"/>
  <c r="J211" i="49"/>
  <c r="K211" i="49" s="1"/>
  <c r="K212" i="49" s="1"/>
  <c r="K243" i="49"/>
  <c r="J244" i="49"/>
  <c r="K244" i="49" s="1"/>
  <c r="K245" i="49" s="1"/>
  <c r="G27" i="11"/>
  <c r="F10" i="71"/>
  <c r="F11" i="71"/>
  <c r="G28" i="11"/>
  <c r="D14" i="21"/>
  <c r="N13" i="21"/>
  <c r="N95" i="48"/>
  <c r="M96" i="48"/>
  <c r="M64" i="48"/>
  <c r="M31" i="48"/>
  <c r="N63" i="48"/>
  <c r="N31" i="48" s="1"/>
  <c r="A81" i="1" l="1"/>
  <c r="I90" i="1"/>
  <c r="K97" i="48"/>
  <c r="L97" i="48"/>
  <c r="L34" i="48" s="1"/>
  <c r="K33" i="48"/>
  <c r="G35" i="11"/>
  <c r="F18" i="71"/>
  <c r="F17" i="71"/>
  <c r="G34" i="11"/>
  <c r="K278" i="49"/>
  <c r="F14" i="71"/>
  <c r="G31" i="11"/>
  <c r="F19" i="71"/>
  <c r="G36" i="11"/>
  <c r="G32" i="11"/>
  <c r="F15" i="71"/>
  <c r="F13" i="71"/>
  <c r="G30" i="11"/>
  <c r="G29" i="11"/>
  <c r="F12" i="71"/>
  <c r="K112" i="49"/>
  <c r="J78" i="49"/>
  <c r="K77" i="49"/>
  <c r="D15" i="21"/>
  <c r="N14" i="21"/>
  <c r="N64" i="48"/>
  <c r="N32" i="48" s="1"/>
  <c r="M32" i="48"/>
  <c r="M65" i="48"/>
  <c r="M97" i="48"/>
  <c r="N96" i="48"/>
  <c r="A82" i="1" l="1"/>
  <c r="I80" i="1" s="1"/>
  <c r="I91" i="1"/>
  <c r="K98" i="48"/>
  <c r="L98" i="48"/>
  <c r="L35" i="48" s="1"/>
  <c r="K34" i="48"/>
  <c r="K78" i="49"/>
  <c r="K79" i="49" s="1"/>
  <c r="K113" i="49"/>
  <c r="D16" i="21"/>
  <c r="N15" i="21"/>
  <c r="M66" i="48"/>
  <c r="M33" i="48"/>
  <c r="N65" i="48"/>
  <c r="N33" i="48" s="1"/>
  <c r="M98" i="48"/>
  <c r="N97" i="48"/>
  <c r="G93" i="12" l="1"/>
  <c r="I15" i="12"/>
  <c r="F98" i="8"/>
  <c r="A85" i="1"/>
  <c r="A86" i="1" s="1"/>
  <c r="A87" i="1" s="1"/>
  <c r="I83" i="1"/>
  <c r="K99" i="48"/>
  <c r="K36" i="48" s="1"/>
  <c r="L99" i="48"/>
  <c r="L36" i="48" s="1"/>
  <c r="K35" i="48"/>
  <c r="K37" i="48" s="1"/>
  <c r="C41" i="57" s="1"/>
  <c r="E41" i="57" s="1"/>
  <c r="F9" i="71"/>
  <c r="F21" i="71" s="1"/>
  <c r="E114" i="71" s="1"/>
  <c r="E116" i="71" s="1"/>
  <c r="G26" i="11"/>
  <c r="G38" i="11" s="1"/>
  <c r="D82" i="7"/>
  <c r="D84" i="7" s="1"/>
  <c r="C42" i="57"/>
  <c r="D17" i="21"/>
  <c r="N16" i="21"/>
  <c r="N98" i="48"/>
  <c r="M99" i="48"/>
  <c r="N99" i="48" s="1"/>
  <c r="N66" i="48"/>
  <c r="N34" i="48" s="1"/>
  <c r="M67" i="48"/>
  <c r="M34" i="48"/>
  <c r="A90" i="1" l="1"/>
  <c r="G100" i="12"/>
  <c r="I92" i="1"/>
  <c r="E42" i="57"/>
  <c r="E43" i="57" s="1"/>
  <c r="C43" i="57"/>
  <c r="D132" i="71"/>
  <c r="E142" i="71"/>
  <c r="E143" i="71" s="1"/>
  <c r="D124" i="71"/>
  <c r="D129" i="71"/>
  <c r="D126" i="71"/>
  <c r="D131" i="71"/>
  <c r="D125" i="71"/>
  <c r="D130" i="71"/>
  <c r="D123" i="71"/>
  <c r="E117" i="71"/>
  <c r="E118" i="71" s="1"/>
  <c r="D127" i="71"/>
  <c r="D128" i="71"/>
  <c r="D133" i="71"/>
  <c r="D18" i="21"/>
  <c r="N17" i="21"/>
  <c r="N67" i="48"/>
  <c r="N35" i="48" s="1"/>
  <c r="M68" i="48"/>
  <c r="M35" i="48"/>
  <c r="E21" i="7" l="1"/>
  <c r="F96" i="8"/>
  <c r="A91" i="1"/>
  <c r="E184" i="71"/>
  <c r="E165" i="71"/>
  <c r="E159" i="71"/>
  <c r="E178" i="71"/>
  <c r="E164" i="71"/>
  <c r="E183" i="71"/>
  <c r="E182" i="71"/>
  <c r="E163" i="71"/>
  <c r="E158" i="71"/>
  <c r="E177" i="71"/>
  <c r="E180" i="71"/>
  <c r="E161" i="71"/>
  <c r="E156" i="71"/>
  <c r="E175" i="71"/>
  <c r="E146" i="71"/>
  <c r="E149" i="71" s="1"/>
  <c r="E147" i="71"/>
  <c r="E181" i="71"/>
  <c r="E162" i="71"/>
  <c r="E179" i="71"/>
  <c r="E160" i="71"/>
  <c r="E126" i="71"/>
  <c r="E129" i="71"/>
  <c r="E128" i="71"/>
  <c r="E133" i="71"/>
  <c r="E124" i="71"/>
  <c r="E132" i="71"/>
  <c r="E125" i="71"/>
  <c r="E123" i="71"/>
  <c r="E131" i="71"/>
  <c r="E130" i="71"/>
  <c r="E127" i="71"/>
  <c r="D135" i="71"/>
  <c r="E155" i="71"/>
  <c r="E174" i="71"/>
  <c r="E176" i="71"/>
  <c r="E157" i="71"/>
  <c r="C45" i="57"/>
  <c r="B9" i="31" s="1"/>
  <c r="D45" i="57"/>
  <c r="B10" i="31" s="1"/>
  <c r="N18" i="21"/>
  <c r="D19" i="21"/>
  <c r="M36" i="48"/>
  <c r="N68" i="48"/>
  <c r="N36" i="48" s="1"/>
  <c r="N37" i="48" s="1"/>
  <c r="D78" i="7" s="1"/>
  <c r="D80" i="7" s="1"/>
  <c r="D86" i="7" s="1"/>
  <c r="F97" i="8" l="1"/>
  <c r="A92" i="1"/>
  <c r="A93" i="1" s="1"/>
  <c r="I95" i="1"/>
  <c r="I93" i="1"/>
  <c r="E135" i="71"/>
  <c r="F164" i="71"/>
  <c r="G164" i="71" s="1"/>
  <c r="F183" i="71"/>
  <c r="G183" i="71" s="1"/>
  <c r="F180" i="71"/>
  <c r="G180" i="71" s="1"/>
  <c r="F159" i="71"/>
  <c r="G159" i="71" s="1"/>
  <c r="F182" i="71"/>
  <c r="G182" i="71" s="1"/>
  <c r="F156" i="71"/>
  <c r="G156" i="71" s="1"/>
  <c r="F176" i="71"/>
  <c r="G176" i="71" s="1"/>
  <c r="F179" i="71"/>
  <c r="G179" i="71" s="1"/>
  <c r="F161" i="71"/>
  <c r="G161" i="71" s="1"/>
  <c r="F178" i="71"/>
  <c r="G178" i="71" s="1"/>
  <c r="E186" i="71"/>
  <c r="F174" i="71"/>
  <c r="G174" i="71" s="1"/>
  <c r="F162" i="71"/>
  <c r="G162" i="71" s="1"/>
  <c r="E167" i="71"/>
  <c r="F155" i="71"/>
  <c r="F181" i="71"/>
  <c r="G181" i="71" s="1"/>
  <c r="F177" i="71"/>
  <c r="G177" i="71" s="1"/>
  <c r="F165" i="71"/>
  <c r="G165" i="71" s="1"/>
  <c r="F163" i="71"/>
  <c r="G163" i="71" s="1"/>
  <c r="E19" i="31"/>
  <c r="D19" i="31"/>
  <c r="F175" i="71"/>
  <c r="G175" i="71" s="1"/>
  <c r="F157" i="71"/>
  <c r="G157" i="71" s="1"/>
  <c r="F160" i="71"/>
  <c r="G160" i="71" s="1"/>
  <c r="E148" i="71"/>
  <c r="F158" i="71"/>
  <c r="G158" i="71" s="1"/>
  <c r="F184" i="71"/>
  <c r="G184" i="71" s="1"/>
  <c r="D20" i="21"/>
  <c r="N19" i="21"/>
  <c r="D88" i="7"/>
  <c r="D89" i="7"/>
  <c r="H90" i="44" s="1"/>
  <c r="H91" i="44" s="1"/>
  <c r="H93" i="44" s="1"/>
  <c r="K159" i="1" s="1"/>
  <c r="A95" i="1" l="1"/>
  <c r="F26" i="71"/>
  <c r="I97" i="1"/>
  <c r="G186" i="71"/>
  <c r="F186" i="71"/>
  <c r="F167" i="71"/>
  <c r="G155" i="71"/>
  <c r="G167" i="71" s="1"/>
  <c r="D21" i="21"/>
  <c r="N20" i="21"/>
  <c r="D91" i="7"/>
  <c r="K150" i="1" s="1"/>
  <c r="F33" i="71" l="1"/>
  <c r="A97" i="1"/>
  <c r="E22" i="7"/>
  <c r="I118" i="1"/>
  <c r="C7" i="9"/>
  <c r="N21" i="21"/>
  <c r="D22" i="21"/>
  <c r="A102" i="1" l="1"/>
  <c r="I133" i="1"/>
  <c r="D23" i="21"/>
  <c r="N22" i="21"/>
  <c r="A103" i="1" l="1"/>
  <c r="A104" i="1" s="1"/>
  <c r="I104" i="1"/>
  <c r="N23" i="21"/>
  <c r="D25" i="21"/>
  <c r="N25" i="21" s="1"/>
  <c r="J18" i="8" s="1"/>
  <c r="J21" i="8" s="1"/>
  <c r="J29" i="8" s="1"/>
  <c r="G56" i="44" l="1"/>
  <c r="H43" i="8"/>
  <c r="A107" i="1"/>
  <c r="F34" i="71"/>
  <c r="I16" i="12"/>
  <c r="E23" i="7"/>
  <c r="I119" i="1"/>
  <c r="J34" i="8"/>
  <c r="J55" i="8" s="1"/>
  <c r="J38" i="8"/>
  <c r="J56" i="8" s="1"/>
  <c r="J41" i="8"/>
  <c r="F90" i="12"/>
  <c r="F92" i="12" s="1"/>
  <c r="F94" i="12" s="1"/>
  <c r="F98" i="12" s="1"/>
  <c r="F101" i="12" s="1"/>
  <c r="A108" i="1" l="1"/>
  <c r="A109" i="1" s="1"/>
  <c r="A110" i="1" s="1"/>
  <c r="J59" i="8"/>
  <c r="J64" i="8" s="1"/>
  <c r="E68" i="8" s="1"/>
  <c r="E72" i="8" s="1"/>
  <c r="I120" i="1" l="1"/>
  <c r="H44" i="8"/>
  <c r="A112" i="1"/>
  <c r="I110" i="1"/>
  <c r="E70" i="8"/>
  <c r="E74" i="8" s="1"/>
  <c r="E14" i="65" s="1"/>
  <c r="E28" i="65" s="1"/>
  <c r="H28" i="65" s="1"/>
  <c r="A114" i="1" l="1"/>
  <c r="I134" i="1"/>
  <c r="E27" i="65"/>
  <c r="H27" i="65" s="1"/>
  <c r="E33" i="65"/>
  <c r="H33" i="65" s="1"/>
  <c r="E34" i="65"/>
  <c r="H34" i="65" s="1"/>
  <c r="E25" i="65"/>
  <c r="H25" i="65" s="1"/>
  <c r="J25" i="65" s="1"/>
  <c r="K25" i="65" s="1"/>
  <c r="L25" i="65" s="1"/>
  <c r="E31" i="65"/>
  <c r="H31" i="65" s="1"/>
  <c r="E36" i="65"/>
  <c r="H36" i="65" s="1"/>
  <c r="E35" i="65"/>
  <c r="H35" i="65" s="1"/>
  <c r="E26" i="65"/>
  <c r="H26" i="65" s="1"/>
  <c r="E32" i="65"/>
  <c r="H32" i="65" s="1"/>
  <c r="E29" i="65"/>
  <c r="H29" i="65" s="1"/>
  <c r="E30" i="65"/>
  <c r="H30" i="65" s="1"/>
  <c r="H45" i="8" l="1"/>
  <c r="I112" i="1"/>
  <c r="A126" i="1"/>
  <c r="J26" i="65"/>
  <c r="K26" i="65" s="1"/>
  <c r="L26" i="65" s="1"/>
  <c r="J27" i="65" s="1"/>
  <c r="K27" i="65" s="1"/>
  <c r="L27" i="65" s="1"/>
  <c r="A127" i="1" l="1"/>
  <c r="I17" i="1"/>
  <c r="E72" i="7"/>
  <c r="H48" i="8"/>
  <c r="I139" i="1"/>
  <c r="J28" i="65"/>
  <c r="K28" i="65" s="1"/>
  <c r="L28" i="65" s="1"/>
  <c r="H49" i="8" l="1"/>
  <c r="A128" i="1"/>
  <c r="J29" i="65"/>
  <c r="K29" i="65" s="1"/>
  <c r="L29" i="65" s="1"/>
  <c r="H50" i="8" l="1"/>
  <c r="A129" i="1"/>
  <c r="J30" i="65"/>
  <c r="K30" i="65" s="1"/>
  <c r="A130" i="1" l="1"/>
  <c r="H51" i="8"/>
  <c r="L30" i="65"/>
  <c r="A131" i="1" l="1"/>
  <c r="H52" i="8"/>
  <c r="J31" i="65"/>
  <c r="K31" i="65" s="1"/>
  <c r="A132" i="1" l="1"/>
  <c r="H53" i="8"/>
  <c r="L31" i="65"/>
  <c r="H54" i="8" l="1"/>
  <c r="A133" i="1"/>
  <c r="A134" i="1" s="1"/>
  <c r="A135" i="1" s="1"/>
  <c r="J32" i="65"/>
  <c r="K32" i="65" s="1"/>
  <c r="A136" i="1" l="1"/>
  <c r="H57" i="8"/>
  <c r="L32" i="65"/>
  <c r="A137" i="1" l="1"/>
  <c r="A139" i="1" s="1"/>
  <c r="H58" i="8"/>
  <c r="J33" i="65"/>
  <c r="K33" i="65" s="1"/>
  <c r="I141" i="1" l="1"/>
  <c r="E70" i="7"/>
  <c r="I142" i="1"/>
  <c r="A141" i="1"/>
  <c r="A142" i="1" s="1"/>
  <c r="I144" i="1"/>
  <c r="L33" i="65"/>
  <c r="G89" i="44" l="1"/>
  <c r="A144" i="1"/>
  <c r="J34" i="65"/>
  <c r="K34" i="65" s="1"/>
  <c r="L34" i="65" s="1"/>
  <c r="J35" i="65" s="1"/>
  <c r="K35" i="65" s="1"/>
  <c r="L35" i="65" s="1"/>
  <c r="I149" i="1" l="1"/>
  <c r="A149" i="1"/>
  <c r="J36" i="65"/>
  <c r="K36" i="65" s="1"/>
  <c r="A150" i="1" l="1"/>
  <c r="A151" i="1" s="1"/>
  <c r="A153" i="1" s="1"/>
  <c r="A155" i="1" s="1"/>
  <c r="I155" i="1"/>
  <c r="L36" i="65"/>
  <c r="E40" i="65" s="1"/>
  <c r="E42" i="65" s="1"/>
  <c r="E43" i="65" s="1"/>
  <c r="E44" i="65" s="1"/>
  <c r="K151" i="1" s="1"/>
  <c r="A158" i="1" l="1"/>
  <c r="I158" i="1"/>
  <c r="C8" i="9"/>
  <c r="C11" i="9" s="1"/>
  <c r="K155" i="1"/>
  <c r="A159" i="1" l="1"/>
  <c r="A160" i="1" s="1"/>
  <c r="G4" i="31" s="1"/>
  <c r="K158" i="1"/>
  <c r="D4" i="53"/>
  <c r="K160" i="1" l="1"/>
  <c r="I160" i="1"/>
  <c r="D26" i="53"/>
  <c r="D21" i="53"/>
  <c r="D16" i="53"/>
  <c r="L16" i="53" s="1"/>
  <c r="D23" i="53"/>
  <c r="D17" i="53"/>
  <c r="L17" i="53" s="1"/>
  <c r="D25" i="53"/>
  <c r="L25" i="53" s="1"/>
  <c r="D19" i="53"/>
  <c r="D18" i="53"/>
  <c r="D22" i="53"/>
  <c r="D13" i="53"/>
  <c r="D15" i="53"/>
  <c r="D12" i="53"/>
  <c r="D20" i="53"/>
  <c r="D24" i="53"/>
  <c r="L24" i="53" s="1"/>
  <c r="B4" i="31" l="1"/>
  <c r="D18" i="31" s="1"/>
  <c r="L19" i="53"/>
  <c r="H37" i="53"/>
  <c r="J37" i="53" s="1"/>
  <c r="K15" i="53"/>
  <c r="D48" i="53"/>
  <c r="H36" i="53"/>
  <c r="J36" i="53" s="1"/>
  <c r="L18" i="53"/>
  <c r="H38" i="53"/>
  <c r="J38" i="53" s="1"/>
  <c r="L20" i="53"/>
  <c r="D46" i="53"/>
  <c r="D28" i="53"/>
  <c r="K12" i="53"/>
  <c r="L23" i="53"/>
  <c r="C38" i="53"/>
  <c r="E38" i="53" s="1"/>
  <c r="I56" i="53" s="1"/>
  <c r="E56" i="53" s="1"/>
  <c r="L21" i="53"/>
  <c r="C36" i="53"/>
  <c r="E36" i="53" s="1"/>
  <c r="I54" i="53" s="1"/>
  <c r="K13" i="53"/>
  <c r="M14" i="53" s="1"/>
  <c r="C37" i="53"/>
  <c r="E37" i="53" s="1"/>
  <c r="I55" i="53" s="1"/>
  <c r="E55" i="53" s="1"/>
  <c r="L22" i="53"/>
  <c r="K26" i="53"/>
  <c r="D59" i="53"/>
  <c r="F18" i="31" l="1"/>
  <c r="F20" i="31" s="1"/>
  <c r="D20" i="31"/>
  <c r="E18" i="31"/>
  <c r="E20" i="31" s="1"/>
  <c r="H56" i="53"/>
  <c r="D56" i="53"/>
  <c r="C56" i="53" s="1"/>
  <c r="D53" i="53"/>
  <c r="D54" i="53"/>
  <c r="D51" i="53"/>
  <c r="H54" i="53"/>
  <c r="N14" i="53"/>
  <c r="L14" i="53" s="1"/>
  <c r="I47" i="53" s="1"/>
  <c r="E47" i="53" s="1"/>
  <c r="C48" i="53"/>
  <c r="G48" i="53"/>
  <c r="E54" i="53"/>
  <c r="I50" i="53"/>
  <c r="E50" i="53" s="1"/>
  <c r="D50" i="53" s="1"/>
  <c r="I58" i="53"/>
  <c r="E58" i="53" s="1"/>
  <c r="D58" i="53" s="1"/>
  <c r="I57" i="53"/>
  <c r="I49" i="53"/>
  <c r="E49" i="53" s="1"/>
  <c r="D49" i="53" s="1"/>
  <c r="D55" i="53"/>
  <c r="C55" i="53" s="1"/>
  <c r="H55" i="53"/>
  <c r="D52" i="53"/>
  <c r="C59" i="53"/>
  <c r="G59" i="53"/>
  <c r="C46" i="53"/>
  <c r="G46" i="53"/>
  <c r="C54" i="53" l="1"/>
  <c r="D47" i="53"/>
  <c r="C49" i="53"/>
  <c r="H49" i="53"/>
  <c r="M49" i="53"/>
  <c r="M50" i="53" s="1"/>
  <c r="E57" i="53"/>
  <c r="D57" i="53" s="1"/>
  <c r="K57" i="53"/>
  <c r="C51" i="53"/>
  <c r="H51" i="53"/>
  <c r="M51" i="53"/>
  <c r="H58" i="53"/>
  <c r="C58" i="53"/>
  <c r="H47" i="53"/>
  <c r="C50" i="53"/>
  <c r="H50" i="53"/>
  <c r="M53" i="53"/>
  <c r="H53" i="53"/>
  <c r="C53" i="53"/>
  <c r="M52" i="53"/>
  <c r="C52" i="53"/>
  <c r="H52" i="53"/>
  <c r="H57" i="53" l="1"/>
  <c r="J57" i="53" s="1"/>
  <c r="C57" i="53"/>
  <c r="M47" i="53"/>
  <c r="C47" i="53"/>
  <c r="G47" i="53"/>
  <c r="D61" i="53"/>
  <c r="E61" i="53"/>
  <c r="B8" i="31" s="1"/>
  <c r="C61" i="53" l="1"/>
  <c r="E24" i="31"/>
  <c r="E27" i="31" s="1"/>
  <c r="D24" i="31"/>
  <c r="D27" i="31" s="1"/>
  <c r="F24" i="31"/>
  <c r="F27" i="31" s="1"/>
  <c r="E12" i="32" s="1"/>
  <c r="E14" i="32" s="1"/>
  <c r="E20" i="32" l="1"/>
  <c r="E22" i="32" s="1"/>
  <c r="E26" i="32"/>
  <c r="E28"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Jee Kim</author>
  </authors>
  <commentList>
    <comment ref="C114" authorId="0" shapeId="0" xr:uid="{37E0900F-2A5D-48E9-953A-9DEEFC2AA9AB}">
      <text>
        <r>
          <rPr>
            <b/>
            <sz val="9"/>
            <color indexed="81"/>
            <rFont val="Tahoma"/>
            <family val="2"/>
          </rPr>
          <t>RM&amp;AO,
Are these the right years? Or should it be 2019-2021?</t>
        </r>
        <r>
          <rPr>
            <sz val="9"/>
            <color indexed="81"/>
            <rFont val="Tahoma"/>
            <family val="2"/>
          </rPr>
          <t xml:space="preserve">
</t>
        </r>
      </text>
    </comment>
  </commentList>
</comments>
</file>

<file path=xl/sharedStrings.xml><?xml version="1.0" encoding="utf-8"?>
<sst xmlns="http://schemas.openxmlformats.org/spreadsheetml/2006/main" count="7044" uniqueCount="3069">
  <si>
    <t>Overview</t>
  </si>
  <si>
    <t>Table of Contents</t>
  </si>
  <si>
    <t>Worksheet Name</t>
  </si>
  <si>
    <t>Schedule</t>
  </si>
  <si>
    <t>Purpose</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</si>
  <si>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</si>
  <si>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</si>
  <si>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</si>
  <si>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</si>
  <si>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</si>
  <si>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</si>
  <si>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</si>
  <si>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</si>
  <si>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</si>
  <si>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</si>
  <si>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</si>
  <si>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</si>
  <si>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</si>
  <si>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</si>
  <si>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</si>
  <si>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</si>
  <si>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</si>
  <si>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</si>
  <si>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</si>
  <si>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</si>
  <si>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</si>
  <si>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</si>
  <si>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</si>
  <si>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</si>
  <si>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</si>
  <si>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</si>
  <si>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</si>
  <si>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</si>
  <si>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</si>
  <si>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</si>
  <si>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</si>
  <si>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</si>
  <si>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</si>
  <si>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</si>
  <si>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</si>
  <si>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</si>
  <si>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</si>
  <si>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</si>
  <si>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</si>
  <si>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</si>
  <si>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</si>
  <si>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</si>
  <si>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</si>
  <si>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</si>
  <si>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</si>
  <si>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</si>
  <si>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</si>
  <si>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</si>
  <si>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</si>
  <si>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</si>
  <si>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</si>
  <si>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</si>
  <si>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</si>
  <si>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</si>
  <si>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</si>
  <si>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</si>
  <si>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</si>
  <si>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</si>
  <si>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</si>
  <si>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</si>
  <si>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</si>
  <si>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</si>
  <si>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</si>
  <si>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</si>
  <si>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</si>
  <si>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</si>
  <si>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</si>
  <si>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</si>
  <si>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</si>
  <si>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OtherFormulaRevenue</t>
  </si>
  <si>
    <t>Presentation of Other Formula Revenue by Native Account</t>
  </si>
  <si>
    <t>Overview of SCE Retail Base TRR</t>
  </si>
  <si>
    <t>SCE's retail Base Transmission Revenue Requirement is the sum of the following components:</t>
  </si>
  <si>
    <t>TRR Component</t>
  </si>
  <si>
    <t>Amount</t>
  </si>
  <si>
    <t>Prior Year TRR</t>
  </si>
  <si>
    <t>Incremental Forecast Period TRR</t>
  </si>
  <si>
    <t>True-Up Adjustment</t>
  </si>
  <si>
    <t>O&amp;M Services Formula Revenue</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</si>
  <si>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</si>
  <si>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</si>
  <si>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</si>
  <si>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</si>
  <si>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</si>
  <si>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</si>
  <si>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</si>
  <si>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</si>
  <si>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</si>
  <si>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4) The O&amp;M Services Formula Revenue is a component of the Base TRR representing revenue collected pursuant to</t>
  </si>
  <si>
    <t>an O&amp;M Services Formula presented on Schedule 35.  It is a credit to the Base TRR.  See Schedule 1.</t>
  </si>
  <si>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</si>
  <si>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</si>
  <si>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</si>
  <si>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</si>
  <si>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</si>
  <si>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</si>
  <si>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</si>
  <si>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</si>
  <si>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</si>
  <si>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</si>
  <si>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</si>
  <si>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</si>
  <si>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</si>
  <si>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</si>
  <si>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</si>
  <si>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</si>
  <si>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</si>
  <si>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</si>
  <si>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</si>
  <si>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</si>
  <si>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</si>
  <si>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</si>
  <si>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</si>
  <si>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</si>
  <si>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 Net ADIT (Liab)/Asset and Net (Excess)/Deficient ADIT Amounts</t>
  </si>
  <si>
    <t>CWIP Plant</t>
  </si>
  <si>
    <t>Other Regulatory Assets/Liabilities</t>
  </si>
  <si>
    <t>Network Upgrade Credits</t>
  </si>
  <si>
    <t>Rate Base</t>
  </si>
  <si>
    <t>OTHER TAXES</t>
  </si>
  <si>
    <t>Sub-Total Local Taxes</t>
  </si>
  <si>
    <t>Note 6</t>
  </si>
  <si>
    <t>Transmission Plant Allocation Factor</t>
  </si>
  <si>
    <t>Property Taxes</t>
  </si>
  <si>
    <t xml:space="preserve"> </t>
  </si>
  <si>
    <t>Payroll Taxes Expense</t>
  </si>
  <si>
    <t>FICA</t>
  </si>
  <si>
    <t>Fed Ins Cont Amt -- Current</t>
  </si>
  <si>
    <t>FICA/OASDI Emp Incntv.</t>
  </si>
  <si>
    <t>FICA/HIT Emp Incntv.</t>
  </si>
  <si>
    <t>CA SUI Current</t>
  </si>
  <si>
    <t>Fed Unemp Tax Act- Current</t>
  </si>
  <si>
    <t>CADI Vol Plan Assess</t>
  </si>
  <si>
    <t>SF Pyrl Exp Tx - SCE</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</si>
  <si>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</si>
  <si>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</si>
  <si>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</si>
  <si>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</si>
  <si>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</si>
  <si>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</si>
  <si>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</si>
  <si>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</si>
  <si>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</si>
  <si>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</si>
  <si>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</si>
  <si>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</si>
  <si>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</si>
  <si>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</si>
  <si>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Preferred Stock Cost Percentage</t>
  </si>
  <si>
    <t>Equity</t>
  </si>
  <si>
    <t>Common Stock Equity Amount</t>
  </si>
  <si>
    <t>Total Capital</t>
  </si>
  <si>
    <t>44a</t>
  </si>
  <si>
    <t xml:space="preserve">Minimum Common Stock Capital Percentage (Docket No. ER19-1553) </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</si>
  <si>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</si>
  <si>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</si>
  <si>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</si>
  <si>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</si>
  <si>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</si>
  <si>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</si>
  <si>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</si>
  <si>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</si>
  <si>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</si>
  <si>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</si>
  <si>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</si>
  <si>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</si>
  <si>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</si>
  <si>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</si>
  <si>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</si>
  <si>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</si>
  <si>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</si>
  <si>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</si>
  <si>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</si>
  <si>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</si>
  <si>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</si>
  <si>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</si>
  <si>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Net (Excess)/Deficient Deferred Tax Liability Asset</t>
  </si>
  <si>
    <t>Negative of 9-ADIT-2, Line 500, Column 7</t>
  </si>
  <si>
    <t>Investment Tax Credit Flowed Through</t>
  </si>
  <si>
    <t>Note 3</t>
  </si>
  <si>
    <t>South Georgia Income Tax Adjustment</t>
  </si>
  <si>
    <t>Credits and Other</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</si>
  <si>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</si>
  <si>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</si>
  <si>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</si>
  <si>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</si>
  <si>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</si>
  <si>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</si>
  <si>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</si>
  <si>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</si>
  <si>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Workpaper:</t>
  </si>
  <si>
    <t>WP Schedule 1</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</si>
  <si>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</si>
  <si>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</si>
  <si>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</si>
  <si>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</si>
  <si>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</si>
  <si>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</si>
  <si>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</si>
  <si>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</si>
  <si>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</si>
  <si>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</si>
  <si>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</si>
  <si>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</si>
  <si>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</si>
  <si>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</si>
  <si>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77a</t>
  </si>
  <si>
    <t>Prior Year Incentive Adder Reversal</t>
  </si>
  <si>
    <t>Note 5</t>
  </si>
  <si>
    <t>Negative of Line 77</t>
  </si>
  <si>
    <t>Total without FF&amp;U</t>
  </si>
  <si>
    <t>Franchise Fees Expense</t>
  </si>
  <si>
    <t>Uncollectibles Expense</t>
  </si>
  <si>
    <t>TOTAL BASE TRANSMISSION REVENUE REQUIREMENT</t>
  </si>
  <si>
    <t>Calculation of Base Transmission Revenue Requirement</t>
  </si>
  <si>
    <t>True Up Adjustment</t>
  </si>
  <si>
    <t>84a</t>
  </si>
  <si>
    <t>Note 4</t>
  </si>
  <si>
    <t>Base Transmission Revenue Requirement (Retail)</t>
  </si>
  <si>
    <t>For Retail Purposes</t>
  </si>
  <si>
    <t>Wholesale Base Transmission Revenue Requirement</t>
  </si>
  <si>
    <t xml:space="preserve">Base TRR (Retail) </t>
  </si>
  <si>
    <t>Wholesale Difference to the Base TRR</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</si>
  <si>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</si>
  <si>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</si>
  <si>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</si>
  <si>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</si>
  <si>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  See Schedule 15 at Lines 31-39.</t>
  </si>
  <si>
    <t>In the event that the Return on Common Equity is revised from the initial value, enter cite to Commission Order approving the revised ROE on following line.</t>
  </si>
  <si>
    <t>Order approving revised ROE:</t>
  </si>
  <si>
    <t>Docket No. ER19-1553</t>
  </si>
  <si>
    <r>
      <t>3) No change in the South Georgia Income Tax Adjustment "Credits and Other" term</t>
    </r>
    <r>
      <rPr>
        <sz val="10"/>
        <rFont val="Arial"/>
        <family val="2"/>
      </rPr>
      <t xml:space="preserve"> will be made absent </t>
    </r>
  </si>
  <si>
    <t xml:space="preserve">a filing at the Commission.  Investment Tax Credit Flowed Through amount shall be negative $520,000 through the Prior Year of 2018, </t>
  </si>
  <si>
    <t>negative $183,000 for the Prior Year of 2019, and $0 thereafter.</t>
  </si>
  <si>
    <t>4) Cost Adjustment may be included as provided in the Tariff protocols.</t>
  </si>
  <si>
    <t>5) Prior Year Incentive Adder Reversal backs out the revenue requirement associated with any project-specific Incentive Adders</t>
  </si>
  <si>
    <t>(Line 77).  Applicable pursuant to settlement under ER19-1553.</t>
  </si>
  <si>
    <t>6) "Sub Total Local Taxes" on Line 19 and Payroll Taxes on Lines 24-30 include O&amp;M Services Formula Revenues as follows, pursuant to Schedule 35, Note 2.</t>
  </si>
  <si>
    <t>O&amp;M</t>
  </si>
  <si>
    <t>FERC</t>
  </si>
  <si>
    <t>Services</t>
  </si>
  <si>
    <t>Form 1</t>
  </si>
  <si>
    <t>FERC Form 1 References</t>
  </si>
  <si>
    <t>Revenue</t>
  </si>
  <si>
    <t>Total</t>
  </si>
  <si>
    <t>Item</t>
  </si>
  <si>
    <t>Reference</t>
  </si>
  <si>
    <t>Line 19:</t>
  </si>
  <si>
    <t>Schedule 35, Line 52, C 4</t>
  </si>
  <si>
    <t>Line 24:</t>
  </si>
  <si>
    <t>Schedule 35, Line 54, C 4</t>
  </si>
  <si>
    <t>Line 25:</t>
  </si>
  <si>
    <t>Schedule 35, Line 55, C 4</t>
  </si>
  <si>
    <t>Line 26:</t>
  </si>
  <si>
    <t>Schedule 35, Line 56, C 4</t>
  </si>
  <si>
    <t>Line 27:</t>
  </si>
  <si>
    <t>Schedule 35, Line 57, C 4</t>
  </si>
  <si>
    <t>Line 28:</t>
  </si>
  <si>
    <t>Schedule 35, Line 58, C 4</t>
  </si>
  <si>
    <t>Line 29:</t>
  </si>
  <si>
    <t>Schedule 35, Line 59, C 4</t>
  </si>
  <si>
    <t>Line 30:</t>
  </si>
  <si>
    <t>Schedule 35, Line 60, C 4</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</si>
  <si>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</si>
  <si>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</si>
  <si>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</si>
  <si>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</si>
  <si>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</si>
  <si>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</si>
  <si>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</si>
  <si>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</si>
  <si>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</si>
  <si>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</si>
  <si>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</si>
  <si>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</si>
  <si>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</si>
  <si>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</si>
  <si>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</si>
  <si>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</si>
  <si>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</si>
  <si>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</si>
  <si>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</si>
  <si>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</si>
  <si>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</si>
  <si>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</si>
  <si>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</si>
  <si>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</si>
  <si>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</si>
  <si>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</si>
  <si>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</si>
  <si>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</si>
  <si>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</si>
  <si>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</si>
  <si>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</si>
  <si>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</si>
  <si>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</si>
  <si>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</si>
  <si>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</si>
  <si>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</si>
  <si>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</si>
  <si>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</si>
  <si>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</si>
  <si>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</si>
  <si>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</si>
  <si>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</si>
  <si>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</si>
  <si>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</si>
  <si>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</si>
  <si>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</si>
  <si>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</si>
  <si>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</si>
  <si>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</si>
  <si>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</si>
  <si>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</si>
  <si>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</si>
  <si>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</si>
  <si>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</si>
  <si>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</si>
  <si>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</si>
  <si>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</si>
  <si>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</si>
  <si>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</si>
  <si>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</si>
  <si>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</si>
  <si>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</si>
  <si>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</si>
  <si>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</si>
  <si>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</si>
  <si>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</si>
  <si>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</si>
  <si>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</si>
  <si>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</si>
  <si>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</si>
  <si>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</si>
  <si>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</si>
  <si>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</si>
  <si>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</si>
  <si>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</si>
  <si>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</si>
  <si>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</si>
  <si>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</si>
  <si>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</si>
  <si>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</si>
  <si>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</si>
  <si>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</si>
  <si>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</si>
  <si>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</si>
  <si>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</si>
  <si>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</si>
  <si>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</si>
  <si>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</si>
  <si>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</si>
  <si>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</si>
  <si>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</si>
  <si>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</si>
  <si>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</si>
  <si>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</si>
  <si>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</si>
  <si>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</si>
  <si>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</si>
  <si>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</si>
  <si>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</si>
  <si>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</si>
  <si>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</si>
  <si>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</si>
  <si>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</si>
  <si>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</si>
  <si>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</si>
  <si>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</si>
  <si>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</si>
  <si>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</si>
  <si>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</si>
  <si>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</si>
  <si>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</si>
  <si>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</si>
  <si>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</si>
  <si>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</si>
  <si>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</si>
  <si>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</si>
  <si>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</si>
  <si>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</si>
  <si>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</si>
  <si>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</si>
  <si>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</si>
  <si>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</si>
  <si>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</si>
  <si>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</si>
  <si>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3) True Up Adjustment</t>
  </si>
  <si>
    <t>Shortfall or Excess Revenue in Prior Year:</t>
  </si>
  <si>
    <t>Previous Annual Update TU Adjustment:</t>
  </si>
  <si>
    <t>Previous Annual Update:</t>
  </si>
  <si>
    <t>TU Adjustment without Projected Interest</t>
  </si>
  <si>
    <t>Projected Interest to Rate Year Mid-Point:</t>
  </si>
  <si>
    <t>True Up Adjustment:</t>
  </si>
  <si>
    <t>Negative amount is to be returned to customers by SCE (included in Base TRR as a negative amount).</t>
  </si>
  <si>
    <t>4)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</si>
  <si>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</si>
  <si>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</si>
  <si>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</si>
  <si>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</si>
  <si>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</si>
  <si>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</si>
  <si>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</si>
  <si>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</si>
  <si>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</si>
  <si>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</si>
  <si>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</si>
  <si>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</si>
  <si>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</si>
  <si>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</si>
  <si>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Other</t>
  </si>
  <si>
    <t>Public</t>
  </si>
  <si>
    <t>Retail</t>
  </si>
  <si>
    <t>Distribution</t>
  </si>
  <si>
    <t>Generation</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</si>
  <si>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</si>
  <si>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</si>
  <si>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</si>
  <si>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</si>
  <si>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</si>
  <si>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</si>
  <si>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</si>
  <si>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</si>
  <si>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</si>
  <si>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</si>
  <si>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</si>
  <si>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</si>
  <si>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</si>
  <si>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</si>
  <si>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</si>
  <si>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</si>
  <si>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</si>
  <si>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</si>
  <si>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</si>
  <si>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</si>
  <si>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</si>
  <si>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</si>
  <si>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Workpaper for Line 12:</t>
  </si>
  <si>
    <t>WP Schedule 3 One Time Adjustment - Prior Period</t>
  </si>
  <si>
    <t>Workpaper for Line 23:</t>
  </si>
  <si>
    <t>N/A</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</si>
  <si>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</si>
  <si>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</si>
  <si>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</si>
  <si>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</si>
  <si>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</si>
  <si>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</si>
  <si>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</si>
  <si>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</si>
  <si>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</si>
  <si>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</si>
  <si>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</si>
  <si>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</si>
  <si>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</si>
  <si>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</si>
  <si>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</si>
  <si>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</si>
  <si>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</si>
  <si>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</si>
  <si>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</si>
  <si>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</si>
  <si>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</si>
  <si>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</si>
  <si>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</si>
  <si>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</si>
  <si>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</si>
  <si>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</si>
  <si>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</si>
  <si>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</si>
  <si>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</si>
  <si>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</si>
  <si>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</si>
  <si>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</si>
  <si>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</si>
  <si>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</si>
  <si>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</si>
  <si>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</si>
  <si>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Accumulated Deferred Income Taxes</t>
  </si>
  <si>
    <t>B) Return on Capital</t>
  </si>
  <si>
    <t>See Instruction 1</t>
  </si>
  <si>
    <t>C) Income Taxes</t>
  </si>
  <si>
    <t>ER = Equity ROR inc. Com. and Pref. Stock</t>
  </si>
  <si>
    <t>Instruction 1</t>
  </si>
  <si>
    <t>D) True Up TRR Calculation</t>
  </si>
  <si>
    <t>Gains and Losses on Transmission Plant Held for Future Use -- Land</t>
  </si>
  <si>
    <t>Total without True Up Incentive Adder</t>
  </si>
  <si>
    <t>True Up Incentive Adder</t>
  </si>
  <si>
    <t>39a</t>
  </si>
  <si>
    <t>True Up Incentive Adder Reversal</t>
  </si>
  <si>
    <t>Negative of Line 39, Note 1</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</si>
  <si>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</si>
  <si>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</si>
  <si>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</si>
  <si>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</si>
  <si>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</si>
  <si>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</si>
  <si>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</si>
  <si>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45a</t>
  </si>
  <si>
    <t>O&amp;M Services Formula Revenues</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</si>
  <si>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</si>
  <si>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</si>
  <si>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</si>
  <si>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</si>
  <si>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</si>
  <si>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</si>
  <si>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</si>
  <si>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</si>
  <si>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</si>
  <si>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</si>
  <si>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</si>
  <si>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</si>
  <si>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</si>
  <si>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</si>
  <si>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</si>
  <si>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</si>
  <si>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</si>
  <si>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</si>
  <si>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</si>
  <si>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</si>
  <si>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</si>
  <si>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</si>
  <si>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</si>
  <si>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</si>
  <si>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</si>
  <si>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Settlement of TO2019A (ER19-1553)</t>
  </si>
  <si>
    <t>f</t>
  </si>
  <si>
    <t>Beginning of Prior Year</t>
  </si>
  <si>
    <t>169 FERC ¶ 61,177</t>
  </si>
  <si>
    <t>g</t>
  </si>
  <si>
    <t>Wtd. Cost of Long Term Debt</t>
  </si>
  <si>
    <t>h</t>
  </si>
  <si>
    <t>Wtd.Cost of Preferred Stock</t>
  </si>
  <si>
    <t>i</t>
  </si>
  <si>
    <t>Wtd.Cost of Common Stock</t>
  </si>
  <si>
    <t>j</t>
  </si>
  <si>
    <t>Calculation of Equity Rate of Return Including Common and Preferred Stock:</t>
  </si>
  <si>
    <t>k</t>
  </si>
  <si>
    <t>1) True Up TRR Incentive Adder Reversal backs out the revenue requirement associated with any project-specific Incentive Adders</t>
  </si>
  <si>
    <t>(Line 39) for True Up Years during the term of the settlement of ER19-1553.</t>
  </si>
  <si>
    <t>Calculation of Components of Cost of Capital Rate</t>
  </si>
  <si>
    <t>Calculation of Long Term Debt Amount</t>
  </si>
  <si>
    <t>Bonds -- Account 221</t>
  </si>
  <si>
    <t>13-month avg.</t>
  </si>
  <si>
    <t>Less Reacquired Bonds -- Account 222</t>
  </si>
  <si>
    <t>2a</t>
  </si>
  <si>
    <t>Long Term Debt Advances from Associated Companies -- Account 223</t>
  </si>
  <si>
    <t>Other Long Term Debt -- Account 224</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</si>
  <si>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</si>
  <si>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</si>
  <si>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</si>
  <si>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</si>
  <si>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</si>
  <si>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</si>
  <si>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</si>
  <si>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</si>
  <si>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</si>
  <si>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</si>
  <si>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</si>
  <si>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</si>
  <si>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</si>
  <si>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</si>
  <si>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</si>
  <si>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Preferred Stock Amount</t>
  </si>
  <si>
    <t>Preferred Stock Amount -- Account 204</t>
  </si>
  <si>
    <t>Unamortized Issuance Costs</t>
  </si>
  <si>
    <t>Net Gain (Loss) From Purchase and Tender Offers</t>
  </si>
  <si>
    <t>Calculation of Cost of Preferred Stock</t>
  </si>
  <si>
    <t>Cost of Preferred Stock -- Account 437</t>
  </si>
  <si>
    <t xml:space="preserve">Enter positive </t>
  </si>
  <si>
    <t>FF1 118.29c</t>
  </si>
  <si>
    <t>Amortization of Net Gain (Loss)  From Purchases and Tender Offers</t>
  </si>
  <si>
    <t>See Note 1</t>
  </si>
  <si>
    <t>Amortization Issuance Costs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</si>
  <si>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</si>
  <si>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</si>
  <si>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</si>
  <si>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</si>
  <si>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</si>
  <si>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</si>
  <si>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1) Total annual amortization associated with events listed in Note 6 on 5-ROR-2.</t>
  </si>
  <si>
    <t>2) Total annual amortization associated with preferred equity issues listed in Note 5 on 5-ROR-2.</t>
  </si>
  <si>
    <t>Calculation of 13-Month Average Capitalization Balances</t>
  </si>
  <si>
    <t xml:space="preserve">Year </t>
  </si>
  <si>
    <t>WP Schedule 5 ROR-2</t>
  </si>
  <si>
    <t>Col 10</t>
  </si>
  <si>
    <t>Col 11</t>
  </si>
  <si>
    <t>Col 12</t>
  </si>
  <si>
    <t>Col 13</t>
  </si>
  <si>
    <t>Col 14</t>
  </si>
  <si>
    <t>June</t>
  </si>
  <si>
    <t>= Sum (Cols. 2-14)/13</t>
  </si>
  <si>
    <t>Bonds -- Account 221 (Note 1):</t>
  </si>
  <si>
    <t>Reacquired Bonds -- Account 222 (Note 2): enter - of FF1</t>
  </si>
  <si>
    <t xml:space="preserve"> Long Term Debt Advances from Associated Companies (Note 2a):</t>
  </si>
  <si>
    <t>Other Long Term Debt -- Account 224 (Note 3):</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</si>
  <si>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</si>
  <si>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</si>
  <si>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</si>
  <si>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</si>
  <si>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</si>
  <si>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</si>
  <si>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1) Enter 13 months of balances for capital structure for Prior Year and December previous to Prior Year in Columns 2-14.  </t>
  </si>
  <si>
    <t>Beginning and End of year amounts in Columns 2 and 14 are from FERC Form 1, as referenced in below notes.</t>
  </si>
  <si>
    <t>2) Update Notes 5 and 6 as necessary.</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</si>
  <si>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</si>
  <si>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</si>
  <si>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</si>
  <si>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</si>
  <si>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Amount in Column 2 from FF1 112.3d, amount in Column 14 from FF1 112.3c, amounts in columns 3-13 from SCE internal records. </t>
  </si>
  <si>
    <t>5) Amounts in columns 2-14 are from SCE internal records.</t>
  </si>
  <si>
    <t>List associated securities, Face Amount, Issuance Date, Issuance Costs, Amortization Period, and Annual Amortization:</t>
  </si>
  <si>
    <t>Amortization</t>
  </si>
  <si>
    <t>Face</t>
  </si>
  <si>
    <t>Issuance</t>
  </si>
  <si>
    <t>Period</t>
  </si>
  <si>
    <t>Annual</t>
  </si>
  <si>
    <t>Issue</t>
  </si>
  <si>
    <t>Date</t>
  </si>
  <si>
    <t>Costs</t>
  </si>
  <si>
    <t>(Years)</t>
  </si>
  <si>
    <t>Total Annual Amortization (sum of "Issues" listed above)</t>
  </si>
  <si>
    <t>6)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</si>
  <si>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</si>
  <si>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</si>
  <si>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</si>
  <si>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</si>
  <si>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</si>
  <si>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</si>
  <si>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</si>
  <si>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Plant In Service</t>
  </si>
  <si>
    <t>Inputs are shaded yellow</t>
  </si>
  <si>
    <t>Workpapers for additional information:</t>
  </si>
  <si>
    <t>WP Schedule 6&amp;8</t>
  </si>
  <si>
    <t>WP Schedule 6 Prior Year Corp OH Exp</t>
  </si>
  <si>
    <t>1) Transmission Plant - ISO</t>
  </si>
  <si>
    <t>Balances for Transmission Plant - ISO during the Prior Year, including December of previous year (See Note 1):</t>
  </si>
  <si>
    <t>Prior Year:</t>
  </si>
  <si>
    <t>Sum C2 - C11</t>
  </si>
  <si>
    <t>Mo/YR</t>
  </si>
  <si>
    <t>Dec 2020</t>
  </si>
  <si>
    <t>13-Mo. Avg:</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</si>
  <si>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</si>
  <si>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</si>
  <si>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</si>
  <si>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</si>
  <si>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</si>
  <si>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</si>
  <si>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</si>
  <si>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</si>
  <si>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</si>
  <si>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t>4) General Plant + Electric Miscellaneous Intangible Plant ("G&amp;I Plant")</t>
  </si>
  <si>
    <t>General and Intangible Plant is an allocated portion of Total G&amp;I Plant based on the Trans. W&amp;S Allocation Factor</t>
  </si>
  <si>
    <t>General</t>
  </si>
  <si>
    <t>Intangible</t>
  </si>
  <si>
    <t>Data</t>
  </si>
  <si>
    <t>Plant</t>
  </si>
  <si>
    <t>G&amp;I Plant</t>
  </si>
  <si>
    <t>Balances</t>
  </si>
  <si>
    <t>FF1 206.99.b and 204.5b</t>
  </si>
  <si>
    <t>BOY amount from previous PY</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</si>
  <si>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</si>
  <si>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</si>
  <si>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</si>
  <si>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</si>
  <si>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</si>
  <si>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</si>
  <si>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</si>
  <si>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</si>
  <si>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</si>
  <si>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</si>
  <si>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</si>
  <si>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</si>
  <si>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</si>
  <si>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</si>
  <si>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7) Calculation of change in Non-Incentive ISO Plant:</t>
  </si>
  <si>
    <t>A) Change in ISO Plant Balance December to December (See Note 9)</t>
  </si>
  <si>
    <t>B) Change in Incentive ISO Plant (See Note 10)</t>
  </si>
  <si>
    <t>C) Change in Non-Incentive ISO Plant (See Note 11)</t>
  </si>
  <si>
    <t>8) Other ISO Transmission Activity without Incentive Plant Activity (See Note 12):</t>
  </si>
  <si>
    <t xml:space="preserve">1) Amounts on Line 13 from corresponding account Schedule 7, column 2.  </t>
  </si>
  <si>
    <t>Amounts on Line 1 must match corresponding account Schedule 7, Column 2 for previous year.</t>
  </si>
  <si>
    <t xml:space="preserve">The amounts for each month on the remaining lines are calculated by summing the following values: </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</si>
  <si>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</si>
  <si>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</si>
  <si>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</si>
  <si>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</si>
  <si>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</si>
  <si>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</si>
  <si>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</si>
  <si>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  Workpaper:</t>
  </si>
  <si>
    <t xml:space="preserve">4) Includes recorded Transmission Plant-In-Service additions, retirements, transfers and adjustments.  Monthly differences from previous matrix. </t>
  </si>
  <si>
    <t>5) Includes balances for SCE Incentive Projects.</t>
  </si>
  <si>
    <t xml:space="preserve">6) Monthly differences from previous matrix.  </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</si>
  <si>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</si>
  <si>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</si>
  <si>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</si>
  <si>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</si>
  <si>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WP Schedule 7</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</si>
  <si>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</si>
  <si>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</si>
  <si>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</si>
  <si>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</si>
  <si>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</si>
  <si>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</si>
  <si>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</si>
  <si>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</si>
  <si>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</si>
  <si>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</si>
  <si>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</si>
  <si>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</si>
  <si>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</si>
  <si>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</si>
  <si>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</si>
  <si>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</si>
  <si>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</si>
  <si>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</si>
  <si>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</si>
  <si>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</si>
  <si>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</si>
  <si>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</si>
  <si>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</si>
  <si>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</si>
  <si>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</si>
  <si>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</si>
  <si>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</si>
  <si>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</si>
  <si>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</si>
  <si>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</si>
  <si>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</si>
  <si>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</si>
  <si>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</si>
  <si>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</si>
  <si>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</si>
  <si>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</si>
  <si>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</si>
  <si>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</si>
  <si>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</si>
  <si>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</si>
  <si>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=Sum C2 to C11</t>
  </si>
  <si>
    <t>Account:</t>
  </si>
  <si>
    <t>2) Distribution Depreciation Reserve - ISO (See Note 2)</t>
  </si>
  <si>
    <t>=Sum C2 to C4</t>
  </si>
  <si>
    <t>Beginning of Year ("BOY") amount</t>
  </si>
  <si>
    <t>End of Year ("EOY") amount</t>
  </si>
  <si>
    <t>BOY/EOY Average:</t>
  </si>
  <si>
    <t>3) General and Intangible Depreciation Reserve</t>
  </si>
  <si>
    <t>=C4+C5</t>
  </si>
  <si>
    <t>Gen. and Int.</t>
  </si>
  <si>
    <t xml:space="preserve">Depreciation </t>
  </si>
  <si>
    <t>Reserve</t>
  </si>
  <si>
    <t>BOY:</t>
  </si>
  <si>
    <t>FF1 219.28c and 200.21c for previous year</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</si>
  <si>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</si>
  <si>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</si>
  <si>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</si>
  <si>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</si>
  <si>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</si>
  <si>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</si>
  <si>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</si>
  <si>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</si>
  <si>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</si>
  <si>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</si>
  <si>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</si>
  <si>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</si>
  <si>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</si>
  <si>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</si>
  <si>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</si>
  <si>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</si>
  <si>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1) Amounts on Line 13 based on current year Plant Study.  Amounts on Line 1 shall be based on previous year Plant Study, and </t>
  </si>
  <si>
    <t>shall match amounts on Line 13 in previous year Annual Update.</t>
  </si>
  <si>
    <t>The amounts for each month on the remaining lines are calculated by summing the following values:</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</si>
  <si>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</si>
  <si>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</si>
  <si>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</si>
  <si>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</si>
  <si>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</si>
  <si>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</si>
  <si>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</si>
  <si>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4) From 6-PlantInService, Lines 93 to 104.</t>
  </si>
  <si>
    <t>8) Multiply the montly "Total Transmission Allocation Factors" ratios found in Lines 40-51 by the</t>
  </si>
  <si>
    <t>"Other Activity" on Line 54.</t>
  </si>
  <si>
    <t>Accumulated Deferred Income Taxes and Net (Excess)/Deficient Deferred Taxes</t>
  </si>
  <si>
    <t>1) Summary of Accumulated Deferred Income Taxes and Net (Excess)/Deficient Deferred Taxes</t>
  </si>
  <si>
    <t>a) End of Year Accumulated Deferred Income Taxes and Net (Excess)/Deficient Deferred Taxes</t>
  </si>
  <si>
    <t>Balance</t>
  </si>
  <si>
    <t>Account 190</t>
  </si>
  <si>
    <t>Account 282</t>
  </si>
  <si>
    <t>Account 283</t>
  </si>
  <si>
    <t>Net (Excess)/Deficient Deferred Tax Liability/Asset</t>
  </si>
  <si>
    <t>Total Accumulated Deferred Income Taxes</t>
  </si>
  <si>
    <t>and Net (Excess)/Deficient Deferred Taxes</t>
  </si>
  <si>
    <t>b) Beginning of Year Accumulated Deferred Income Taxes and Net (Excess)/Deficient Deferred Taxes</t>
  </si>
  <si>
    <t>BOY</t>
  </si>
  <si>
    <t>c) Average of Beginning and End of Year Accumulated Deferred Income Taxes and Net (Excess)/Deficient Deferred Taxes</t>
  </si>
  <si>
    <t>Average</t>
  </si>
  <si>
    <t>BOY/EOY Average Balance:</t>
  </si>
  <si>
    <t>Average of Line 5 and Line 10</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</si>
  <si>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</si>
  <si>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</si>
  <si>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</si>
  <si>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</si>
  <si>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</si>
  <si>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</si>
  <si>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</si>
  <si>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</si>
  <si>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</si>
  <si>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</si>
  <si>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</si>
  <si>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</si>
  <si>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</si>
  <si>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</si>
  <si>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</si>
  <si>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Executive Incentive Comp</t>
  </si>
  <si>
    <t>Bond Discount Amort</t>
  </si>
  <si>
    <t>Ins - Inj/Damages Prov</t>
  </si>
  <si>
    <t>Accrued Vacation</t>
  </si>
  <si>
    <t>Amortization of Debt Expense</t>
  </si>
  <si>
    <t>Pension &amp; PBOP</t>
  </si>
  <si>
    <t>…</t>
  </si>
  <si>
    <t>Continuation of Account 190 Detail</t>
  </si>
  <si>
    <t>Labor Related</t>
  </si>
  <si>
    <t>Total Electric 190</t>
  </si>
  <si>
    <t>Account 190 Gas and Other Income:</t>
  </si>
  <si>
    <t>EMS</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</si>
  <si>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</si>
  <si>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</si>
  <si>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</si>
  <si>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</si>
  <si>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</si>
  <si>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</si>
  <si>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</si>
  <si>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</si>
  <si>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</si>
  <si>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Total Account 282</t>
  </si>
  <si>
    <t>Total Account 282 ADIT</t>
  </si>
  <si>
    <t>FERC Form 1 Account 282</t>
  </si>
  <si>
    <t>FF1 275.5k</t>
  </si>
  <si>
    <t>4) Account 283 Detail</t>
  </si>
  <si>
    <t>ACCT 283</t>
  </si>
  <si>
    <t>Refunding &amp; Retirement of Debt</t>
  </si>
  <si>
    <t>Health Care - IBNR</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</si>
  <si>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</si>
  <si>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</si>
  <si>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</si>
  <si>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</si>
  <si>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</si>
  <si>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</si>
  <si>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</si>
  <si>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</si>
  <si>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</si>
  <si>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</si>
  <si>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</si>
  <si>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</si>
  <si>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</si>
  <si>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</si>
  <si>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</si>
  <si>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</si>
  <si>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</si>
  <si>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</si>
  <si>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</si>
  <si>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</si>
  <si>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</si>
  <si>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</si>
  <si>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</si>
  <si>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</si>
  <si>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</si>
  <si>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</si>
  <si>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</si>
  <si>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</si>
  <si>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</si>
  <si>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</si>
  <si>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</si>
  <si>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</si>
  <si>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</si>
  <si>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</si>
  <si>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</si>
  <si>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</si>
  <si>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</si>
  <si>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(Excess)/Deficient Deferred Income Taxes - FERC Order 864 Worksheet</t>
  </si>
  <si>
    <t>(Col 1)</t>
  </si>
  <si>
    <t>(Col 2)</t>
  </si>
  <si>
    <t>(Col 3)</t>
  </si>
  <si>
    <t>(Col 4)</t>
  </si>
  <si>
    <t>(Col 5)</t>
  </si>
  <si>
    <t>(Col 6)</t>
  </si>
  <si>
    <t>(Col 7)</t>
  </si>
  <si>
    <t>(Col 8)</t>
  </si>
  <si>
    <t>(Col 9)</t>
  </si>
  <si>
    <t>(Col 10)</t>
  </si>
  <si>
    <t>(Col 11)</t>
  </si>
  <si>
    <t>SCE Records</t>
  </si>
  <si>
    <t xml:space="preserve"> = (C2) thru (C7)</t>
  </si>
  <si>
    <t>9-ADIT-3  (C8)</t>
  </si>
  <si>
    <t>= (C8) + (C9)</t>
  </si>
  <si>
    <t>Other Deficient ADIT Adjustments to FERC Acct 182.3</t>
  </si>
  <si>
    <t>Adjustment for New Tax Rate to FERC Acct 254/182.3</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</si>
  <si>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</si>
  <si>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</si>
  <si>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</si>
  <si>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</si>
  <si>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</si>
  <si>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</si>
  <si>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</si>
  <si>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</si>
  <si>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</si>
  <si>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</si>
  <si>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</si>
  <si>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</si>
  <si>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</si>
  <si>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</si>
  <si>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</si>
  <si>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</si>
  <si>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</si>
  <si>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</si>
  <si>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</si>
  <si>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</si>
  <si>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</si>
  <si>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</si>
  <si>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</si>
  <si>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</si>
  <si>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</si>
  <si>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</si>
  <si>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</si>
  <si>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</si>
  <si>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</si>
  <si>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</si>
  <si>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</si>
  <si>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</si>
  <si>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</si>
  <si>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</si>
  <si>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3) Amortization subject to pending SCE private letter ruling request and/or IRS guidance developed from IRS Notice 2019-33.</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</si>
  <si>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</si>
  <si>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</si>
  <si>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</si>
  <si>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</si>
  <si>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No</t>
  </si>
  <si>
    <t>New Rate:</t>
  </si>
  <si>
    <t>(C3)xNew Rate</t>
  </si>
  <si>
    <t>= (C4) - (C5)</t>
  </si>
  <si>
    <t>9-ADIT-2  (C8)</t>
  </si>
  <si>
    <t>= (C6) - (C7)</t>
  </si>
  <si>
    <t>FERC Acct</t>
  </si>
  <si>
    <t>Accumulated Book-to-Tax Adjustments</t>
  </si>
  <si>
    <t xml:space="preserve">Protected - Property Related </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</si>
  <si>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</si>
  <si>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</si>
  <si>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</si>
  <si>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</si>
  <si>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</si>
  <si>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</si>
  <si>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</si>
  <si>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</si>
  <si>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</si>
  <si>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</si>
  <si>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</si>
  <si>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WP Schedule 10</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</si>
  <si>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</si>
  <si>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</si>
  <si>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</si>
  <si>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</si>
  <si>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</si>
  <si>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</si>
  <si>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</si>
  <si>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</si>
  <si>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</si>
  <si>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</si>
  <si>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</si>
  <si>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</si>
  <si>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</si>
  <si>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 xml:space="preserve">Colorado </t>
  </si>
  <si>
    <t>Whirlwind</t>
  </si>
  <si>
    <t>River</t>
  </si>
  <si>
    <t>ELM</t>
  </si>
  <si>
    <t>Expansion</t>
  </si>
  <si>
    <t>Mesa</t>
  </si>
  <si>
    <t>Alberhill</t>
  </si>
  <si>
    <t>Series Caps</t>
  </si>
  <si>
    <t>Riverside</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</si>
  <si>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</si>
  <si>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</si>
  <si>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</si>
  <si>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</si>
  <si>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</si>
  <si>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</si>
  <si>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</si>
  <si>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</si>
  <si>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</si>
  <si>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</si>
  <si>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</si>
  <si>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</si>
  <si>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</si>
  <si>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</si>
  <si>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</si>
  <si>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</si>
  <si>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</si>
  <si>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</si>
  <si>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WP Schedules 10 &amp; 16</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</si>
  <si>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</si>
  <si>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</si>
  <si>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</si>
  <si>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</si>
  <si>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</si>
  <si>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</si>
  <si>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</si>
  <si>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</si>
  <si>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</si>
  <si>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</si>
  <si>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</si>
  <si>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</si>
  <si>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</si>
  <si>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</si>
  <si>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</si>
  <si>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Unload</t>
  </si>
  <si>
    <t>3g) Project:</t>
  </si>
  <si>
    <t>Colorado River Substation Expansion</t>
  </si>
  <si>
    <t>3h) Project:</t>
  </si>
  <si>
    <t>3i) Project:</t>
  </si>
  <si>
    <t>3j) Project:</t>
  </si>
  <si>
    <t>ELM Series Caps</t>
  </si>
  <si>
    <t>3k) Project:</t>
  </si>
  <si>
    <t>3l) Project:</t>
  </si>
  <si>
    <t>add additional projects below this line (See Instruction 3)</t>
  </si>
  <si>
    <t xml:space="preserve">1) Forecast Period is the calendar year two years after the Prior Year (i.e., PY+2).   </t>
  </si>
  <si>
    <t>2) Sum of project specific values from lines 55-79, 81-105, 107-131, 133-157, 159-183, 185-209, 211-235, 237-261, 263-287, 289-313, 315-339, …</t>
  </si>
  <si>
    <t>1) Enter recorded amounts of CWIP during Prior Year on Lines 1-13, 15-27 (including December of year previous to Prior Year).</t>
  </si>
  <si>
    <t>2) Enter forecast project specific values on lines 55-79, 81-105, 107-131, 133-157, 159-183, 185-209, 211-235, 237-261, 263-287, 289-313, 315-339 ...</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</si>
  <si>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</si>
  <si>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</si>
  <si>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</si>
  <si>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</si>
  <si>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</si>
  <si>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</si>
  <si>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</si>
  <si>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</si>
  <si>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</si>
  <si>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</si>
  <si>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</si>
  <si>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</si>
  <si>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2b</t>
  </si>
  <si>
    <t>2c</t>
  </si>
  <si>
    <t>2d</t>
  </si>
  <si>
    <t>2e</t>
  </si>
  <si>
    <t>2f</t>
  </si>
  <si>
    <t>2g</t>
  </si>
  <si>
    <t>2h</t>
  </si>
  <si>
    <t>Sum of above lines</t>
  </si>
  <si>
    <t>General Plant Held for Future Use</t>
  </si>
  <si>
    <t>FF1 page 214</t>
  </si>
  <si>
    <t>4a</t>
  </si>
  <si>
    <t>Enter FF1 Page 214 Line reference here when Line 4 is a non-zero amount:</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</si>
  <si>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</si>
  <si>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</si>
  <si>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</si>
  <si>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</si>
  <si>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</si>
  <si>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</si>
  <si>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</si>
  <si>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</si>
  <si>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</si>
  <si>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</si>
  <si>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</si>
  <si>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</si>
  <si>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</si>
  <si>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</si>
  <si>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</si>
  <si>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</si>
  <si>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</si>
  <si>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</si>
  <si>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</si>
  <si>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</si>
  <si>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</si>
  <si>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</si>
  <si>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</si>
  <si>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</si>
  <si>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</si>
  <si>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</si>
  <si>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</si>
  <si>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</si>
  <si>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</si>
  <si>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</si>
  <si>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</si>
  <si>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</si>
  <si>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</si>
  <si>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</si>
  <si>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</si>
  <si>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</si>
  <si>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</si>
  <si>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</si>
  <si>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</si>
  <si>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</si>
  <si>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</si>
  <si>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</si>
  <si>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</si>
  <si>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</si>
  <si>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</si>
  <si>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</si>
  <si>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</si>
  <si>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</si>
  <si>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</si>
  <si>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</si>
  <si>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</si>
  <si>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</si>
  <si>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</si>
  <si>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</si>
  <si>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</si>
  <si>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WP Schedule 13 Working Capital</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</si>
  <si>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</si>
  <si>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</si>
  <si>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</si>
  <si>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</si>
  <si>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</si>
  <si>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</si>
  <si>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</si>
  <si>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</si>
  <si>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</si>
  <si>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</si>
  <si>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</si>
  <si>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</si>
  <si>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</si>
  <si>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</si>
  <si>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</si>
  <si>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</si>
  <si>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</si>
  <si>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</si>
  <si>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</si>
  <si>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</si>
  <si>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</si>
  <si>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</si>
  <si>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</si>
  <si>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</si>
  <si>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</si>
  <si>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</si>
  <si>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</si>
  <si>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</si>
  <si>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</si>
  <si>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</si>
  <si>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</si>
  <si>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</si>
  <si>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WP Schedule 14 Incentive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</si>
  <si>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</si>
  <si>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</si>
  <si>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</si>
  <si>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</si>
  <si>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</si>
  <si>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</si>
  <si>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</si>
  <si>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</si>
  <si>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</si>
  <si>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</si>
  <si>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</si>
  <si>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</si>
  <si>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</si>
  <si>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</si>
  <si>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</si>
  <si>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</si>
  <si>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</si>
  <si>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</si>
  <si>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</si>
  <si>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</si>
  <si>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</si>
  <si>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</si>
  <si>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</si>
  <si>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</si>
  <si>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</si>
  <si>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</si>
  <si>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</si>
  <si>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</si>
  <si>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11) Riverside</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</si>
  <si>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</si>
  <si>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</si>
  <si>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</si>
  <si>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</si>
  <si>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</si>
  <si>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</si>
  <si>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</si>
  <si>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</si>
  <si>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</si>
  <si>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</si>
  <si>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</si>
  <si>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</si>
  <si>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</si>
  <si>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</si>
  <si>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</si>
  <si>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</si>
  <si>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</si>
  <si>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</si>
  <si>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</si>
  <si>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</si>
  <si>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</si>
  <si>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</si>
  <si>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</si>
  <si>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</si>
  <si>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</si>
  <si>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</si>
  <si>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</si>
  <si>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</si>
  <si>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</si>
  <si>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</si>
  <si>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</si>
  <si>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</si>
  <si>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</si>
  <si>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</si>
  <si>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</si>
  <si>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</si>
  <si>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</si>
  <si>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</si>
  <si>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</si>
  <si>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</si>
  <si>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</si>
  <si>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</si>
  <si>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</si>
  <si>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</si>
  <si>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</si>
  <si>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</si>
  <si>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i) Mesa</t>
  </si>
  <si>
    <t>j) Alberhill</t>
  </si>
  <si>
    <t>k) ELM Series Caps</t>
  </si>
  <si>
    <t>l) Riverside</t>
  </si>
  <si>
    <t>m)</t>
  </si>
  <si>
    <t>6) Summary of Incentive Projects and incentives granted</t>
  </si>
  <si>
    <t>A) Rancho Vista Incentives Received:</t>
  </si>
  <si>
    <t>Cite:</t>
  </si>
  <si>
    <t>CWIP:</t>
  </si>
  <si>
    <t>Yes</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</si>
  <si>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</si>
  <si>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</si>
  <si>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</si>
  <si>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</si>
  <si>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</si>
  <si>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</si>
  <si>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</si>
  <si>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</si>
  <si>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</si>
  <si>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</si>
  <si>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</si>
  <si>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</si>
  <si>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</si>
  <si>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</si>
  <si>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</si>
  <si>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</si>
  <si>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</si>
  <si>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</si>
  <si>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</si>
  <si>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</si>
  <si>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</si>
  <si>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</si>
  <si>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</si>
  <si>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</si>
  <si>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</si>
  <si>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</si>
  <si>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</si>
  <si>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</si>
  <si>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</si>
  <si>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Riverside</t>
  </si>
  <si>
    <t>172 FERC ¶ 61,241 at P 31</t>
  </si>
  <si>
    <t>172 FERC ¶ 61,241 at P 26</t>
  </si>
  <si>
    <t>N) Future Incentive Projects:</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</si>
  <si>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</si>
  <si>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</si>
  <si>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</si>
  <si>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</si>
  <si>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</si>
  <si>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</si>
  <si>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</si>
  <si>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</si>
  <si>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</si>
  <si>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</si>
  <si>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</si>
  <si>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</si>
  <si>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</si>
  <si>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</si>
  <si>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</si>
  <si>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</si>
  <si>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</si>
  <si>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</si>
  <si>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</si>
  <si>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</si>
  <si>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</si>
  <si>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</si>
  <si>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</si>
  <si>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</si>
  <si>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</si>
  <si>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</si>
  <si>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</si>
  <si>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</si>
  <si>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</si>
  <si>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</si>
  <si>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</si>
  <si>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</si>
  <si>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</si>
  <si>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</si>
  <si>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</si>
  <si>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</si>
  <si>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</si>
  <si>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</si>
  <si>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</si>
  <si>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</si>
  <si>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</si>
  <si>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</si>
  <si>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</si>
  <si>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</si>
  <si>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</si>
  <si>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</si>
  <si>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</si>
  <si>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</si>
  <si>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</si>
  <si>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</si>
  <si>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</si>
  <si>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</si>
  <si>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</si>
  <si>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</si>
  <si>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</si>
  <si>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</si>
  <si>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</si>
  <si>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</si>
  <si>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</si>
  <si>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</si>
  <si>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 xml:space="preserve">Cost of </t>
  </si>
  <si>
    <t>Eligible Plant</t>
  </si>
  <si>
    <t>Low Voltage</t>
  </si>
  <si>
    <t>Removal</t>
  </si>
  <si>
    <t>Additions</t>
  </si>
  <si>
    <t>Gross Plant</t>
  </si>
  <si>
    <t>Accrual</t>
  </si>
  <si>
    <t>2) Incentive Plant Forecast (See Note 1)</t>
  </si>
  <si>
    <t>C4 10-CWIP
L30-53</t>
  </si>
  <si>
    <t>C5 10-CWIP
L30-53</t>
  </si>
  <si>
    <t>C6 10-CWIP
L30-53</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</si>
  <si>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</si>
  <si>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</si>
  <si>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</si>
  <si>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</si>
  <si>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</si>
  <si>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</si>
  <si>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</si>
  <si>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</si>
  <si>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</si>
  <si>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</si>
  <si>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</si>
  <si>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</si>
  <si>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</si>
  <si>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</si>
  <si>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</si>
  <si>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</si>
  <si>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</si>
  <si>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</si>
  <si>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</si>
  <si>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</si>
  <si>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</si>
  <si>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</si>
  <si>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</si>
  <si>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</si>
  <si>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</si>
  <si>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</si>
  <si>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</si>
  <si>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</si>
  <si>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</si>
  <si>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</si>
  <si>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</si>
  <si>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</si>
  <si>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</si>
  <si>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</si>
  <si>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r>
      <rPr>
        <b/>
        <sz val="10"/>
        <rFont val="Arial"/>
        <family val="2"/>
      </rPr>
      <t xml:space="preserve">Source: </t>
    </r>
    <r>
      <rPr>
        <sz val="10"/>
        <rFont val="Arial"/>
        <family val="2"/>
      </rPr>
      <t>6-PlantInService, Lines 1-13.</t>
    </r>
  </si>
  <si>
    <t>Depreciation Rates (Percent per year)  See Instruction 1.</t>
  </si>
  <si>
    <t>17a</t>
  </si>
  <si>
    <t>17b</t>
  </si>
  <si>
    <t>17c</t>
  </si>
  <si>
    <t>17d</t>
  </si>
  <si>
    <t>17e</t>
  </si>
  <si>
    <t>17f</t>
  </si>
  <si>
    <t>17g</t>
  </si>
  <si>
    <t>17h</t>
  </si>
  <si>
    <t>17i</t>
  </si>
  <si>
    <t>17j</t>
  </si>
  <si>
    <t>17k</t>
  </si>
  <si>
    <t>17l</t>
  </si>
  <si>
    <t>17m</t>
  </si>
  <si>
    <t>Monthly Depreciation Expense for Transmission Plant - ISO by FERC Account:</t>
  </si>
  <si>
    <t>See Note 1 and Instruction 1</t>
  </si>
  <si>
    <t>Total Annual Depreciation Expense for Transmission Plant - ISO:</t>
  </si>
  <si>
    <t>(equals sum of monthly amounts)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</si>
  <si>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</si>
  <si>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</si>
  <si>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</si>
  <si>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</si>
  <si>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</si>
  <si>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</si>
  <si>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</si>
  <si>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</si>
  <si>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</si>
  <si>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</si>
  <si>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</si>
  <si>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</si>
  <si>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</si>
  <si>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</si>
  <si>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</si>
  <si>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</si>
  <si>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</si>
  <si>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</si>
  <si>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</si>
  <si>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</si>
  <si>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</si>
  <si>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</si>
  <si>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</si>
  <si>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</si>
  <si>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</si>
  <si>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1) Depreciation rates on lines 17a-17m are input based on the stated values of ISO Transmission Plant depreciation rates from Schedule 18 of</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</si>
  <si>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</si>
  <si>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</si>
  <si>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</si>
  <si>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</si>
  <si>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</si>
  <si>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</si>
  <si>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</si>
  <si>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</si>
  <si>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</si>
  <si>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</si>
  <si>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</si>
  <si>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</si>
  <si>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</si>
  <si>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</si>
  <si>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</si>
  <si>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</si>
  <si>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</si>
  <si>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</si>
  <si>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</si>
  <si>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</si>
  <si>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</si>
  <si>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</si>
  <si>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</si>
  <si>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</si>
  <si>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</si>
  <si>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</si>
  <si>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</si>
  <si>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</si>
  <si>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</si>
  <si>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Five Year</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</si>
  <si>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</si>
  <si>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</si>
  <si>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</si>
  <si>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</si>
  <si>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</si>
  <si>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</si>
  <si>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</si>
  <si>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</si>
  <si>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</si>
  <si>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</si>
  <si>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</si>
  <si>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</si>
  <si>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</si>
  <si>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</si>
  <si>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</si>
  <si>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</si>
  <si>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</si>
  <si>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</si>
  <si>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</si>
  <si>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</si>
  <si>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</si>
  <si>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</si>
  <si>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</si>
  <si>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</si>
  <si>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</si>
  <si>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WP Schedule 19 O&amp;M Cost Detail</t>
  </si>
  <si>
    <t>1) Determination of Adjusted Operations and Maintenance Expenses for each account (Note 1)</t>
  </si>
  <si>
    <t>Col 8a</t>
  </si>
  <si>
    <t>= C3 + C4</t>
  </si>
  <si>
    <t>= C7 + C8</t>
  </si>
  <si>
    <t>Schedule 35,</t>
  </si>
  <si>
    <t>= C10 + C11</t>
  </si>
  <si>
    <t>= C3 + C7</t>
  </si>
  <si>
    <t>Rows 5-36</t>
  </si>
  <si>
    <t>Account/Work Activity  Rev</t>
  </si>
  <si>
    <t>Total Recorded O&amp;M Expenses</t>
  </si>
  <si>
    <t>Adjustments</t>
  </si>
  <si>
    <t>Adjusted Recorded O&amp;M Expenses</t>
  </si>
  <si>
    <t>Non-Labor</t>
  </si>
  <si>
    <t>Reason</t>
  </si>
  <si>
    <t>O&amp;M Services (See Note 8)</t>
  </si>
  <si>
    <t>Transmission Accounts</t>
  </si>
  <si>
    <t>560 - Operations Supervision and Engineering - Allocated</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</si>
  <si>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</si>
  <si>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</si>
  <si>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</si>
  <si>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</si>
  <si>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</si>
  <si>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</si>
  <si>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</si>
  <si>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</si>
  <si>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</si>
  <si>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</si>
  <si>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</si>
  <si>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</si>
  <si>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</si>
  <si>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</si>
  <si>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</si>
  <si>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</si>
  <si>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</si>
  <si>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</si>
  <si>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</si>
  <si>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</si>
  <si>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</si>
  <si>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</si>
  <si>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</si>
  <si>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</si>
  <si>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</si>
  <si>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</si>
  <si>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</si>
  <si>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</si>
  <si>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</si>
  <si>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</si>
  <si>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</si>
  <si>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</si>
  <si>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</si>
  <si>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</si>
  <si>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</si>
  <si>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</si>
  <si>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</si>
  <si>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 C4 + C8</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</si>
  <si>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</si>
  <si>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</si>
  <si>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</si>
  <si>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</si>
  <si>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</si>
  <si>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</si>
  <si>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</si>
  <si>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</si>
  <si>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</si>
  <si>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</si>
  <si>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</si>
  <si>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</si>
  <si>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</si>
  <si>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</si>
  <si>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</si>
  <si>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</si>
  <si>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</si>
  <si>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</si>
  <si>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</si>
  <si>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</si>
  <si>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</si>
  <si>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</si>
  <si>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</si>
  <si>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</si>
  <si>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</si>
  <si>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</si>
  <si>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</si>
  <si>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</si>
  <si>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</si>
  <si>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</si>
  <si>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</si>
  <si>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</si>
  <si>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</si>
  <si>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</si>
  <si>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</si>
  <si>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</si>
  <si>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</si>
  <si>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</si>
  <si>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</si>
  <si>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</si>
  <si>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</si>
  <si>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</si>
  <si>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E: Exclude amount of costs transfered to account from A&amp;G Account 920 pursuant to Order 668.</t>
  </si>
  <si>
    <t>F: Excludes shareholder funded costs.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</si>
  <si>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</si>
  <si>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</si>
  <si>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</si>
  <si>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</si>
  <si>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</si>
  <si>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</si>
  <si>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</si>
  <si>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</si>
  <si>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</si>
  <si>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</si>
  <si>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</si>
  <si>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 xml:space="preserve">8) Each O&amp;M Account contributing to the calculation of "Total ISO O&amp;M Expense" (Line 91, Column 6) may include revenue associated with a </t>
  </si>
  <si>
    <t>Commission-approved O&amp;M Services Formula assessing other entities for O&amp;M Services provided by SCE.  See Schedule 35, Notes 1-3.</t>
  </si>
  <si>
    <t>All O&amp;M Services Formula Revenue is "non-labor", and entered in Column 8a, Lines 1-32.</t>
  </si>
  <si>
    <t>Col 3a</t>
  </si>
  <si>
    <t>= (C1 - C3) + C3a</t>
  </si>
  <si>
    <t>FERC Form 1</t>
  </si>
  <si>
    <t>Total Amount</t>
  </si>
  <si>
    <t>Other Formula</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</si>
  <si>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</si>
  <si>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</si>
  <si>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</si>
  <si>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</si>
  <si>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</si>
  <si>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</si>
  <si>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</si>
  <si>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</si>
  <si>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</si>
  <si>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</si>
  <si>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</si>
  <si>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</si>
  <si>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</si>
  <si>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</si>
  <si>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</si>
  <si>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</si>
  <si>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</si>
  <si>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</si>
  <si>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</si>
  <si>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 (C1 - C3), See also Note 5</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</si>
  <si>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</si>
  <si>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</si>
  <si>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</si>
  <si>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</si>
  <si>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</si>
  <si>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</si>
  <si>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</si>
  <si>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</si>
  <si>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</si>
  <si>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</si>
  <si>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</si>
  <si>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</si>
  <si>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</si>
  <si>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</si>
  <si>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</si>
  <si>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</si>
  <si>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</si>
  <si>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</si>
  <si>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</si>
  <si>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</si>
  <si>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</si>
  <si>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</si>
  <si>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WP Schedule 20</t>
  </si>
  <si>
    <t>Shareholder</t>
  </si>
  <si>
    <t>Exclusions</t>
  </si>
  <si>
    <t>Total Amount Excluded</t>
  </si>
  <si>
    <t>or Other</t>
  </si>
  <si>
    <t>Franchise</t>
  </si>
  <si>
    <t>(Sum of Col 1 to Col 4)</t>
  </si>
  <si>
    <t>Requirements</t>
  </si>
  <si>
    <t>NOIC</t>
  </si>
  <si>
    <t>PBOPs</t>
  </si>
  <si>
    <t>See Instructions 2b, 3, and Note 2</t>
  </si>
  <si>
    <t>See Instruction 6</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</si>
  <si>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</si>
  <si>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</si>
  <si>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</si>
  <si>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</si>
  <si>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</si>
  <si>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</si>
  <si>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</si>
  <si>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</si>
  <si>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</si>
  <si>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</si>
  <si>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</si>
  <si>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</si>
  <si>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</si>
  <si>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</si>
  <si>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</si>
  <si>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</si>
  <si>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</si>
  <si>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</si>
  <si>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</si>
  <si>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</si>
  <si>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Note 5:</t>
  </si>
  <si>
    <t>O&amp;M Services Formula Revenue is added in Column 3a pursuant to Schedule 35, Note 2.  Column 3 amounts are from</t>
  </si>
  <si>
    <t>Schedule 35, Lines 38-52, Column 4.  Franchise Fees are separately recovered through Line 43 of Schedule 4, and therefore</t>
  </si>
  <si>
    <t>the amount of O&amp;M Services Formula revenue associated with Franchise Fees (Line 8, Col. 3a) is not included in Column 4.</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</si>
  <si>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</si>
  <si>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</si>
  <si>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</si>
  <si>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in Schedule 19 (OandM) related to Order 668 costs transferred.</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</si>
  <si>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</si>
  <si>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</si>
  <si>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</si>
  <si>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</si>
  <si>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</si>
  <si>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</si>
  <si>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</si>
  <si>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</si>
  <si>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</si>
  <si>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</si>
  <si>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</si>
  <si>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</si>
  <si>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</si>
  <si>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</si>
  <si>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</si>
  <si>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</si>
  <si>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</si>
  <si>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</si>
  <si>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</si>
  <si>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</si>
  <si>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5) SCE shall make no adjustments to recorded labor amounts related to non-labor labor and/or Indirect labor in Schedule 20.</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</si>
  <si>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</si>
  <si>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</si>
  <si>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</si>
  <si>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</si>
  <si>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</si>
  <si>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</si>
  <si>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</si>
  <si>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</si>
  <si>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</si>
  <si>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</si>
  <si>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</si>
  <si>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</si>
  <si>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</si>
  <si>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</si>
  <si>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</si>
  <si>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</si>
  <si>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</si>
  <si>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</si>
  <si>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</si>
  <si>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</si>
  <si>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</si>
  <si>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</si>
  <si>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</si>
  <si>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</si>
  <si>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</si>
  <si>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</si>
  <si>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Late Payment Charge- Comm. &amp; Ind.</t>
  </si>
  <si>
    <t>1b</t>
  </si>
  <si>
    <t>4191115</t>
  </si>
  <si>
    <t>Residential Late Payment</t>
  </si>
  <si>
    <t>450 Total</t>
  </si>
  <si>
    <t>FF-1 Total for Acct 450 - Forfeited Discounts, p300.16b (Must Equal Line 2)
(Must Equal Line X)</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</si>
  <si>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</si>
  <si>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</si>
  <si>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</si>
  <si>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</si>
  <si>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</si>
  <si>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</si>
  <si>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</si>
  <si>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</si>
  <si>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</si>
  <si>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</si>
  <si>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</si>
  <si>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</si>
  <si>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</si>
  <si>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</si>
  <si>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</si>
  <si>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</si>
  <si>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</si>
  <si>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</si>
  <si>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</si>
  <si>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</si>
  <si>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</si>
  <si>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</si>
  <si>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</si>
  <si>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</si>
  <si>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</si>
  <si>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</si>
  <si>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</si>
  <si>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</si>
  <si>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</si>
  <si>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</si>
  <si>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</si>
  <si>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</si>
  <si>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</si>
  <si>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</si>
  <si>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</si>
  <si>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</si>
  <si>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</si>
  <si>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</si>
  <si>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</si>
  <si>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</si>
  <si>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</si>
  <si>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</si>
  <si>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</si>
  <si>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</si>
  <si>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4184515</t>
  </si>
  <si>
    <t>NEM 2.0</t>
  </si>
  <si>
    <t>4s</t>
  </si>
  <si>
    <t>4186927</t>
  </si>
  <si>
    <t>AR Service Guarantee</t>
  </si>
  <si>
    <t>4t</t>
  </si>
  <si>
    <t>4184533</t>
  </si>
  <si>
    <t>Rule 21 Fast Track Application Fee</t>
  </si>
  <si>
    <t>4u</t>
  </si>
  <si>
    <t>WDAT Pre Application Fee</t>
  </si>
  <si>
    <t>4v</t>
  </si>
  <si>
    <t>Rule 21 Pre Application Fee</t>
  </si>
  <si>
    <t>4w</t>
  </si>
  <si>
    <t>WDAT Fast Track Application Fee</t>
  </si>
  <si>
    <t>4x</t>
  </si>
  <si>
    <t>451 Total</t>
  </si>
  <si>
    <t>FF-1 Total for Acct 451 - Misc. Service Revenues, p300.17b 
(Must Equal Line 5)</t>
  </si>
  <si>
    <t>7a</t>
  </si>
  <si>
    <t>APS Palo Verde Water Sales</t>
  </si>
  <si>
    <t>7b</t>
  </si>
  <si>
    <t>Sales of Water &amp; Water Power - San Joaquin</t>
  </si>
  <si>
    <t>453 Total</t>
  </si>
  <si>
    <t>FF-1 Total for Acct 453 - Sales of Water and Power, p300.18b
(Must Equal Line 8)</t>
  </si>
  <si>
    <t>10a</t>
  </si>
  <si>
    <t>4184110</t>
  </si>
  <si>
    <t>Joint Pole - Tariffed Conduit Rental</t>
  </si>
  <si>
    <t>10b</t>
  </si>
  <si>
    <t>4184112</t>
  </si>
  <si>
    <t>Joint Pole - Tariffed Pole Rental - Cable Cos.</t>
  </si>
  <si>
    <t>10c</t>
  </si>
  <si>
    <t>4184114</t>
  </si>
  <si>
    <t>Joint Pole - Tariffed Process &amp; Eng Fees - Cable</t>
  </si>
  <si>
    <t>10d</t>
  </si>
  <si>
    <t>Joint Pole - Aud - Unauth Penalty</t>
  </si>
  <si>
    <t>10e</t>
  </si>
  <si>
    <t>4184510</t>
  </si>
  <si>
    <t>Joint Pole - Non-Tariffed Pole Rental</t>
  </si>
  <si>
    <t>10f</t>
  </si>
  <si>
    <t>4184512</t>
  </si>
  <si>
    <t>Joint Pole - Non-Tariff Process &amp; Engineering Fees</t>
  </si>
  <si>
    <t>10g</t>
  </si>
  <si>
    <t>4184514</t>
  </si>
  <si>
    <t>Joint Pole - Non-Tariff Requests for Information</t>
  </si>
  <si>
    <t>10h</t>
  </si>
  <si>
    <t>4184516</t>
  </si>
  <si>
    <t>Oil And Gas Royalties</t>
  </si>
  <si>
    <t>10i</t>
  </si>
  <si>
    <t>4184518</t>
  </si>
  <si>
    <t>Def Operating Land &amp; Facilities Rent Rev</t>
  </si>
  <si>
    <t>10j</t>
  </si>
  <si>
    <t>4184810</t>
  </si>
  <si>
    <t>Facility Cost -EIX/Nonutility</t>
  </si>
  <si>
    <t>6, 12</t>
  </si>
  <si>
    <t>10k</t>
  </si>
  <si>
    <t>4184815</t>
  </si>
  <si>
    <t>Facility Cost- Utility</t>
  </si>
  <si>
    <t>10l</t>
  </si>
  <si>
    <t>4184820</t>
  </si>
  <si>
    <t>Rent Billed to Non-Utility Affiliates</t>
  </si>
  <si>
    <t>10m</t>
  </si>
  <si>
    <t>4184825</t>
  </si>
  <si>
    <t>Rent Billed to Utility Affiliates</t>
  </si>
  <si>
    <t>10n</t>
  </si>
  <si>
    <t>4194110</t>
  </si>
  <si>
    <t>Meter Leasing Revenue</t>
  </si>
  <si>
    <t>10o</t>
  </si>
  <si>
    <t>4194115</t>
  </si>
  <si>
    <t>Company Financed Added Facilities</t>
  </si>
  <si>
    <t>10p</t>
  </si>
  <si>
    <t>4194120</t>
  </si>
  <si>
    <t>Company Financed Interconnect Facilities</t>
  </si>
  <si>
    <t>10q</t>
  </si>
  <si>
    <t>4194130</t>
  </si>
  <si>
    <t>SCE Financed Added Faclty</t>
  </si>
  <si>
    <t>10r</t>
  </si>
  <si>
    <t>4194135</t>
  </si>
  <si>
    <t>Interconnect Facility Finance Charge</t>
  </si>
  <si>
    <t>10s</t>
  </si>
  <si>
    <t>4204515</t>
  </si>
  <si>
    <t>Operating Land &amp; Facilities Rent Revenue</t>
  </si>
  <si>
    <t>10t</t>
  </si>
  <si>
    <t>4867020</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</si>
  <si>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</si>
  <si>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</si>
  <si>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</si>
  <si>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</si>
  <si>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</si>
  <si>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</si>
  <si>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</si>
  <si>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</si>
  <si>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</si>
  <si>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</si>
  <si>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</si>
  <si>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</si>
  <si>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</si>
  <si>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</si>
  <si>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</si>
  <si>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</si>
  <si>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Joint Pole - Tarriffed - PA Inspect</t>
  </si>
  <si>
    <t>10cc</t>
  </si>
  <si>
    <t>Joint Pole - Non-Tarriff PA Inspect</t>
  </si>
  <si>
    <t>10dd</t>
  </si>
  <si>
    <t>Non-606 Def Operating Land &amp; Fac Rent Rev-Pass</t>
  </si>
  <si>
    <t>10ee</t>
  </si>
  <si>
    <t>Nonoperating Land &amp; Facilities Rent Expense</t>
  </si>
  <si>
    <t>454 Total</t>
  </si>
  <si>
    <t>FF-1 Total for Acct 454 - Rent from Elec. Property, p300.19b
(Must Equal Line 11)</t>
  </si>
  <si>
    <t>12a</t>
  </si>
  <si>
    <t>4186114</t>
  </si>
  <si>
    <t>Energy Related Services</t>
  </si>
  <si>
    <t>12b</t>
  </si>
  <si>
    <t>4186118</t>
  </si>
  <si>
    <t>Distribution Miscellaneous Electric Revenues</t>
  </si>
  <si>
    <t>12c</t>
  </si>
  <si>
    <t>4186120</t>
  </si>
  <si>
    <t>Added Facilities - One Time Charge</t>
  </si>
  <si>
    <t>12d</t>
  </si>
  <si>
    <t>4186122</t>
  </si>
  <si>
    <t>Building Rental - Nev Power/Mohave Cr</t>
  </si>
  <si>
    <t>12e</t>
  </si>
  <si>
    <t>4186126</t>
  </si>
  <si>
    <t>Service Fee - Optimal Bill Prd</t>
  </si>
  <si>
    <t>12f</t>
  </si>
  <si>
    <t>4186128</t>
  </si>
  <si>
    <t>Miscellaneous Revenues</t>
  </si>
  <si>
    <t>12g</t>
  </si>
  <si>
    <t>4186130</t>
  </si>
  <si>
    <t>Tule Power Plant - Revenue</t>
  </si>
  <si>
    <t>12h</t>
  </si>
  <si>
    <t>Microwave Agreement</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</si>
  <si>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</si>
  <si>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</si>
  <si>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</si>
  <si>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</si>
  <si>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</si>
  <si>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</si>
  <si>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</si>
  <si>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</si>
  <si>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</si>
  <si>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</si>
  <si>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</si>
  <si>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</si>
  <si>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</si>
  <si>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</si>
  <si>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</si>
  <si>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</si>
  <si>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</si>
  <si>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</si>
  <si>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</si>
  <si>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</si>
  <si>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</si>
  <si>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</si>
  <si>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</si>
  <si>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</si>
  <si>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</si>
  <si>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</si>
  <si>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</si>
  <si>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</si>
  <si>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</si>
  <si>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</si>
  <si>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</si>
  <si>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</si>
  <si>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</si>
  <si>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</si>
  <si>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4186524</t>
  </si>
  <si>
    <t>Revenue From Scrap Paper - General Office</t>
  </si>
  <si>
    <t>12u</t>
  </si>
  <si>
    <t>4186528</t>
  </si>
  <si>
    <t>CTAC Revenues</t>
  </si>
  <si>
    <t>12v</t>
  </si>
  <si>
    <t>4186530</t>
  </si>
  <si>
    <t>AGTAC Revenues</t>
  </si>
  <si>
    <t>12w</t>
  </si>
  <si>
    <t>4186716</t>
  </si>
  <si>
    <t>ADT Vendor Service Revenue</t>
  </si>
  <si>
    <t>12xx</t>
  </si>
  <si>
    <t>4186718</t>
  </si>
  <si>
    <t>Read Water Meters - Irvine Ranch</t>
  </si>
  <si>
    <t>12yy</t>
  </si>
  <si>
    <t>4186720</t>
  </si>
  <si>
    <t>Read Water Meters - Rancho California</t>
  </si>
  <si>
    <t>12zz</t>
  </si>
  <si>
    <t>4186722</t>
  </si>
  <si>
    <t>Read Water Meters - Long Beach</t>
  </si>
  <si>
    <t>12aa</t>
  </si>
  <si>
    <t>4186730</t>
  </si>
  <si>
    <t>SSID Transformer Repair Services Revenue</t>
  </si>
  <si>
    <t>12bb</t>
  </si>
  <si>
    <t>4186815</t>
  </si>
  <si>
    <t>Employee Transfer/Affiliate Fee</t>
  </si>
  <si>
    <t>12cc</t>
  </si>
  <si>
    <t>4186910</t>
  </si>
  <si>
    <t>ITCC/CIAC Revenues</t>
  </si>
  <si>
    <t>12dd</t>
  </si>
  <si>
    <t>4186912</t>
  </si>
  <si>
    <t>Revenue From Decommission Trust Fund</t>
  </si>
  <si>
    <t>12ee</t>
  </si>
  <si>
    <t>4186914</t>
  </si>
  <si>
    <t>Revenue From Decommissioning Trust FAS115</t>
  </si>
  <si>
    <t>12ff</t>
  </si>
  <si>
    <t>4186916</t>
  </si>
  <si>
    <t>Offset to Revenue from NDT Earnings/Realized</t>
  </si>
  <si>
    <t>12gg</t>
  </si>
  <si>
    <t>4186918</t>
  </si>
  <si>
    <t>Offset to Revenue from FAS 115 FMV</t>
  </si>
  <si>
    <t>12hh</t>
  </si>
  <si>
    <t>4186920</t>
  </si>
  <si>
    <t>Revenue From Decommissioning Trust FAS115-1</t>
  </si>
  <si>
    <t>12ii</t>
  </si>
  <si>
    <t>4186922</t>
  </si>
  <si>
    <t>Offset to Revenue from FAS 115-1 Gains &amp; Loss</t>
  </si>
  <si>
    <t>12jj</t>
  </si>
  <si>
    <t>4188712</t>
  </si>
  <si>
    <t>Power Supply Installations - IMS</t>
  </si>
  <si>
    <t>12kk</t>
  </si>
  <si>
    <t>4188714</t>
  </si>
  <si>
    <t>Consulting Fees - IMS</t>
  </si>
  <si>
    <t>12ll</t>
  </si>
  <si>
    <t>4196105</t>
  </si>
  <si>
    <t>DA Revenue</t>
  </si>
  <si>
    <t>12mm</t>
  </si>
  <si>
    <t>4196158</t>
  </si>
  <si>
    <t>EDBL Customer Finance Added Facilities</t>
  </si>
  <si>
    <t>12nn</t>
  </si>
  <si>
    <t>4196162</t>
  </si>
  <si>
    <t>SCE Energy Manager Fee Based Services</t>
  </si>
  <si>
    <t>12oo</t>
  </si>
  <si>
    <t>4196166</t>
  </si>
  <si>
    <t>SCE Energy Manager Fee Based Services Adj</t>
  </si>
  <si>
    <t>12pp</t>
  </si>
  <si>
    <t>4196172</t>
  </si>
  <si>
    <t>Off Grid Photo Voltaic Revenues</t>
  </si>
  <si>
    <t>12qq</t>
  </si>
  <si>
    <t>4196174</t>
  </si>
  <si>
    <t>Scheduling/Dispatch Revenues</t>
  </si>
  <si>
    <t>12rr</t>
  </si>
  <si>
    <t>4196176</t>
  </si>
  <si>
    <t>Interconnect Facilities Charges-Customer Financed</t>
  </si>
  <si>
    <t>12ss</t>
  </si>
  <si>
    <t>4196178</t>
  </si>
  <si>
    <t>Interconnect Facilities Charges - SCE Financed</t>
  </si>
  <si>
    <t>12tt</t>
  </si>
  <si>
    <t>4196184</t>
  </si>
  <si>
    <t>DMS Service Fees</t>
  </si>
  <si>
    <t>12uu</t>
  </si>
  <si>
    <t>4196188</t>
  </si>
  <si>
    <t>CCA - Information Fees</t>
  </si>
  <si>
    <t>12vv</t>
  </si>
  <si>
    <t>12ww</t>
  </si>
  <si>
    <t>Grant Amortization</t>
  </si>
  <si>
    <t>GHG Allowance Revenue</t>
  </si>
  <si>
    <t>Intercon One Time</t>
  </si>
  <si>
    <t>EV Charging Revenue</t>
  </si>
  <si>
    <t>12aaa</t>
  </si>
  <si>
    <t>Energy Reltd Srv-TSP</t>
  </si>
  <si>
    <t>12bbb</t>
  </si>
  <si>
    <t>N/U Labor Mrkp-BRRBA</t>
  </si>
  <si>
    <t>12ccc</t>
  </si>
  <si>
    <t>4188720</t>
  </si>
  <si>
    <t>LCFS CR 411.8</t>
  </si>
  <si>
    <t>12ddd</t>
  </si>
  <si>
    <t>Miscellaneous Revenues - ISO</t>
  </si>
  <si>
    <t>12eee</t>
  </si>
  <si>
    <t>Power Quality C&amp;I Customer Program</t>
  </si>
  <si>
    <t>12fff</t>
  </si>
  <si>
    <t>Gas Sales - ERRA</t>
  </si>
  <si>
    <t>12ggg</t>
  </si>
  <si>
    <t>Miscellaneous Electric Revenue - ERRA</t>
  </si>
  <si>
    <t>12hhh</t>
  </si>
  <si>
    <t>4186119</t>
  </si>
  <si>
    <t>PUCRF Rate Adjustment - Electric</t>
  </si>
  <si>
    <t>12iii</t>
  </si>
  <si>
    <t>4186188</t>
  </si>
  <si>
    <t>Utility Earnings - Mono Power Co</t>
  </si>
  <si>
    <t>12jjj</t>
  </si>
  <si>
    <t>Energy Reltd Srvcs-Tehachapi Storage Project (TSP)</t>
  </si>
  <si>
    <t>456 Total</t>
  </si>
  <si>
    <t>FF-1 Total for Acct 456 - Other electric Revenues, p300.21b
(Must Equal Line 13)</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</si>
  <si>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</si>
  <si>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</si>
  <si>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</si>
  <si>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</si>
  <si>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</si>
  <si>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</si>
  <si>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</si>
  <si>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</si>
  <si>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</si>
  <si>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</si>
  <si>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</si>
  <si>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</si>
  <si>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</si>
  <si>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</si>
  <si>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</si>
  <si>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</si>
  <si>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</si>
  <si>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</si>
  <si>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</si>
  <si>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</si>
  <si>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</si>
  <si>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</si>
  <si>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</si>
  <si>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</si>
  <si>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</si>
  <si>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</si>
  <si>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</si>
  <si>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</si>
  <si>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4198116</t>
  </si>
  <si>
    <t>Radial Line Rev-Base Cost - Reliant Ormond Beach</t>
  </si>
  <si>
    <t>15k</t>
  </si>
  <si>
    <t>4198118</t>
  </si>
  <si>
    <t>Radial Line Rev-O&amp;M - AES Huntington Beach</t>
  </si>
  <si>
    <t>15l</t>
  </si>
  <si>
    <t>4198120</t>
  </si>
  <si>
    <t>Radial Line Rev-O&amp;M - Reliant Mandalay</t>
  </si>
  <si>
    <t>15m</t>
  </si>
  <si>
    <t>4198122</t>
  </si>
  <si>
    <t>Radial Line Rev-O&amp;M - Reliant Coolwater</t>
  </si>
  <si>
    <t>15n</t>
  </si>
  <si>
    <t>4198124</t>
  </si>
  <si>
    <t>Radial Line Rev-O&amp;M - Ormond Beach</t>
  </si>
  <si>
    <t>15o</t>
  </si>
  <si>
    <t>4198126</t>
  </si>
  <si>
    <t>High Desert Tie-Line Rental Rev</t>
  </si>
  <si>
    <t>15p</t>
  </si>
  <si>
    <t>4198130</t>
  </si>
  <si>
    <t>Inland Empire CRT Tie-Line EX</t>
  </si>
  <si>
    <t>15q</t>
  </si>
  <si>
    <t>4198910</t>
  </si>
  <si>
    <t>Reliability Service Revenue - Non-PTO's</t>
  </si>
  <si>
    <t>15r</t>
  </si>
  <si>
    <t>4198132</t>
  </si>
  <si>
    <t>Radial Line Agreement-Base-Mojave Solr</t>
  </si>
  <si>
    <t>15s</t>
  </si>
  <si>
    <t>4198134</t>
  </si>
  <si>
    <t>Radial Line Agreement-O&amp;M-Mojave Solr</t>
  </si>
  <si>
    <t>15t</t>
  </si>
  <si>
    <t>4188716</t>
  </si>
  <si>
    <t>ISO Non-Refundable Interconnection Deposit</t>
  </si>
  <si>
    <t>15u</t>
  </si>
  <si>
    <t>RSR - Non-PTO's - RSBA</t>
  </si>
  <si>
    <t>15v</t>
  </si>
  <si>
    <t>4171022</t>
  </si>
  <si>
    <t>Transmission Sales - ERRA</t>
  </si>
  <si>
    <t>15w</t>
  </si>
  <si>
    <t>4171032</t>
  </si>
  <si>
    <t>Transmission Sales - PABA</t>
  </si>
  <si>
    <t>456.1 Total</t>
  </si>
  <si>
    <t>FF-1 Total for Account 456.1 - Revenues from Trans. Of Electricity of Others, p300.22b (Must Equal Line 16)</t>
  </si>
  <si>
    <t>457.1 Total</t>
  </si>
  <si>
    <t>FF-1 Total for Account 457.1 - Regional Control Service Revenues, p300.23b (Must Equal Line 19)</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</si>
  <si>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</si>
  <si>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</si>
  <si>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</si>
  <si>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</si>
  <si>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</si>
  <si>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</si>
  <si>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</si>
  <si>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</si>
  <si>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</si>
  <si>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</si>
  <si>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</si>
  <si>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</si>
  <si>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</si>
  <si>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</si>
  <si>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</si>
  <si>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</si>
  <si>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</si>
  <si>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</si>
  <si>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</si>
  <si>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</si>
  <si>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</si>
  <si>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</si>
  <si>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</si>
  <si>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</si>
  <si>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</si>
  <si>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</si>
  <si>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</si>
  <si>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</si>
  <si>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</si>
  <si>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</si>
  <si>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</si>
  <si>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</si>
  <si>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</si>
  <si>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</si>
  <si>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</si>
  <si>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</si>
  <si>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</si>
  <si>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</si>
  <si>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</si>
  <si>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</si>
  <si>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</si>
  <si>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</si>
  <si>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</si>
  <si>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</si>
  <si>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</si>
  <si>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</si>
  <si>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</si>
  <si>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</si>
  <si>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</si>
  <si>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</si>
  <si>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</si>
  <si>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</si>
  <si>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</si>
  <si>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</si>
  <si>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417 ECS Total</t>
  </si>
  <si>
    <t>417 Other</t>
  </si>
  <si>
    <t>FF-1 Total for Account 417 - Revenues From Nonutility Operations  p117.33c (Must Equal Line 25 + 26)</t>
  </si>
  <si>
    <t>Subsidiaries</t>
  </si>
  <si>
    <t>28a</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</si>
  <si>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</si>
  <si>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</si>
  <si>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</si>
  <si>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</si>
  <si>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</si>
  <si>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</si>
  <si>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</si>
  <si>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</si>
  <si>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</si>
  <si>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</si>
  <si>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</si>
  <si>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</si>
  <si>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</si>
  <si>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</si>
  <si>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</si>
  <si>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O&amp;M Services Revenue</t>
  </si>
  <si>
    <t>31a</t>
  </si>
  <si>
    <t>O&amp;M Services Formula Revenue (Schedule 35, Line 69)</t>
  </si>
  <si>
    <t>31b</t>
  </si>
  <si>
    <t>412 O&amp;M Services Revenue Total</t>
  </si>
  <si>
    <t>31c</t>
  </si>
  <si>
    <t>412 Other</t>
  </si>
  <si>
    <t>31d</t>
  </si>
  <si>
    <t>FF-1 Total for Acct 412, FF1 115 Col. K (Must Equal Line 31b + 31c)</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</si>
  <si>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</si>
  <si>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</si>
  <si>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</si>
  <si>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</si>
  <si>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</si>
  <si>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</si>
  <si>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</si>
  <si>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</si>
  <si>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</si>
  <si>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</si>
  <si>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</si>
  <si>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</si>
  <si>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</si>
  <si>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</si>
  <si>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</si>
  <si>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</si>
  <si>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</si>
  <si>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</si>
  <si>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</si>
  <si>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</si>
  <si>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</si>
  <si>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</si>
  <si>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</si>
  <si>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</si>
  <si>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</si>
  <si>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</si>
  <si>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</si>
  <si>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</si>
  <si>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</si>
  <si>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</si>
  <si>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</si>
  <si>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</si>
  <si>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</si>
  <si>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</si>
  <si>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</si>
  <si>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</si>
  <si>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</si>
  <si>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</si>
  <si>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</si>
  <si>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</si>
  <si>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</si>
  <si>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</si>
  <si>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</si>
  <si>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</si>
  <si>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</si>
  <si>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</si>
  <si>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</si>
  <si>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</si>
  <si>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</si>
  <si>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</si>
  <si>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</si>
  <si>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</si>
  <si>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</si>
  <si>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</si>
  <si>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</si>
  <si>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</si>
  <si>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</si>
  <si>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18-</t>
  </si>
  <si>
    <t xml:space="preserve">Includes all O&amp;M Services Formula Revenue included in Account 412, as set forth on Schedule 35, Line 69, Column 4.  </t>
  </si>
  <si>
    <t>All O&amp;M Services Formula revenue is credited to ISO through Line 84a of Schedule 1 and Line 45a of Schedule 4-TUTRR.</t>
  </si>
  <si>
    <t>Other Formula Revenue -- Revenue Received Pursuant to Commission-Approved O&amp;M Services Formulas</t>
  </si>
  <si>
    <t>Current SCE O&amp;M Services Formulas</t>
  </si>
  <si>
    <t xml:space="preserve">(1) </t>
  </si>
  <si>
    <t>ER21-1280 ("West of Devers Formula Rate")</t>
  </si>
  <si>
    <t>Revenues and Associated Native Accounts (Including O&amp;M, A&amp;G, Property Taxes, Payroll Taxes, and Revenue Credits)</t>
  </si>
  <si>
    <t>Formula #1</t>
  </si>
  <si>
    <t>Formula #2</t>
  </si>
  <si>
    <t>Formula #3</t>
  </si>
  <si>
    <t>Total All</t>
  </si>
  <si>
    <t>1) Operations and Maintenance ("O&amp;M") Revenue</t>
  </si>
  <si>
    <t>Transmission NOIC</t>
  </si>
  <si>
    <t>Total O&amp;M Services Formula "O&amp;M" Revenue:</t>
  </si>
  <si>
    <t>2) Administrative and General ("A&amp;G") Revenue</t>
  </si>
  <si>
    <t>920 - A&amp;G Salaries</t>
  </si>
  <si>
    <t>921 - Office Supplies and Expenses</t>
  </si>
  <si>
    <t>922 - A&amp;G Expenses Transferred</t>
  </si>
  <si>
    <t>923 - Outside Services Employed</t>
  </si>
  <si>
    <t>924 - Property Insurance</t>
  </si>
  <si>
    <t>925 - Injuries and Damages</t>
  </si>
  <si>
    <t>926 - Employee Pensions and Benefits</t>
  </si>
  <si>
    <t>927 - Franchise Requirements</t>
  </si>
  <si>
    <t>928 - Regulatory Commission Expenses</t>
  </si>
  <si>
    <t>929 - Duplicate Charges</t>
  </si>
  <si>
    <t>930.1 - General Advertising Expense</t>
  </si>
  <si>
    <t>930.2 - Miscellaneous General Expense</t>
  </si>
  <si>
    <t>931 - Rents</t>
  </si>
  <si>
    <t>935 - Maintenance of General Plant</t>
  </si>
  <si>
    <t>Total O&amp;M Services Formula "A&amp;G" Revenue:</t>
  </si>
  <si>
    <t>3) Property Taxes (Local Taxes)</t>
  </si>
  <si>
    <t>Total O&amp;M Services Formula "Property Tax" Revenue:</t>
  </si>
  <si>
    <t>4) Payroll Taxes</t>
  </si>
  <si>
    <t>Total O&amp;M Services Formula "Payroll Tax" Revenue:</t>
  </si>
  <si>
    <t>5) Revenue Credits</t>
  </si>
  <si>
    <t>General and Intangible</t>
  </si>
  <si>
    <t>True Up Adjustment (not included in native accounts)</t>
  </si>
  <si>
    <t>Cost Adjustment (not included in native accounts)</t>
  </si>
  <si>
    <t>Total O&amp;M Services Formula "Revenue Credit" Revenue:</t>
  </si>
  <si>
    <t>Total O&amp;M Services Formula Revenues (Each Formula):</t>
  </si>
  <si>
    <t>Total all O&amp;M Services Formula Revenues (all Formulas):</t>
  </si>
  <si>
    <t>1) Do not populate this Schedule 35 with respect to WOD Formula Rate Revenues (pursuant to ER21-1280) for any Prior Year for which the</t>
  </si>
  <si>
    <t>Accounting Waiver granted by the Commission in that Docket was in effect.</t>
  </si>
  <si>
    <t>1) The amount of O&amp;M Services Formula revenue shown above is included in SCE's Annual FERC Form 1 as a credit</t>
  </si>
  <si>
    <t>to each respective native account.</t>
  </si>
  <si>
    <t xml:space="preserve">2) In each Annual Update of this Formula Rate, the amounts of revenue credited to SCE's FERC Form 1 expenses (as described </t>
  </si>
  <si>
    <t>in Note 1) will be reversed in determining of input amounts to this Formula Rate.</t>
  </si>
  <si>
    <t xml:space="preserve">3) The total amount of revenue from the above five expense categories will be 100% credited against the Base TRR and </t>
  </si>
  <si>
    <t>the True Up TRR.  See Schedule 1, Line 84a, and Schedule 4, Line 45a.</t>
  </si>
  <si>
    <t>NETWORK UPGRADE CREDIT AND INTEREST EXPENSE</t>
  </si>
  <si>
    <t xml:space="preserve">WP Schedule 22 </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</si>
  <si>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</si>
  <si>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</si>
  <si>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</si>
  <si>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</si>
  <si>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</si>
  <si>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</si>
  <si>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</si>
  <si>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</si>
  <si>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</si>
  <si>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</si>
  <si>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</si>
  <si>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</si>
  <si>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</si>
  <si>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</si>
  <si>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</si>
  <si>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</si>
  <si>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</si>
  <si>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</si>
  <si>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</si>
  <si>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</si>
  <si>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</si>
  <si>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</si>
  <si>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</si>
  <si>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</si>
  <si>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</si>
  <si>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</si>
  <si>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</si>
  <si>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</si>
  <si>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</si>
  <si>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</si>
  <si>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</si>
  <si>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</si>
  <si>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</si>
  <si>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</si>
  <si>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</si>
  <si>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</si>
  <si>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</si>
  <si>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</si>
  <si>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</si>
  <si>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</si>
  <si>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</si>
  <si>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</si>
  <si>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</si>
  <si>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</si>
  <si>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</si>
  <si>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</si>
  <si>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</si>
  <si>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</si>
  <si>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</si>
  <si>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</si>
  <si>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</si>
  <si>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</si>
  <si>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</si>
  <si>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</si>
  <si>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</si>
  <si>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</si>
  <si>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</si>
  <si>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</si>
  <si>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</si>
  <si>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</si>
  <si>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</si>
  <si>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</si>
  <si>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</si>
  <si>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</si>
  <si>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</si>
  <si>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Riverside:</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</si>
  <si>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</si>
  <si>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</si>
  <si>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</si>
  <si>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</si>
  <si>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</si>
  <si>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</si>
  <si>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</si>
  <si>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</si>
  <si>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</si>
  <si>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</si>
  <si>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</si>
  <si>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</si>
  <si>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</si>
  <si>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</si>
  <si>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</si>
  <si>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</si>
  <si>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</si>
  <si>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</si>
  <si>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</si>
  <si>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</si>
  <si>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</si>
  <si>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</si>
  <si>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</si>
  <si>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</si>
  <si>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</si>
  <si>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</si>
  <si>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2) Contribution to the True Up TRR</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</si>
  <si>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</si>
  <si>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</si>
  <si>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</si>
  <si>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</si>
  <si>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</si>
  <si>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</si>
  <si>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</si>
  <si>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</si>
  <si>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</si>
  <si>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</si>
  <si>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</si>
  <si>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</si>
  <si>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</si>
  <si>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</si>
  <si>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</si>
  <si>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</si>
  <si>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</si>
  <si>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</si>
  <si>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c) Individual CWIP Project Contribution to the Wholesale Base TRR</t>
  </si>
  <si>
    <t>FF</t>
  </si>
  <si>
    <t>6) Same as Note 5 except no Uncollectibles Expense in Column 3.</t>
  </si>
  <si>
    <t>Calculation of Wholesale Difference to the Base TRR</t>
  </si>
  <si>
    <t>WP Schedule 25 Wholesale Difference</t>
  </si>
  <si>
    <t xml:space="preserve">The Wholesale Difference to the Base TRR represents the amount by which the Wholesale Base TRR differs as </t>
  </si>
  <si>
    <t>compared to the Retail Base TRR.  This difference is attributable to differences in the following six items,</t>
  </si>
  <si>
    <r>
      <t xml:space="preserve">as approved by Commission Order 86 FERC </t>
    </r>
    <r>
      <rPr>
        <sz val="10"/>
        <color theme="1"/>
        <rFont val="Calibri"/>
        <family val="2"/>
      </rPr>
      <t>¶</t>
    </r>
    <r>
      <rPr>
        <sz val="10"/>
        <color theme="1"/>
        <rFont val="Arial"/>
        <family val="2"/>
      </rPr>
      <t xml:space="preserve"> 63,014 in Docket No. ER97-2355.</t>
    </r>
  </si>
  <si>
    <t>These six items may affect the Base TRR by affecting Rate Base, or affecting an annual expense (amortization).</t>
  </si>
  <si>
    <t>If the annual amortization affects Income Taxes, there is an additional annual Income Tax Effect.  The table</t>
  </si>
  <si>
    <t>summarizes these impacts for each item:</t>
  </si>
  <si>
    <t xml:space="preserve">Expense </t>
  </si>
  <si>
    <t>(Amortization)</t>
  </si>
  <si>
    <t>Difference</t>
  </si>
  <si>
    <t>Tax Impact</t>
  </si>
  <si>
    <t>a) Depreciation</t>
  </si>
  <si>
    <t>b) Taxes Deferred -Make Up Adjustment (South Georgia)</t>
  </si>
  <si>
    <t>c) Excess Deferred Taxes</t>
  </si>
  <si>
    <t>d) Taxes Deferred - Acct. 282 ACRS/MACRS</t>
  </si>
  <si>
    <t>e) Uncollectibles Expense</t>
  </si>
  <si>
    <t>f) EPRI and EEI Dues</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</si>
  <si>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</si>
  <si>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</si>
  <si>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t>
  </si>
  <si>
    <t>with the Initial Prior Year 2010 Rate Base differences and annual changes as follows:</t>
  </si>
  <si>
    <t>2010 Rate Base</t>
  </si>
  <si>
    <t>(Wholesale</t>
  </si>
  <si>
    <t>Change</t>
  </si>
  <si>
    <t>less Retail)</t>
  </si>
  <si>
    <t>1) Accumulated Depreciation</t>
  </si>
  <si>
    <t>Fixed values</t>
  </si>
  <si>
    <t>2) Taxes Deferred - Make Up Adjustment</t>
  </si>
  <si>
    <t>3) Excess Deferred Taxes</t>
  </si>
  <si>
    <t>4) Taxes Deferred - Acct. 282 ACRS/MACRS</t>
  </si>
  <si>
    <t>b) Quantification of the Wholesale Rate Base Adjustment</t>
  </si>
  <si>
    <t>The Wholesale Rate Base Adjustment represents the impact on the Wholesale Base TRR relative to the Retail Base TRR of</t>
  </si>
  <si>
    <t>the Wholesale Rate Base Difference for the Prior Year.</t>
  </si>
  <si>
    <t>Notes/Instructions</t>
  </si>
  <si>
    <t>Fixed Charge Rate</t>
  </si>
  <si>
    <t>Wholesale Rate Base Difference for Prior Year</t>
  </si>
  <si>
    <t>Wholesale Rate Base Adjustment</t>
  </si>
  <si>
    <t>2) Calculation of Wholesale Expense Difference</t>
  </si>
  <si>
    <t>It represents the effect on expenses (Wholesale less Retail) of amortizing the associated balances each year.</t>
  </si>
  <si>
    <t>If an annual amortization amount affects Income Taxes, the expense difference must be grossed up for income taxes.</t>
  </si>
  <si>
    <t>a) Calculation of the Wholesale South Georgia Income Tax Adjustment to the TRR</t>
  </si>
  <si>
    <t>South Georgia Amortization</t>
  </si>
  <si>
    <t>Composite Tax Rate ("CTR")</t>
  </si>
  <si>
    <t>Tax Gross Up Factor</t>
  </si>
  <si>
    <t>(1/(1-CTR))</t>
  </si>
  <si>
    <t>Wholesale South Georgia</t>
  </si>
  <si>
    <t>Income Tax Adjustment to the TRR:</t>
  </si>
  <si>
    <t>b) Calculation of "Excess Deferred Taxes" Grossed Up for Income Taxes</t>
  </si>
  <si>
    <t>Annual Amort. of "Excess Deferred Taxes":</t>
  </si>
  <si>
    <t>Excess Deferred Taxes Grossed Up for Income Taxes:</t>
  </si>
  <si>
    <t>c) Calculation of EPRI and EEI Dues Exclusion</t>
  </si>
  <si>
    <t>EPRI Dues</t>
  </si>
  <si>
    <t>EEI Dues</t>
  </si>
  <si>
    <t>Sum of EPRI and EEI Dues</t>
  </si>
  <si>
    <t>EPRI and EEI Dues Exclusion</t>
  </si>
  <si>
    <t>d) Total Expense Difference</t>
  </si>
  <si>
    <t>1) Wholesale Depreciation Difference</t>
  </si>
  <si>
    <t>5) EPRI and EEI Dues Exclusion</t>
  </si>
  <si>
    <t>6) Additional Expense Difference</t>
  </si>
  <si>
    <t>Total Expense Difference:</t>
  </si>
  <si>
    <t>3) Calculation of the Wholesale Difference to the Base TRR</t>
  </si>
  <si>
    <t>Expense Difference</t>
  </si>
  <si>
    <t>Uncollectibles Expense -- Prior Year TRR</t>
  </si>
  <si>
    <t>Uncollectibles Expense -- IFPTRR</t>
  </si>
  <si>
    <t>Subtotal:</t>
  </si>
  <si>
    <t>Franchise Fee Exclusion</t>
  </si>
  <si>
    <t>Wholesale Difference to the Base TRR:</t>
  </si>
  <si>
    <t>Notes/Instructions:</t>
  </si>
  <si>
    <t>1) Fixed Charge Rate of capital and income tax costs associated with $1 of Rate Base</t>
  </si>
  <si>
    <t>is defined elsewhere in this formula as "AFCRCWIP".</t>
  </si>
  <si>
    <t xml:space="preserve">5) Only exclude if not already excluded in Schedule 20.  </t>
  </si>
  <si>
    <t>6) If appropriate, additional expenses may be excluded from the Wholesale Base TRR</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</si>
  <si>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</si>
  <si>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</si>
  <si>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</si>
  <si>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</si>
  <si>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</si>
  <si>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</si>
  <si>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</si>
  <si>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</si>
  <si>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</si>
  <si>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</si>
  <si>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</si>
  <si>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</si>
  <si>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2) California State Source Statue:</t>
  </si>
  <si>
    <t>3) Capitalization Rate approved in:</t>
  </si>
  <si>
    <t>For the following Prior Years: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</si>
  <si>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</si>
  <si>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</si>
  <si>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</si>
  <si>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</si>
  <si>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</si>
  <si>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</si>
  <si>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</si>
  <si>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</si>
  <si>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</si>
  <si>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</si>
  <si>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WP Schedule 27 ISO Allocators</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</si>
  <si>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</si>
  <si>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</si>
  <si>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</si>
  <si>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</si>
  <si>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</si>
  <si>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</si>
  <si>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</si>
  <si>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</si>
  <si>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</si>
  <si>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</si>
  <si>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</si>
  <si>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</si>
  <si>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Transmission Plant - ISO</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</si>
  <si>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</si>
  <si>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</si>
  <si>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</si>
  <si>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</si>
  <si>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</si>
  <si>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</si>
  <si>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</si>
  <si>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</si>
  <si>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</si>
  <si>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</si>
  <si>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</si>
  <si>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</si>
  <si>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</si>
  <si>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</si>
  <si>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</si>
  <si>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</si>
  <si>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</si>
  <si>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</si>
  <si>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</si>
  <si>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</si>
  <si>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</si>
  <si>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</si>
  <si>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</si>
  <si>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</si>
  <si>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</si>
  <si>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</si>
  <si>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</si>
  <si>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</si>
  <si>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</si>
  <si>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</si>
  <si>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</si>
  <si>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</si>
  <si>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</si>
  <si>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</si>
  <si>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</si>
  <si>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WP Schedule 28 FFU</t>
  </si>
  <si>
    <t>1) Approved Franchise Fee Factor(s)</t>
  </si>
  <si>
    <t xml:space="preserve">Days in </t>
  </si>
  <si>
    <t>FF Factor</t>
  </si>
  <si>
    <t>Present</t>
  </si>
  <si>
    <t>2) Approved Uncollectibles Expense Factor(s)</t>
  </si>
  <si>
    <t>U Factor</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</si>
  <si>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</si>
  <si>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</si>
  <si>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</si>
  <si>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</si>
  <si>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</si>
  <si>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</si>
  <si>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</si>
  <si>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</si>
  <si>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</si>
  <si>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</si>
  <si>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</si>
  <si>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</si>
  <si>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</si>
  <si>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</si>
  <si>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</si>
  <si>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</si>
  <si>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</si>
  <si>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</si>
  <si>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</si>
  <si>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</si>
  <si>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</si>
  <si>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</si>
  <si>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</si>
  <si>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</si>
  <si>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</si>
  <si>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</si>
  <si>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</si>
  <si>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</si>
  <si>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</si>
  <si>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</si>
  <si>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</si>
  <si>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</si>
  <si>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</si>
  <si>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</si>
  <si>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</si>
  <si>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</si>
  <si>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</si>
  <si>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</si>
  <si>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</si>
  <si>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</si>
  <si>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</si>
  <si>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</si>
  <si>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</si>
  <si>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</si>
  <si>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</si>
  <si>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</si>
  <si>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</si>
  <si>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</si>
  <si>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</si>
  <si>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</si>
  <si>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</si>
  <si>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</si>
  <si>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</si>
  <si>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</si>
  <si>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</si>
  <si>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</si>
  <si>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</si>
  <si>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</si>
  <si>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</si>
  <si>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</si>
  <si>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</si>
  <si>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</si>
  <si>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</si>
  <si>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</si>
  <si>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</si>
  <si>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</si>
  <si>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</si>
  <si>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</si>
  <si>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</si>
  <si>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</si>
  <si>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</si>
  <si>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</si>
  <si>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</si>
  <si>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</si>
  <si>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</si>
  <si>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</si>
  <si>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</si>
  <si>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</si>
  <si>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</si>
  <si>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</si>
  <si>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</si>
  <si>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</si>
  <si>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</si>
  <si>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</si>
  <si>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</si>
  <si>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</si>
  <si>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</si>
  <si>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</si>
  <si>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</si>
  <si>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</si>
  <si>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</si>
  <si>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</si>
  <si>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</si>
  <si>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</si>
  <si>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</si>
  <si>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</si>
  <si>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</si>
  <si>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</si>
  <si>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</si>
  <si>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</si>
  <si>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</si>
  <si>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</si>
  <si>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</si>
  <si>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</si>
  <si>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</si>
  <si>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</si>
  <si>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</si>
  <si>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</si>
  <si>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</si>
  <si>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WP Schedule 32 Load &amp; Pump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</si>
  <si>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</si>
  <si>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</si>
  <si>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</si>
  <si>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</si>
  <si>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</si>
  <si>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</si>
  <si>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</si>
  <si>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</si>
  <si>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</si>
  <si>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</si>
  <si>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</si>
  <si>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</si>
  <si>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</si>
  <si>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</si>
  <si>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Note 7</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</si>
  <si>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</si>
  <si>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</si>
  <si>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</si>
  <si>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</si>
  <si>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</si>
  <si>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</si>
  <si>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</si>
  <si>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</si>
  <si>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</si>
  <si>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</si>
  <si>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</si>
  <si>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</si>
  <si>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</si>
  <si>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</si>
  <si>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</si>
  <si>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</si>
  <si>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</si>
  <si>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</si>
  <si>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</si>
  <si>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</si>
  <si>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</si>
  <si>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</si>
  <si>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</si>
  <si>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</si>
  <si>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r>
      <t>1b</t>
    </r>
    <r>
      <rPr>
        <b/>
        <vertAlign val="subscript"/>
        <sz val="10"/>
        <rFont val="Arial"/>
        <family val="2"/>
      </rPr>
      <t>2</t>
    </r>
  </si>
  <si>
    <t>Notes 9,10</t>
  </si>
  <si>
    <t>1c</t>
  </si>
  <si>
    <t>1d</t>
  </si>
  <si>
    <t>1e</t>
  </si>
  <si>
    <t>1f</t>
  </si>
  <si>
    <t>1g</t>
  </si>
  <si>
    <t>1h</t>
  </si>
  <si>
    <t>1i</t>
  </si>
  <si>
    <t>1j</t>
  </si>
  <si>
    <t>1k</t>
  </si>
  <si>
    <t>1l</t>
  </si>
  <si>
    <t>1m</t>
  </si>
  <si>
    <t>1n</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</si>
  <si>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</si>
  <si>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</si>
  <si>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</si>
  <si>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</si>
  <si>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</si>
  <si>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</si>
  <si>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</si>
  <si>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</si>
  <si>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</si>
  <si>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</si>
  <si>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</si>
  <si>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</si>
  <si>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</si>
  <si>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</si>
  <si>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</si>
  <si>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</si>
  <si>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</si>
  <si>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</si>
  <si>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</si>
  <si>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</si>
  <si>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</si>
  <si>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</si>
  <si>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</si>
  <si>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</si>
  <si>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</si>
  <si>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</si>
  <si>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</si>
  <si>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</si>
  <si>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</si>
  <si>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</si>
  <si>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</si>
  <si>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</si>
  <si>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</si>
  <si>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</si>
  <si>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</si>
  <si>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</si>
  <si>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</si>
  <si>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</si>
  <si>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</si>
  <si>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</si>
  <si>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</si>
  <si>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</si>
  <si>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</si>
  <si>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</si>
  <si>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</si>
  <si>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</si>
  <si>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</si>
  <si>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</si>
  <si>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</si>
  <si>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</si>
  <si>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</si>
  <si>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</si>
  <si>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</si>
  <si>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</si>
  <si>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</si>
  <si>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</si>
  <si>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</si>
  <si>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</si>
  <si>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</si>
  <si>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</si>
  <si>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</si>
  <si>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</si>
  <si>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</si>
  <si>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</si>
  <si>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</si>
  <si>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</si>
  <si>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</si>
  <si>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</si>
  <si>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</si>
  <si>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</si>
  <si>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</si>
  <si>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</si>
  <si>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</si>
  <si>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</si>
  <si>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</si>
  <si>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</si>
  <si>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</si>
  <si>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</si>
  <si>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</si>
  <si>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26b</t>
  </si>
  <si>
    <t>26c</t>
  </si>
  <si>
    <t>26d</t>
  </si>
  <si>
    <t>26e</t>
  </si>
  <si>
    <t>26f</t>
  </si>
  <si>
    <t>26g</t>
  </si>
  <si>
    <t>26h</t>
  </si>
  <si>
    <t>26i</t>
  </si>
  <si>
    <t>26j</t>
  </si>
  <si>
    <t>26k</t>
  </si>
  <si>
    <t>26l</t>
  </si>
  <si>
    <t>26m</t>
  </si>
  <si>
    <t>26n</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</si>
  <si>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</si>
  <si>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</si>
  <si>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</si>
  <si>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</si>
  <si>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</si>
  <si>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</si>
  <si>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</si>
  <si>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</si>
  <si>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</si>
  <si>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</si>
  <si>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</si>
  <si>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</si>
  <si>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</si>
  <si>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</si>
  <si>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</si>
  <si>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</si>
  <si>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</si>
  <si>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35a</t>
  </si>
  <si>
    <t>35b</t>
  </si>
  <si>
    <t>35c</t>
  </si>
  <si>
    <t>35d</t>
  </si>
  <si>
    <t>35e</t>
  </si>
  <si>
    <t>35f</t>
  </si>
  <si>
    <t>35g</t>
  </si>
  <si>
    <t>35h</t>
  </si>
  <si>
    <t>35i</t>
  </si>
  <si>
    <t>35j</t>
  </si>
  <si>
    <t>35k</t>
  </si>
  <si>
    <t>35l</t>
  </si>
  <si>
    <t>35m</t>
  </si>
  <si>
    <t>35n</t>
  </si>
  <si>
    <t>35o</t>
  </si>
  <si>
    <t>Determination of Unfunded Reserves</t>
  </si>
  <si>
    <t>WP Schedule 34 Unfunded Reserve and Wildfire</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</si>
  <si>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</si>
  <si>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</si>
  <si>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</si>
  <si>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</si>
  <si>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</si>
  <si>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</si>
  <si>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</si>
  <si>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</si>
  <si>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</si>
  <si>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</si>
  <si>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</si>
  <si>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</si>
  <si>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</si>
  <si>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</si>
  <si>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</si>
  <si>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 and Note 2</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</si>
  <si>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</si>
  <si>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</si>
  <si>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</si>
  <si>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</si>
  <si>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</si>
  <si>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</si>
  <si>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</si>
  <si>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</si>
  <si>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</si>
  <si>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</si>
  <si>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</si>
  <si>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</si>
  <si>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</si>
  <si>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</si>
  <si>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</si>
  <si>
    <t>2) No Unfunded Reserve shall be included in Schedule 34 associated with any wildfire other than the 2017/18 Wildfire/Mudslide Events.</t>
  </si>
  <si>
    <t>Associated costs for other wildfire events are reflected in Schedule 20 "A&amp;G" and recovered on a cash basis (see Instruction 6 of Schedule 20).</t>
  </si>
  <si>
    <t>Sum of Amounts on Line 75</t>
  </si>
  <si>
    <t xml:space="preserve">9-ADIT-2, Line 500, Column 11 </t>
  </si>
  <si>
    <t>Beginning Deficient ADIT - FERC Acct 182.3</t>
  </si>
  <si>
    <t xml:space="preserve">   Beginning (Excess) ADIT - FERC Acct 254</t>
  </si>
  <si>
    <t>Other (Excess) ADIT Adjustments to FERC Acct 254</t>
  </si>
  <si>
    <t>Amortization of (Excess) ADIT to FERC Acct 411.1</t>
  </si>
  <si>
    <r>
      <t>Net (Excess) Deficient ADIT  at Prior</t>
    </r>
    <r>
      <rPr>
        <b/>
        <strike/>
        <sz val="10"/>
        <rFont val="Arial"/>
        <family val="2"/>
      </rPr>
      <t xml:space="preserve"> </t>
    </r>
    <r>
      <rPr>
        <b/>
        <sz val="10"/>
        <rFont val="Arial"/>
        <family val="2"/>
      </rPr>
      <t>Tax Rate</t>
    </r>
  </si>
  <si>
    <t>Ending Deficient ADIT - FERC Acct 182.3</t>
  </si>
  <si>
    <t>Ending (Excess) ADIT - FERC Acct 254</t>
  </si>
  <si>
    <t>FERC Form 1 Location:</t>
  </si>
  <si>
    <t xml:space="preserve">6) Reference - Line 400, Column 10: </t>
  </si>
  <si>
    <t>FERC Account 182.3</t>
  </si>
  <si>
    <t xml:space="preserve">    Reference - Line 601, Column 10: </t>
  </si>
  <si>
    <t xml:space="preserve">7) Reference - Line 400, Column 11: </t>
  </si>
  <si>
    <t>FERC Account 254</t>
  </si>
  <si>
    <t xml:space="preserve">    Reference - Line 601, Column 11: </t>
  </si>
  <si>
    <t>8) The tax gross-up amounts on Line 601 are excluded from rate base.</t>
  </si>
  <si>
    <t>Tax Gross-Up Percent (CTR/(1-CTR))</t>
  </si>
  <si>
    <t>Tax Gross-Up Amt (Line 400 x Line 600)</t>
  </si>
  <si>
    <t>(Note 8)</t>
  </si>
  <si>
    <t>ADIT, (Excess) ADIT and Deficient ADIT at Prior Tax Rate</t>
  </si>
  <si>
    <t>ADIT Balance at New Tax Rate</t>
  </si>
  <si>
    <t>Net (Excess) Deficient ADIT at Prior Tax Rate</t>
  </si>
  <si>
    <t>Adjustment for New Tax Rate to FERC Acct. 254/182.3</t>
  </si>
  <si>
    <t>New Tax Rate Adjustment Calculation</t>
  </si>
  <si>
    <t>1) Amounts in Columns 3 and 4 reflect the allocated portion of the company's total accumulated book-to-tax adjustments and related ADIT, (Excess) ADIT,</t>
  </si>
  <si>
    <t>and to non-property related costs based on their respective Allocation Factors ("Transmission Wages and Salary Allocation Factor" and "Transmission Plant</t>
  </si>
  <si>
    <t>and Deficient ADIT to property-related transmission costs based on the Plant Study performed consistent with Section 9 of Attachment 1 to Appendix IX,</t>
  </si>
  <si>
    <r>
      <rPr>
        <u/>
        <sz val="10"/>
        <rFont val="Arial"/>
        <family val="2"/>
      </rPr>
      <t>5</t>
    </r>
    <r>
      <rPr>
        <sz val="10"/>
        <rFont val="Arial"/>
        <family val="2"/>
      </rPr>
      <t xml:space="preserve">) The Cost Adjustment component may be included as provided in the Tariff protocols. </t>
    </r>
  </si>
  <si>
    <t>= C4 + C8 + C8a</t>
  </si>
  <si>
    <t>Amortization of Deficient ADIT to FERC Acct 410.1</t>
  </si>
  <si>
    <t xml:space="preserve">Allocation Factor") from Schedule 27 ("Allocations and Methodology") as reflected in 9-ADIT-1, Columns 5 and 6 and as described in Column 7 and Instructions 1 &amp; 2. </t>
  </si>
  <si>
    <t>Net (Excess) Deficient ADIT at New Tax Rate</t>
  </si>
  <si>
    <t>TO2022, Docket No. ER19-1553</t>
  </si>
  <si>
    <t>Jan 2021</t>
  </si>
  <si>
    <t>Feb 2021</t>
  </si>
  <si>
    <t>Mar 2021</t>
  </si>
  <si>
    <t>Apr 2021</t>
  </si>
  <si>
    <t>May 2021</t>
  </si>
  <si>
    <t>Jun 2021</t>
  </si>
  <si>
    <t>Jul 2021</t>
  </si>
  <si>
    <t>Aug 2021</t>
  </si>
  <si>
    <t>Sep 2021</t>
  </si>
  <si>
    <t>Oct 2021</t>
  </si>
  <si>
    <t>Nov 2021</t>
  </si>
  <si>
    <t>Dec 2021</t>
  </si>
  <si>
    <t>Docket No. ER22-1446</t>
  </si>
  <si>
    <t xml:space="preserve"> Attachment 2 to Appendix IX</t>
  </si>
  <si>
    <t>Formula Rate Spreadsheet</t>
  </si>
  <si>
    <t xml:space="preserve">TO2023 Draft Annual Update </t>
  </si>
  <si>
    <t xml:space="preserve">(2) </t>
  </si>
  <si>
    <t xml:space="preserve">(3) </t>
  </si>
  <si>
    <t xml:space="preserve">2022 TRBAA </t>
  </si>
  <si>
    <t xml:space="preserve"> ER22-308</t>
  </si>
  <si>
    <t>FF1 263, Row 6, Column l</t>
  </si>
  <si>
    <t>FF1 263, Row 5, Column l</t>
  </si>
  <si>
    <t>FF1 263, Row 7, Column l</t>
  </si>
  <si>
    <t>FF1 263, Row 18, Column l</t>
  </si>
  <si>
    <t>FF1 263, Row 8, Column l</t>
  </si>
  <si>
    <t>FF1 263, Row 23, Column l</t>
  </si>
  <si>
    <t>FF1 263, Row 22, Column l</t>
  </si>
  <si>
    <t>FF1 263, Rows 34-42, Column l</t>
  </si>
  <si>
    <t>SCE records</t>
  </si>
  <si>
    <t>Internal Revenue Code § 11.b</t>
  </si>
  <si>
    <t>California Rev. &amp; Tax. Cd. § 23151</t>
  </si>
  <si>
    <t>D21-08-036</t>
  </si>
  <si>
    <t>2021-2024</t>
  </si>
  <si>
    <t>Amort of Debt Issurance Cost</t>
  </si>
  <si>
    <t>C: Relates primarily to Regulated Electric Property</t>
  </si>
  <si>
    <t>C: Relates to employees in all functions</t>
  </si>
  <si>
    <t>Executive Incentive Plan</t>
  </si>
  <si>
    <t>Ins - Inj/Damage Prov</t>
  </si>
  <si>
    <t>Wildfire Reserve - Pre 2019</t>
  </si>
  <si>
    <t>Wildfire Reserve - Post 2018</t>
  </si>
  <si>
    <t>Follows tax treatment</t>
  </si>
  <si>
    <t>Decommissioning</t>
  </si>
  <si>
    <t>Relates to Nuclear Decommissioning Costs</t>
  </si>
  <si>
    <t>Balancing Accounts</t>
  </si>
  <si>
    <t>Relates Entirely to CPUC Balancing Account Recovery</t>
  </si>
  <si>
    <t>Property/Non-ISO</t>
  </si>
  <si>
    <t>Non-Rate Base Property</t>
  </si>
  <si>
    <t>Regulatory Assets/Liab</t>
  </si>
  <si>
    <t xml:space="preserve">Relates to Nonrecovery Balancing Account  </t>
  </si>
  <si>
    <t>Temp-Other/Non-ISO</t>
  </si>
  <si>
    <t>Not Component of Rate Base</t>
  </si>
  <si>
    <t>Net Operating Loss DTA</t>
  </si>
  <si>
    <t xml:space="preserve">NOL/DTA </t>
  </si>
  <si>
    <t>Temp - Other/Non-ISO - Gas</t>
  </si>
  <si>
    <t>Other Non-ISO Related Costs</t>
  </si>
  <si>
    <t>Temp - Other/Non-ISO - Other</t>
  </si>
  <si>
    <t>Property/Non-ISO - Gas</t>
  </si>
  <si>
    <t>Property/Non-ISO - Other</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</si>
  <si>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</si>
  <si>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</si>
  <si>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</si>
  <si>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</si>
  <si>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</si>
  <si>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</si>
  <si>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</si>
  <si>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Gas Related Costs</t>
  </si>
  <si>
    <t>Ad Valorem Lien Date Adj-Electric</t>
  </si>
  <si>
    <t>Relates Entirely to CPUC Regulated Property</t>
  </si>
  <si>
    <t>Relates Entirely to FERC Regulated Electric Property</t>
  </si>
  <si>
    <t>C: Relates to Regulated Electric Property</t>
  </si>
  <si>
    <t>Temp - Other/Non-ISO</t>
  </si>
  <si>
    <t>Balancing Accounts - Gas</t>
  </si>
  <si>
    <t>FF1 232, Line 67</t>
  </si>
  <si>
    <t>FF1 232, Line 68</t>
  </si>
  <si>
    <t>FF1 278, Line 35</t>
  </si>
  <si>
    <t>FF1 278, Line 36</t>
  </si>
  <si>
    <t>Series E 6.250%</t>
  </si>
  <si>
    <t>Series G 5.1%</t>
  </si>
  <si>
    <t>Series H 5.75%</t>
  </si>
  <si>
    <t>Series J 5.375%</t>
  </si>
  <si>
    <t>Series K 5.45%</t>
  </si>
  <si>
    <t>Series L 5.00%</t>
  </si>
  <si>
    <t>Series B</t>
  </si>
  <si>
    <t>Series C</t>
  </si>
  <si>
    <t>Series D</t>
  </si>
  <si>
    <t>Series F</t>
  </si>
  <si>
    <t>4.08%, 4.24%, 4.32%, and 4.78% Preferred Stock Series</t>
  </si>
  <si>
    <t>Series G - Pro Rata Issuance Costs</t>
  </si>
  <si>
    <t xml:space="preserve">Pro rata portion of unamortized issuance costs associated with redeemed portion to be amortized </t>
  </si>
  <si>
    <t>as part of Net Gain (Loss) From Purchase and Tender Offers.</t>
  </si>
  <si>
    <t>Rule 21 Supplemental Review Fee</t>
  </si>
  <si>
    <t>12kkk</t>
  </si>
  <si>
    <t>12lll</t>
  </si>
  <si>
    <t>12mmm</t>
  </si>
  <si>
    <t>12nnn</t>
  </si>
  <si>
    <t>12ooo</t>
  </si>
  <si>
    <t>12ppp</t>
  </si>
  <si>
    <t>Misc Electric Rev</t>
  </si>
  <si>
    <t>IC Serving&amp;Admin Rev</t>
  </si>
  <si>
    <t>SCEFinc Add Fac-FERC</t>
  </si>
  <si>
    <t>CusFinc IC Fac-FERC</t>
  </si>
  <si>
    <t>CusFinc IC Fac-CPUC</t>
  </si>
  <si>
    <t>SCEFinc IC Fac-FERC</t>
  </si>
  <si>
    <t>6,1</t>
  </si>
  <si>
    <t>15x</t>
  </si>
  <si>
    <t>4198915</t>
  </si>
  <si>
    <t>RSR - Etc  - Non-PTO</t>
  </si>
  <si>
    <t>CPUC D. 21-08-036</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</si>
  <si>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</si>
  <si>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</si>
  <si>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</si>
  <si>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</si>
  <si>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</si>
  <si>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</si>
  <si>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</si>
  <si>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</si>
  <si>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</si>
  <si>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</si>
  <si>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</si>
  <si>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</si>
  <si>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</si>
  <si>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</si>
  <si>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</si>
  <si>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</si>
  <si>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</si>
  <si>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</si>
  <si>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</si>
  <si>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</si>
  <si>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</si>
  <si>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</si>
  <si>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</si>
  <si>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</si>
  <si>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</si>
  <si>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</si>
  <si>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</si>
  <si>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</si>
  <si>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Schedule 28 - Workpaper Line 10</t>
  </si>
  <si>
    <t>Schedule 28 - Workpaper Line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</si>
</sst>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u/>
      <sz val="10"/>
      <color rgb="FFFF0000"/>
      <name val="Arial"/>
      <family val="2"/>
    </font>
    <font>
      <u/>
      <sz val="10"/>
      <color theme="1"/>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u/>
      <sz val="11"/>
      <color theme="1"/>
      <name val="Calibri"/>
      <family val="2"/>
      <scheme val="minor"/>
    </font>
    <font>
      <sz val="10"/>
      <color rgb="FF00B050"/>
      <name val="Arial"/>
      <family val="2"/>
    </font>
    <font>
      <sz val="10"/>
      <color rgb="FF00B050"/>
      <name val="Arial"/>
      <family val="2"/>
    </font>
    <font>
      <sz val="10"/>
      <name val="Calibri"/>
      <family val="2"/>
      <scheme val="minor"/>
    </font>
    <font>
      <b/>
      <strike/>
      <sz val="10"/>
      <name val="Arial"/>
      <family val="2"/>
    </font>
    <font>
      <u val="singleAccounting"/>
      <sz val="10"/>
      <color rgb="FFFF0000"/>
      <name val="Arial"/>
      <family val="2"/>
    </font>
    <font>
      <sz val="11"/>
      <name val="Calibri"/>
      <family val="2"/>
      <scheme val="minor"/>
    </font>
    <font>
      <b/>
      <sz val="10"/>
      <color theme="1"/>
      <name val="Times New Roman"/>
      <family val="1"/>
    </font>
    <font>
      <sz val="9"/>
      <color indexed="81"/>
      <name val="Tahoma"/>
      <family val="2"/>
    </font>
    <font>
      <b/>
      <sz val="9"/>
      <color indexed="81"/>
      <name val="Tahoma"/>
      <family val="2"/>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53897">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0" fillId="0" borderId="0"/>
    <xf numFmtId="9" fontId="21"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1" fillId="0" borderId="0"/>
    <xf numFmtId="0" fontId="72"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7" fillId="0" borderId="0" applyFont="0" applyFill="0" applyBorder="0" applyAlignment="0" applyProtection="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183" fontId="89" fillId="0" borderId="0" applyNumberFormat="0" applyFill="0" applyBorder="0" applyAlignment="0" applyProtection="0">
      <alignment vertical="top"/>
    </xf>
    <xf numFmtId="184" fontId="89" fillId="0" borderId="0" applyNumberFormat="0" applyFill="0" applyBorder="0" applyAlignment="0" applyProtection="0">
      <alignment vertical="top"/>
    </xf>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28" applyBorder="0">
      <alignment horizontal="left"/>
    </xf>
    <xf numFmtId="184" fontId="92" fillId="0" borderId="28"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3"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3" fillId="31" borderId="0" applyNumberFormat="0" applyBorder="0" applyAlignment="0" applyProtection="0"/>
    <xf numFmtId="0" fontId="38" fillId="76"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8" fillId="76"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48" borderId="0" applyNumberFormat="0" applyBorder="0" applyAlignment="0" applyProtection="0"/>
    <xf numFmtId="182" fontId="87"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3"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3" fillId="4" borderId="0" applyNumberFormat="0" applyBorder="0" applyAlignment="0" applyProtection="0"/>
    <xf numFmtId="0" fontId="38"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8"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87" fillId="52" borderId="0" applyNumberFormat="0" applyBorder="0" applyAlignment="0" applyProtection="0"/>
    <xf numFmtId="182" fontId="87"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3"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3" fillId="15" borderId="0" applyNumberFormat="0" applyBorder="0" applyAlignment="0" applyProtection="0"/>
    <xf numFmtId="0" fontId="38" fillId="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8" fillId="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87" fillId="56" borderId="0" applyNumberFormat="0" applyBorder="0" applyAlignment="0" applyProtection="0"/>
    <xf numFmtId="182" fontId="87"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3"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3" fillId="75" borderId="0" applyNumberFormat="0" applyBorder="0" applyAlignment="0" applyProtection="0"/>
    <xf numFmtId="0" fontId="38" fillId="77"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8" fillId="77"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87" fillId="60" borderId="0" applyNumberFormat="0" applyBorder="0" applyAlignment="0" applyProtection="0"/>
    <xf numFmtId="182" fontId="87"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3"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3" fillId="31" borderId="0" applyNumberFormat="0" applyBorder="0" applyAlignment="0" applyProtection="0"/>
    <xf numFmtId="0" fontId="38" fillId="78"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8" fillId="78"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64" borderId="0" applyNumberFormat="0" applyBorder="0" applyAlignment="0" applyProtection="0"/>
    <xf numFmtId="182" fontId="87"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3"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3" fillId="74" borderId="0" applyNumberFormat="0" applyBorder="0" applyAlignment="0" applyProtection="0"/>
    <xf numFmtId="0" fontId="38" fillId="7"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8" fillId="7"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87" fillId="68" borderId="0" applyNumberFormat="0" applyBorder="0" applyAlignment="0" applyProtection="0"/>
    <xf numFmtId="182" fontId="87"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7" fillId="53" borderId="0" applyNumberFormat="0" applyBorder="0" applyAlignment="0" applyProtection="0"/>
    <xf numFmtId="184" fontId="87"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7" fillId="57" borderId="0" applyNumberFormat="0" applyBorder="0" applyAlignment="0" applyProtection="0"/>
    <xf numFmtId="184" fontId="87"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7" fillId="61" borderId="0" applyNumberFormat="0" applyBorder="0" applyAlignment="0" applyProtection="0"/>
    <xf numFmtId="184" fontId="87"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7" fillId="65" borderId="0" applyNumberFormat="0" applyBorder="0" applyAlignment="0" applyProtection="0"/>
    <xf numFmtId="184" fontId="87"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29">
      <alignment horizontal="center" vertical="center"/>
    </xf>
    <xf numFmtId="189" fontId="88" fillId="95" borderId="29">
      <alignment horizontal="center" vertical="center"/>
    </xf>
    <xf numFmtId="188" fontId="22" fillId="95" borderId="29">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4" fillId="2"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2" fontId="95" fillId="20" borderId="0" applyNumberFormat="0" applyBorder="0" applyAlignment="0" applyProtection="0"/>
    <xf numFmtId="0"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7" fontId="96" fillId="13" borderId="0" applyNumberFormat="0" applyBorder="0" applyAlignment="0" applyProtection="0"/>
    <xf numFmtId="184" fontId="96" fillId="13" borderId="0" applyNumberFormat="0" applyBorder="0" applyAlignment="0" applyProtection="0"/>
    <xf numFmtId="184" fontId="78" fillId="39"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5" fillId="20"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95" fillId="20" borderId="0" applyNumberFormat="0" applyBorder="0" applyAlignment="0" applyProtection="0"/>
    <xf numFmtId="184" fontId="95" fillId="20" borderId="0" applyNumberFormat="0" applyBorder="0" applyAlignment="0" applyProtection="0"/>
    <xf numFmtId="184" fontId="95" fillId="20"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7" fontId="96" fillId="13"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6" fillId="13" borderId="0" applyNumberFormat="0" applyBorder="0" applyAlignment="0" applyProtection="0"/>
    <xf numFmtId="0"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0" fontId="96" fillId="13" borderId="0" applyNumberFormat="0" applyBorder="0" applyAlignment="0" applyProtection="0"/>
    <xf numFmtId="0"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2" fontId="78" fillId="39" borderId="0" applyNumberFormat="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7"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71" fontId="98" fillId="0" borderId="3" applyFont="0"/>
    <xf numFmtId="1" fontId="98" fillId="0" borderId="3"/>
    <xf numFmtId="9" fontId="99" fillId="0" borderId="28"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2" fillId="42" borderId="22" applyNumberFormat="0" applyAlignment="0" applyProtection="0"/>
    <xf numFmtId="0" fontId="100" fillId="75"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0" fontId="101" fillId="96" borderId="31" applyNumberFormat="0" applyAlignment="0" applyProtection="0"/>
    <xf numFmtId="184" fontId="101" fillId="96" borderId="31" applyNumberFormat="0" applyAlignment="0" applyProtection="0"/>
    <xf numFmtId="184" fontId="100" fillId="75" borderId="30" applyNumberFormat="0" applyAlignment="0" applyProtection="0"/>
    <xf numFmtId="182" fontId="101" fillId="96" borderId="31" applyNumberFormat="0" applyAlignment="0" applyProtection="0"/>
    <xf numFmtId="0"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1" fillId="96" borderId="31"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0" fillId="75"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82" fillId="42" borderId="22" applyNumberFormat="0" applyAlignment="0" applyProtection="0"/>
    <xf numFmtId="184" fontId="82" fillId="42" borderId="22" applyNumberFormat="0" applyAlignment="0" applyProtection="0"/>
    <xf numFmtId="0" fontId="101" fillId="96" borderId="31" applyNumberFormat="0" applyAlignment="0" applyProtection="0"/>
    <xf numFmtId="184" fontId="101" fillId="96" borderId="31" applyNumberFormat="0" applyAlignment="0" applyProtection="0"/>
    <xf numFmtId="184" fontId="82" fillId="42" borderId="22" applyNumberFormat="0" applyAlignment="0" applyProtection="0"/>
    <xf numFmtId="0"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5"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90" fontId="103" fillId="0" borderId="0" applyNumberFormat="0" applyFont="0" applyFill="0" applyBorder="0" applyProtection="0">
      <alignment horizontal="centerContinuous" wrapText="1"/>
    </xf>
    <xf numFmtId="191" fontId="21" fillId="0" borderId="0"/>
    <xf numFmtId="0" fontId="104" fillId="98"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2" fontId="104" fillId="90" borderId="32" applyNumberFormat="0" applyAlignment="0" applyProtection="0"/>
    <xf numFmtId="0"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90" borderId="32" applyNumberFormat="0" applyAlignment="0" applyProtection="0"/>
    <xf numFmtId="183" fontId="104" fillId="14" borderId="32" applyNumberFormat="0" applyAlignment="0" applyProtection="0"/>
    <xf numFmtId="184" fontId="104" fillId="14" borderId="32" applyNumberFormat="0" applyAlignment="0" applyProtection="0"/>
    <xf numFmtId="183" fontId="104" fillId="90" borderId="32" applyNumberFormat="0" applyAlignment="0" applyProtection="0"/>
    <xf numFmtId="184" fontId="104" fillId="90" borderId="32" applyNumberFormat="0" applyAlignment="0" applyProtection="0"/>
    <xf numFmtId="184" fontId="104" fillId="90"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7" fontId="104" fillId="14"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14" borderId="32" applyNumberFormat="0" applyAlignment="0" applyProtection="0"/>
    <xf numFmtId="0" fontId="104" fillId="98" borderId="32" applyNumberFormat="0" applyAlignment="0" applyProtection="0"/>
    <xf numFmtId="183" fontId="104" fillId="14" borderId="32" applyNumberFormat="0" applyAlignment="0" applyProtection="0"/>
    <xf numFmtId="184" fontId="104" fillId="14"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2" fontId="84" fillId="43" borderId="25"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5" fillId="0" borderId="0" applyNumberFormat="0" applyAlignment="0">
      <alignment horizontal="left"/>
    </xf>
    <xf numFmtId="0"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7"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92" fontId="98" fillId="0" borderId="3"/>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6" fillId="0" borderId="0" applyFont="0" applyFill="0" applyBorder="0" applyAlignment="0" applyProtection="0"/>
    <xf numFmtId="6" fontId="107"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8" fillId="0" borderId="0">
      <protection locked="0"/>
    </xf>
    <xf numFmtId="4" fontId="109"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10" fillId="0" borderId="0" applyNumberFormat="0" applyAlignment="0">
      <alignment horizontal="left"/>
    </xf>
    <xf numFmtId="0"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7"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7" fontId="112" fillId="0" borderId="0" applyNumberForma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184" fontId="112" fillId="0" borderId="0" applyNumberFormat="0" applyFill="0" applyBorder="0" applyAlignment="0" applyProtection="0"/>
    <xf numFmtId="0" fontId="111"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09"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3" fillId="0" borderId="0"/>
    <xf numFmtId="0" fontId="113" fillId="7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2" fontId="37" fillId="86" borderId="0" applyNumberFormat="0" applyBorder="0" applyAlignment="0" applyProtection="0"/>
    <xf numFmtId="0"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7" fontId="113" fillId="101" borderId="0" applyNumberFormat="0" applyBorder="0" applyAlignment="0" applyProtection="0"/>
    <xf numFmtId="184" fontId="113" fillId="101" borderId="0" applyNumberFormat="0" applyBorder="0" applyAlignment="0" applyProtection="0"/>
    <xf numFmtId="184" fontId="77" fillId="38"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37" fillId="86"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7" fontId="113" fillId="10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101" borderId="0" applyNumberFormat="0" applyBorder="0" applyAlignment="0" applyProtection="0"/>
    <xf numFmtId="0" fontId="113" fillId="7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2" fontId="77"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4" fillId="0" borderId="0" applyNumberFormat="0" applyFill="0" applyBorder="0" applyAlignment="0" applyProtection="0"/>
    <xf numFmtId="185"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7"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68" fillId="0" borderId="17" applyNumberFormat="0" applyAlignment="0" applyProtection="0">
      <alignment horizontal="left" vertical="center"/>
    </xf>
    <xf numFmtId="0"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7"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0" fontId="68" fillId="0" borderId="9">
      <alignment horizontal="left" vertical="center"/>
    </xf>
    <xf numFmtId="0"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115" fillId="0" borderId="33"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2" fontId="116" fillId="0" borderId="34" applyNumberFormat="0" applyFill="0" applyAlignment="0" applyProtection="0"/>
    <xf numFmtId="0"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7" fontId="116" fillId="0" borderId="34"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6" fillId="0" borderId="34" applyNumberFormat="0" applyFill="0" applyAlignment="0" applyProtection="0"/>
    <xf numFmtId="0" fontId="115" fillId="0" borderId="33"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2" fontId="74" fillId="0" borderId="1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2" fontId="118" fillId="0" borderId="36"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6"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7" fontId="118"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8" fillId="0" borderId="35" applyNumberFormat="0" applyFill="0" applyAlignment="0" applyProtection="0"/>
    <xf numFmtId="0" fontId="117"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2" fontId="120" fillId="0" borderId="38"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8"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7" fontId="120" fillId="0" borderId="39"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20" fillId="0" borderId="39" applyNumberFormat="0" applyFill="0" applyAlignment="0" applyProtection="0"/>
    <xf numFmtId="0" fontId="119" fillId="0" borderId="37"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2" fontId="120" fillId="0" borderId="0" applyNumberFormat="0" applyFill="0" applyBorder="0" applyAlignment="0" applyProtection="0"/>
    <xf numFmtId="0"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7" fontId="120"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20" fillId="0" borderId="0" applyNumberFormat="0" applyFill="0" applyBorder="0" applyAlignment="0" applyProtection="0"/>
    <xf numFmtId="0" fontId="119"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2" fontId="76"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1" fillId="0" borderId="40">
      <alignment horizontal="center"/>
    </xf>
    <xf numFmtId="0" fontId="121" fillId="0" borderId="40">
      <alignment horizontal="center"/>
    </xf>
    <xf numFmtId="183"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3" fontId="121" fillId="0" borderId="40">
      <alignment horizontal="center"/>
    </xf>
    <xf numFmtId="184" fontId="121" fillId="0" borderId="40">
      <alignment horizontal="center"/>
    </xf>
    <xf numFmtId="187" fontId="121" fillId="0" borderId="40">
      <alignment horizontal="center"/>
    </xf>
    <xf numFmtId="184" fontId="121" fillId="0" borderId="40">
      <alignment horizontal="center"/>
    </xf>
    <xf numFmtId="184" fontId="121" fillId="0" borderId="40">
      <alignment horizontal="center"/>
    </xf>
    <xf numFmtId="0" fontId="121" fillId="0" borderId="0">
      <alignment horizontal="center"/>
    </xf>
    <xf numFmtId="0" fontId="121" fillId="0" borderId="0">
      <alignment horizontal="center"/>
    </xf>
    <xf numFmtId="183"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3" fontId="121" fillId="0" borderId="0">
      <alignment horizontal="center"/>
    </xf>
    <xf numFmtId="184" fontId="121" fillId="0" borderId="0">
      <alignment horizontal="center"/>
    </xf>
    <xf numFmtId="187" fontId="121" fillId="0" borderId="0">
      <alignment horizontal="center"/>
    </xf>
    <xf numFmtId="184" fontId="121" fillId="0" borderId="0">
      <alignment horizontal="center"/>
    </xf>
    <xf numFmtId="184" fontId="121" fillId="0" borderId="0">
      <alignment horizontal="center"/>
    </xf>
    <xf numFmtId="0" fontId="109" fillId="0" borderId="0" applyProtection="0">
      <alignment horizontal="right"/>
    </xf>
    <xf numFmtId="0" fontId="109" fillId="0" borderId="0" applyProtection="0">
      <alignment horizontal="right"/>
    </xf>
    <xf numFmtId="183"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3" fontId="109" fillId="0" borderId="0" applyProtection="0">
      <alignment horizontal="right"/>
    </xf>
    <xf numFmtId="184" fontId="109" fillId="0" borderId="0" applyProtection="0">
      <alignment horizontal="right"/>
    </xf>
    <xf numFmtId="187" fontId="109" fillId="0" borderId="0" applyProtection="0">
      <alignment horizontal="right"/>
    </xf>
    <xf numFmtId="184" fontId="109" fillId="0" borderId="0" applyProtection="0">
      <alignment horizontal="right"/>
    </xf>
    <xf numFmtId="184" fontId="109"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2" fillId="0" borderId="41" applyNumberFormat="0" applyFill="0" applyAlignment="0" applyProtection="0"/>
    <xf numFmtId="185" fontId="122" fillId="0" borderId="41" applyNumberFormat="0" applyFill="0" applyAlignment="0" applyProtection="0"/>
    <xf numFmtId="0"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5"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7"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3" fillId="0" borderId="0" applyFill="0" applyBorder="0" applyAlignment="0" applyProtection="0">
      <alignment horizontal="right"/>
    </xf>
    <xf numFmtId="184" fontId="123"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4" fontId="124" fillId="21" borderId="31" applyNumberFormat="0" applyAlignment="0" applyProtection="0"/>
    <xf numFmtId="184" fontId="125" fillId="74" borderId="30" applyNumberFormat="0" applyAlignment="0" applyProtection="0"/>
    <xf numFmtId="182" fontId="124" fillId="21" borderId="31"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7" fontId="80" fillId="41" borderId="22"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99" fontId="126"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7" fillId="0" borderId="42"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2" fontId="113" fillId="0" borderId="43" applyNumberFormat="0" applyFill="0" applyAlignment="0" applyProtection="0"/>
    <xf numFmtId="0"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13" fillId="0" borderId="43"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113" fillId="0" borderId="43" applyNumberFormat="0" applyFill="0" applyAlignment="0" applyProtection="0"/>
    <xf numFmtId="184" fontId="113" fillId="0" borderId="43" applyNumberFormat="0" applyFill="0" applyAlignment="0" applyProtection="0"/>
    <xf numFmtId="184" fontId="113" fillId="0" borderId="43"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7" fontId="128" fillId="0" borderId="44"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8" fillId="0" borderId="44" applyNumberFormat="0" applyFill="0" applyAlignment="0" applyProtection="0"/>
    <xf numFmtId="0" fontId="127" fillId="0" borderId="42"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2" fontId="83" fillId="0" borderId="24" applyNumberFormat="0" applyFill="0" applyAlignment="0" applyProtection="0"/>
    <xf numFmtId="183" fontId="129" fillId="103" borderId="0">
      <alignment horizontal="right"/>
    </xf>
    <xf numFmtId="184" fontId="129" fillId="103" borderId="0">
      <alignment horizontal="right"/>
    </xf>
    <xf numFmtId="17" fontId="130" fillId="0" borderId="0" applyFont="0" applyFill="0" applyBorder="0" applyAlignment="0" applyProtection="0">
      <alignment horizontal="centerContinuous"/>
      <protection locked="0"/>
    </xf>
    <xf numFmtId="0" fontId="131" fillId="25"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2" fontId="113"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7" fontId="131" fillId="21" borderId="0" applyNumberFormat="0" applyBorder="0" applyAlignment="0" applyProtection="0"/>
    <xf numFmtId="184" fontId="131" fillId="21" borderId="0" applyNumberFormat="0" applyBorder="0" applyAlignment="0" applyProtection="0"/>
    <xf numFmtId="184" fontId="79" fillId="40" borderId="0" applyNumberFormat="0" applyBorder="0" applyAlignment="0" applyProtection="0"/>
    <xf numFmtId="0"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13"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113" fillId="21" borderId="0" applyNumberFormat="0" applyBorder="0" applyAlignment="0" applyProtection="0"/>
    <xf numFmtId="184" fontId="113" fillId="21" borderId="0" applyNumberFormat="0" applyBorder="0" applyAlignment="0" applyProtection="0"/>
    <xf numFmtId="184" fontId="113" fillId="21"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7" fontId="79" fillId="40"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2" fontId="79" fillId="40" borderId="0" applyNumberFormat="0" applyBorder="0" applyAlignment="0" applyProtection="0"/>
    <xf numFmtId="37" fontId="132" fillId="0" borderId="0"/>
    <xf numFmtId="200" fontId="133"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4"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4" fillId="0" borderId="0"/>
    <xf numFmtId="183" fontId="134" fillId="0" borderId="0"/>
    <xf numFmtId="184" fontId="13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4" fillId="0" borderId="0"/>
    <xf numFmtId="185" fontId="134" fillId="0" borderId="0"/>
    <xf numFmtId="183" fontId="134" fillId="0" borderId="0"/>
    <xf numFmtId="183" fontId="134" fillId="0" borderId="0"/>
    <xf numFmtId="184" fontId="134" fillId="0" borderId="0"/>
    <xf numFmtId="0" fontId="5" fillId="0" borderId="0"/>
    <xf numFmtId="183" fontId="5" fillId="0" borderId="0"/>
    <xf numFmtId="184" fontId="5" fillId="0" borderId="0"/>
    <xf numFmtId="184" fontId="5" fillId="0" borderId="0"/>
    <xf numFmtId="184" fontId="134" fillId="0" borderId="0"/>
    <xf numFmtId="185" fontId="134" fillId="0" borderId="0"/>
    <xf numFmtId="183" fontId="134" fillId="0" borderId="0"/>
    <xf numFmtId="184" fontId="134" fillId="0" borderId="0"/>
    <xf numFmtId="184" fontId="13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4" fillId="0" borderId="0"/>
    <xf numFmtId="0" fontId="134" fillId="0" borderId="0"/>
    <xf numFmtId="183" fontId="134" fillId="0" borderId="0"/>
    <xf numFmtId="184" fontId="134" fillId="0" borderId="0"/>
    <xf numFmtId="184" fontId="134" fillId="0" borderId="0"/>
    <xf numFmtId="184" fontId="134"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7"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3" fillId="0" borderId="0"/>
    <xf numFmtId="0" fontId="23" fillId="104" borderId="0"/>
    <xf numFmtId="184" fontId="23" fillId="104" borderId="0"/>
    <xf numFmtId="184" fontId="53"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3" fillId="105" borderId="0" applyBorder="0" applyAlignment="0">
      <alignment horizontal="left"/>
    </xf>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0" fontId="5" fillId="44" borderId="26"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37"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1" fillId="26"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23" fillId="20" borderId="31"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37" fillId="26" borderId="45" applyNumberFormat="0" applyFont="0" applyAlignment="0" applyProtection="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5"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37" fillId="26" borderId="45"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0" fontId="37"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203" fontId="135" fillId="0" borderId="46" applyFont="0" applyFill="0" applyBorder="0" applyAlignment="0" applyProtection="0">
      <alignment horizontal="center"/>
      <protection locked="0"/>
    </xf>
    <xf numFmtId="203" fontId="135" fillId="0" borderId="46"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1" fillId="42" borderId="23" applyNumberFormat="0" applyAlignment="0" applyProtection="0"/>
    <xf numFmtId="0"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7"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75" borderId="47" applyNumberFormat="0" applyAlignment="0" applyProtection="0"/>
    <xf numFmtId="182" fontId="136" fillId="96" borderId="47" applyNumberFormat="0" applyAlignment="0" applyProtection="0"/>
    <xf numFmtId="0"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6"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5" fillId="0" borderId="0"/>
    <xf numFmtId="183" fontId="5" fillId="0" borderId="0"/>
    <xf numFmtId="184" fontId="5" fillId="0" borderId="0"/>
    <xf numFmtId="184" fontId="5" fillId="0" borderId="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75"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81" fillId="42" borderId="23" applyNumberFormat="0" applyAlignment="0" applyProtection="0"/>
    <xf numFmtId="184" fontId="81" fillId="42" borderId="23" applyNumberFormat="0" applyAlignment="0" applyProtection="0"/>
    <xf numFmtId="0" fontId="136" fillId="96" borderId="47" applyNumberFormat="0" applyAlignment="0" applyProtection="0"/>
    <xf numFmtId="184" fontId="136" fillId="96" borderId="47" applyNumberFormat="0" applyAlignment="0" applyProtection="0"/>
    <xf numFmtId="184" fontId="81" fillId="42" borderId="23" applyNumberFormat="0" applyAlignment="0" applyProtection="0"/>
    <xf numFmtId="10" fontId="137" fillId="0" borderId="48" applyFont="0" applyFill="0" applyBorder="0" applyAlignment="0" applyProtection="0">
      <alignment horizontal="center"/>
      <protection locked="0"/>
    </xf>
    <xf numFmtId="10" fontId="137" fillId="0" borderId="48"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8" fillId="0" borderId="0" applyFont="0" applyFill="0" applyBorder="0" applyProtection="0">
      <alignment horizontal="center"/>
    </xf>
    <xf numFmtId="190" fontId="138"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13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3" fillId="0" borderId="0" applyFont="0" applyAlignment="0">
      <alignment horizontal="center" wrapText="1"/>
    </xf>
    <xf numFmtId="9" fontId="33"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0" fillId="0" borderId="0" applyNumberFormat="0" applyFill="0" applyBorder="0" applyProtection="0">
      <alignment horizontal="right"/>
    </xf>
    <xf numFmtId="9" fontId="140"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1" fillId="106" borderId="0" applyNumberFormat="0" applyFont="0" applyBorder="0" applyAlignment="0">
      <alignment horizontal="center"/>
    </xf>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1" fillId="106" borderId="0" applyNumberFormat="0" applyFont="0" applyBorder="0" applyAlignment="0">
      <alignment horizontal="center"/>
    </xf>
    <xf numFmtId="184" fontId="141" fillId="106" borderId="0" applyNumberFormat="0" applyFont="0" applyBorder="0" applyAlignment="0">
      <alignment horizontal="center"/>
    </xf>
    <xf numFmtId="205" fontId="142" fillId="0" borderId="0" applyNumberFormat="0" applyFill="0" applyBorder="0" applyAlignment="0" applyProtection="0">
      <alignment horizontal="left"/>
    </xf>
    <xf numFmtId="205" fontId="142"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1" applyNumberFormat="0" applyProtection="0">
      <alignment vertical="center"/>
    </xf>
    <xf numFmtId="4" fontId="23" fillId="25" borderId="31" applyNumberFormat="0" applyProtection="0">
      <alignment vertical="center"/>
    </xf>
    <xf numFmtId="0" fontId="21" fillId="0" borderId="0"/>
    <xf numFmtId="184" fontId="21" fillId="0" borderId="0"/>
    <xf numFmtId="4" fontId="23" fillId="25" borderId="31" applyNumberFormat="0" applyProtection="0">
      <alignment vertical="center"/>
    </xf>
    <xf numFmtId="184" fontId="21" fillId="0" borderId="0"/>
    <xf numFmtId="4" fontId="42" fillId="25" borderId="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0" fontId="5" fillId="0" borderId="0"/>
    <xf numFmtId="183" fontId="5" fillId="0" borderId="0"/>
    <xf numFmtId="184" fontId="5" fillId="0" borderId="0"/>
    <xf numFmtId="184" fontId="5" fillId="0" borderId="0"/>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3" fillId="107" borderId="31" applyNumberFormat="0" applyProtection="0">
      <alignment vertical="center"/>
    </xf>
    <xf numFmtId="184" fontId="21" fillId="0" borderId="0"/>
    <xf numFmtId="4" fontId="44" fillId="25" borderId="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0" fontId="5" fillId="0" borderId="0"/>
    <xf numFmtId="183" fontId="5" fillId="0" borderId="0"/>
    <xf numFmtId="184" fontId="5" fillId="0" borderId="0"/>
    <xf numFmtId="184" fontId="5" fillId="0" borderId="0"/>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21" fillId="0" borderId="0"/>
    <xf numFmtId="184" fontId="21" fillId="0" borderId="0"/>
    <xf numFmtId="4" fontId="23" fillId="107" borderId="31" applyNumberFormat="0" applyProtection="0">
      <alignment horizontal="left" vertical="center" indent="1"/>
    </xf>
    <xf numFmtId="184" fontId="21" fillId="0" borderId="0"/>
    <xf numFmtId="4" fontId="42" fillId="25" borderId="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2" fillId="25" borderId="1" applyNumberFormat="0" applyProtection="0">
      <alignment horizontal="left" vertical="top" indent="1"/>
    </xf>
    <xf numFmtId="0" fontId="21" fillId="0" borderId="0"/>
    <xf numFmtId="184" fontId="21"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21" fillId="0" borderId="0"/>
    <xf numFmtId="182" fontId="144"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42"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21" fillId="0" borderId="0"/>
    <xf numFmtId="184" fontId="21" fillId="0" borderId="0"/>
    <xf numFmtId="4" fontId="23" fillId="2" borderId="31" applyNumberFormat="0" applyProtection="0">
      <alignment horizontal="right" vertical="center"/>
    </xf>
    <xf numFmtId="4" fontId="23" fillId="2" borderId="31" applyNumberFormat="0" applyProtection="0">
      <alignment horizontal="right" vertical="center"/>
    </xf>
    <xf numFmtId="0" fontId="21" fillId="0" borderId="0"/>
    <xf numFmtId="184" fontId="21" fillId="0" borderId="0"/>
    <xf numFmtId="4" fontId="23" fillId="2" borderId="31" applyNumberFormat="0" applyProtection="0">
      <alignment horizontal="right" vertical="center"/>
    </xf>
    <xf numFmtId="184" fontId="21" fillId="0" borderId="0"/>
    <xf numFmtId="4" fontId="40" fillId="2" borderId="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1" applyNumberFormat="0" applyProtection="0">
      <alignment horizontal="right" vertical="center"/>
    </xf>
    <xf numFmtId="4" fontId="23" fillId="108" borderId="31" applyNumberFormat="0" applyProtection="0">
      <alignment horizontal="right" vertical="center"/>
    </xf>
    <xf numFmtId="0" fontId="21" fillId="0" borderId="0"/>
    <xf numFmtId="184" fontId="21" fillId="0" borderId="0"/>
    <xf numFmtId="4" fontId="23" fillId="108" borderId="31" applyNumberFormat="0" applyProtection="0">
      <alignment horizontal="right" vertical="center"/>
    </xf>
    <xf numFmtId="184" fontId="21" fillId="0" borderId="0"/>
    <xf numFmtId="4" fontId="40" fillId="4" borderId="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0" applyNumberFormat="0" applyProtection="0">
      <alignment horizontal="right" vertical="center"/>
    </xf>
    <xf numFmtId="4" fontId="23" fillId="11" borderId="50" applyNumberFormat="0" applyProtection="0">
      <alignment horizontal="right" vertical="center"/>
    </xf>
    <xf numFmtId="0" fontId="21" fillId="0" borderId="0"/>
    <xf numFmtId="184" fontId="21" fillId="0" borderId="0"/>
    <xf numFmtId="184" fontId="21" fillId="0" borderId="0"/>
    <xf numFmtId="4" fontId="40" fillId="11" borderId="1"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1" applyNumberFormat="0" applyProtection="0">
      <alignment horizontal="right" vertical="center"/>
    </xf>
    <xf numFmtId="4" fontId="23" fillId="6" borderId="31" applyNumberFormat="0" applyProtection="0">
      <alignment horizontal="right" vertical="center"/>
    </xf>
    <xf numFmtId="0" fontId="21" fillId="0" borderId="0"/>
    <xf numFmtId="184" fontId="21" fillId="0" borderId="0"/>
    <xf numFmtId="4" fontId="23" fillId="6" borderId="31" applyNumberFormat="0" applyProtection="0">
      <alignment horizontal="right" vertical="center"/>
    </xf>
    <xf numFmtId="184" fontId="21" fillId="0" borderId="0"/>
    <xf numFmtId="4" fontId="40" fillId="6" borderId="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1" applyNumberFormat="0" applyProtection="0">
      <alignment horizontal="right" vertical="center"/>
    </xf>
    <xf numFmtId="4" fontId="23" fillId="7" borderId="31" applyNumberFormat="0" applyProtection="0">
      <alignment horizontal="right" vertical="center"/>
    </xf>
    <xf numFmtId="0" fontId="21" fillId="0" borderId="0"/>
    <xf numFmtId="184" fontId="21" fillId="0" borderId="0"/>
    <xf numFmtId="4" fontId="23" fillId="7" borderId="31" applyNumberFormat="0" applyProtection="0">
      <alignment horizontal="right" vertical="center"/>
    </xf>
    <xf numFmtId="184" fontId="21" fillId="0" borderId="0"/>
    <xf numFmtId="4" fontId="40" fillId="7" borderId="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1" applyNumberFormat="0" applyProtection="0">
      <alignment horizontal="right" vertical="center"/>
    </xf>
    <xf numFmtId="4" fontId="23" fillId="19" borderId="31" applyNumberFormat="0" applyProtection="0">
      <alignment horizontal="right" vertical="center"/>
    </xf>
    <xf numFmtId="0" fontId="21" fillId="0" borderId="0"/>
    <xf numFmtId="184" fontId="21" fillId="0" borderId="0"/>
    <xf numFmtId="4" fontId="23" fillId="19" borderId="31" applyNumberFormat="0" applyProtection="0">
      <alignment horizontal="right" vertical="center"/>
    </xf>
    <xf numFmtId="184" fontId="21" fillId="0" borderId="0"/>
    <xf numFmtId="4" fontId="40" fillId="19" borderId="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1" applyNumberFormat="0" applyProtection="0">
      <alignment horizontal="right" vertical="center"/>
    </xf>
    <xf numFmtId="4" fontId="23" fillId="15" borderId="31" applyNumberFormat="0" applyProtection="0">
      <alignment horizontal="right" vertical="center"/>
    </xf>
    <xf numFmtId="0" fontId="21" fillId="0" borderId="0"/>
    <xf numFmtId="184" fontId="21" fillId="0" borderId="0"/>
    <xf numFmtId="4" fontId="23" fillId="15" borderId="31" applyNumberFormat="0" applyProtection="0">
      <alignment horizontal="right" vertical="center"/>
    </xf>
    <xf numFmtId="184" fontId="21" fillId="0" borderId="0"/>
    <xf numFmtId="4" fontId="40" fillId="15" borderId="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1" applyNumberFormat="0" applyProtection="0">
      <alignment horizontal="right" vertical="center"/>
    </xf>
    <xf numFmtId="4" fontId="23" fillId="28" borderId="31" applyNumberFormat="0" applyProtection="0">
      <alignment horizontal="right" vertical="center"/>
    </xf>
    <xf numFmtId="0" fontId="21" fillId="0" borderId="0"/>
    <xf numFmtId="184" fontId="21" fillId="0" borderId="0"/>
    <xf numFmtId="4" fontId="23" fillId="28" borderId="31" applyNumberFormat="0" applyProtection="0">
      <alignment horizontal="right" vertical="center"/>
    </xf>
    <xf numFmtId="184" fontId="21" fillId="0" borderId="0"/>
    <xf numFmtId="4" fontId="40" fillId="28" borderId="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1" applyNumberFormat="0" applyProtection="0">
      <alignment horizontal="right" vertical="center"/>
    </xf>
    <xf numFmtId="4" fontId="23" fillId="5" borderId="31" applyNumberFormat="0" applyProtection="0">
      <alignment horizontal="right" vertical="center"/>
    </xf>
    <xf numFmtId="0" fontId="21" fillId="0" borderId="0"/>
    <xf numFmtId="184" fontId="21" fillId="0" borderId="0"/>
    <xf numFmtId="4" fontId="23" fillId="5" borderId="31" applyNumberFormat="0" applyProtection="0">
      <alignment horizontal="right" vertical="center"/>
    </xf>
    <xf numFmtId="184" fontId="21" fillId="0" borderId="0"/>
    <xf numFmtId="4" fontId="40" fillId="5" borderId="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0" fontId="21" fillId="0" borderId="0"/>
    <xf numFmtId="184" fontId="21" fillId="0" borderId="0"/>
    <xf numFmtId="184" fontId="21" fillId="0" borderId="0"/>
    <xf numFmtId="4" fontId="42" fillId="29" borderId="2"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42"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0" fillId="30"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5" fillId="31"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5"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1" applyNumberFormat="0" applyProtection="0">
      <alignment horizontal="right" vertical="center"/>
    </xf>
    <xf numFmtId="4" fontId="23" fillId="27" borderId="31" applyNumberFormat="0" applyProtection="0">
      <alignment horizontal="right" vertical="center"/>
    </xf>
    <xf numFmtId="0" fontId="21" fillId="0" borderId="0"/>
    <xf numFmtId="184" fontId="21" fillId="0" borderId="0"/>
    <xf numFmtId="4" fontId="23" fillId="27" borderId="31" applyNumberFormat="0" applyProtection="0">
      <alignment horizontal="right" vertical="center"/>
    </xf>
    <xf numFmtId="184" fontId="21" fillId="0" borderId="0"/>
    <xf numFmtId="4" fontId="40" fillId="27" borderId="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0" fontId="21" fillId="0" borderId="0"/>
    <xf numFmtId="184" fontId="21" fillId="0" borderId="0"/>
    <xf numFmtId="184" fontId="21" fillId="0" borderId="0"/>
    <xf numFmtId="4" fontId="40" fillId="30" borderId="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0" fontId="21" fillId="0" borderId="0"/>
    <xf numFmtId="184" fontId="21" fillId="0" borderId="0"/>
    <xf numFmtId="184" fontId="21" fillId="0" borderId="0"/>
    <xf numFmtId="4" fontId="40" fillId="27" borderId="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1" fillId="0" borderId="0"/>
    <xf numFmtId="182" fontId="23" fillId="75" borderId="3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1" fillId="0" borderId="0"/>
    <xf numFmtId="182" fontId="23" fillId="109" borderId="3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1" fillId="0" borderId="0"/>
    <xf numFmtId="182" fontId="23" fillId="3" borderId="3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1" fillId="0" borderId="0"/>
    <xf numFmtId="182" fontId="23" fillId="30" borderId="3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1" applyNumberFormat="0">
      <protection locked="0"/>
    </xf>
    <xf numFmtId="184" fontId="23" fillId="32" borderId="51"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1" applyNumberFormat="0">
      <protection locked="0"/>
    </xf>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1" applyNumberFormat="0">
      <protection locked="0"/>
    </xf>
    <xf numFmtId="0" fontId="23" fillId="32" borderId="51" applyNumberFormat="0">
      <protection locked="0"/>
    </xf>
    <xf numFmtId="0" fontId="23" fillId="32" borderId="51"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184" fontId="23" fillId="32" borderId="51" applyNumberFormat="0">
      <protection locked="0"/>
    </xf>
    <xf numFmtId="182" fontId="145" fillId="31" borderId="52" applyBorder="0"/>
    <xf numFmtId="184" fontId="145" fillId="31" borderId="52" applyBorder="0"/>
    <xf numFmtId="182" fontId="145" fillId="31" borderId="52" applyBorder="0"/>
    <xf numFmtId="0"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5" fillId="31" borderId="52" applyBorder="0"/>
    <xf numFmtId="184" fontId="145" fillId="31" borderId="52" applyBorder="0"/>
    <xf numFmtId="184"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5" fillId="31" borderId="52" applyBorder="0"/>
    <xf numFmtId="187"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0" fontId="21" fillId="0" borderId="0"/>
    <xf numFmtId="184" fontId="21" fillId="0" borderId="0"/>
    <xf numFmtId="0" fontId="21" fillId="0" borderId="0"/>
    <xf numFmtId="184" fontId="21" fillId="0" borderId="0"/>
    <xf numFmtId="4" fontId="137" fillId="26" borderId="1" applyNumberFormat="0" applyProtection="0">
      <alignment vertical="center"/>
    </xf>
    <xf numFmtId="184" fontId="21" fillId="0" borderId="0"/>
    <xf numFmtId="4" fontId="40"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0" fontId="5" fillId="0" borderId="0"/>
    <xf numFmtId="183" fontId="5" fillId="0" borderId="0"/>
    <xf numFmtId="184" fontId="5" fillId="0" borderId="0"/>
    <xf numFmtId="184" fontId="5" fillId="0" borderId="0"/>
    <xf numFmtId="4" fontId="137"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26" borderId="1" applyNumberFormat="0" applyProtection="0">
      <alignment vertical="center"/>
    </xf>
    <xf numFmtId="4" fontId="143" fillId="102" borderId="3" applyNumberFormat="0" applyProtection="0">
      <alignment vertical="center"/>
    </xf>
    <xf numFmtId="4" fontId="143" fillId="102" borderId="3" applyNumberFormat="0" applyProtection="0">
      <alignment vertical="center"/>
    </xf>
    <xf numFmtId="0" fontId="5" fillId="0" borderId="0"/>
    <xf numFmtId="183" fontId="5" fillId="0" borderId="0"/>
    <xf numFmtId="184" fontId="5" fillId="0" borderId="0"/>
    <xf numFmtId="184" fontId="5" fillId="0" borderId="0"/>
    <xf numFmtId="4" fontId="46" fillId="26" borderId="1" applyNumberFormat="0" applyProtection="0">
      <alignment vertical="center"/>
    </xf>
    <xf numFmtId="4" fontId="46"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7" fillId="75" borderId="1" applyNumberFormat="0" applyProtection="0">
      <alignment horizontal="left" vertical="center" indent="1"/>
    </xf>
    <xf numFmtId="184" fontId="21" fillId="0" borderId="0"/>
    <xf numFmtId="4" fontId="40" fillId="26"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7"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0" fillId="26" borderId="1" applyNumberFormat="0" applyProtection="0">
      <alignment horizontal="left" vertical="top" indent="1"/>
    </xf>
    <xf numFmtId="0" fontId="21" fillId="0" borderId="0"/>
    <xf numFmtId="184" fontId="21"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21" fillId="0" borderId="0"/>
    <xf numFmtId="182" fontId="137"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30" borderId="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0" fillId="27" borderId="1" applyNumberFormat="0" applyProtection="0">
      <alignment horizontal="left" vertical="top" indent="1"/>
    </xf>
    <xf numFmtId="0" fontId="21" fillId="0" borderId="0"/>
    <xf numFmtId="184" fontId="21"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21" fillId="0" borderId="0"/>
    <xf numFmtId="182" fontId="137"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7" fillId="33" borderId="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47"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7" fillId="32" borderId="31" applyNumberFormat="0" applyProtection="0">
      <alignment horizontal="right" vertical="center"/>
    </xf>
    <xf numFmtId="184" fontId="21" fillId="0" borderId="0"/>
    <xf numFmtId="4" fontId="41" fillId="30" borderId="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0" fontId="5" fillId="0" borderId="0"/>
    <xf numFmtId="183" fontId="5" fillId="0" borderId="0"/>
    <xf numFmtId="184" fontId="5" fillId="0" borderId="0"/>
    <xf numFmtId="184" fontId="5" fillId="0" borderId="0"/>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48" fillId="0" borderId="0" applyNumberFormat="0" applyFill="0" applyBorder="0" applyAlignment="0">
      <alignment horizontal="center"/>
    </xf>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8" fillId="0" borderId="0" applyNumberFormat="0" applyFill="0" applyBorder="0" applyAlignment="0">
      <alignment horizontal="center"/>
    </xf>
    <xf numFmtId="184" fontId="148" fillId="0" borderId="0" applyNumberFormat="0" applyFill="0" applyBorder="0" applyAlignment="0">
      <alignment horizontal="center"/>
    </xf>
    <xf numFmtId="183" fontId="149" fillId="0" borderId="0">
      <alignment horizontal="right"/>
    </xf>
    <xf numFmtId="183" fontId="149" fillId="0" borderId="0">
      <alignment horizontal="right"/>
    </xf>
    <xf numFmtId="184" fontId="149"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0" fillId="0" borderId="0" applyBorder="0">
      <alignment horizontal="right"/>
    </xf>
    <xf numFmtId="40" fontId="150"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1" fillId="0" borderId="0">
      <alignment horizontal="left"/>
    </xf>
    <xf numFmtId="49" fontId="151"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2" fillId="112" borderId="0" applyNumberFormat="0" applyBorder="0" applyAlignment="0" applyProtection="0">
      <protection locked="0"/>
    </xf>
    <xf numFmtId="183" fontId="152" fillId="112" borderId="0" applyNumberFormat="0" applyBorder="0" applyAlignment="0" applyProtection="0">
      <protection locked="0"/>
    </xf>
    <xf numFmtId="184" fontId="152"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112" borderId="0" applyNumberFormat="0" applyBorder="0" applyAlignment="0" applyProtection="0">
      <protection locked="0"/>
    </xf>
    <xf numFmtId="0"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0" fontId="153" fillId="0" borderId="0" applyNumberFormat="0" applyFill="0" applyBorder="0" applyAlignment="0" applyProtection="0"/>
    <xf numFmtId="184" fontId="153" fillId="0" borderId="0" applyNumberFormat="0" applyFill="0" applyBorder="0" applyAlignment="0" applyProtection="0"/>
    <xf numFmtId="184" fontId="48" fillId="0" borderId="0" applyNumberFormat="0" applyFill="0" applyBorder="0" applyAlignment="0" applyProtection="0"/>
    <xf numFmtId="184" fontId="15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153"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15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4" fontId="73" fillId="0" borderId="0" applyNumberFormat="0" applyFill="0" applyBorder="0" applyAlignment="0" applyProtection="0"/>
    <xf numFmtId="182" fontId="73" fillId="0" borderId="0" applyNumberFormat="0" applyFill="0" applyBorder="0" applyAlignment="0" applyProtection="0"/>
    <xf numFmtId="182" fontId="51" fillId="0" borderId="27" applyNumberFormat="0" applyFill="0" applyAlignment="0" applyProtection="0"/>
    <xf numFmtId="0"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7"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3" applyNumberFormat="0" applyFill="0" applyAlignment="0" applyProtection="0"/>
    <xf numFmtId="182" fontId="39" fillId="0" borderId="54"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97" fontId="21" fillId="0" borderId="15">
      <protection locked="0"/>
    </xf>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1" fillId="0" borderId="15">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1" fillId="0" borderId="27" applyNumberFormat="0" applyFill="0" applyAlignment="0" applyProtection="0"/>
    <xf numFmtId="184" fontId="51" fillId="0" borderId="27"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51" fillId="0" borderId="27"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4" fillId="0" borderId="41" applyProtection="0"/>
    <xf numFmtId="3" fontId="154" fillId="0" borderId="41"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182" fontId="156"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6"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2" fontId="85" fillId="0" borderId="0" applyNumberFormat="0" applyFill="0" applyBorder="0" applyAlignment="0" applyProtection="0"/>
    <xf numFmtId="9" fontId="157" fillId="110" borderId="55" applyNumberFormat="0" applyFill="0" applyBorder="0" applyAlignment="0" applyProtection="0">
      <alignment horizontal="center"/>
      <protection locked="0"/>
    </xf>
    <xf numFmtId="9" fontId="157" fillId="110" borderId="55"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8" fillId="0" borderId="0" applyNumberFormat="0" applyFont="0" applyFill="0" applyBorder="0" applyProtection="0">
      <alignment wrapText="1"/>
    </xf>
    <xf numFmtId="190" fontId="98"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6" applyNumberFormat="0" applyFont="0" applyAlignment="0" applyProtection="0"/>
    <xf numFmtId="0" fontId="2" fillId="0" borderId="0"/>
    <xf numFmtId="43" fontId="2" fillId="0" borderId="0" applyFont="0" applyFill="0" applyBorder="0" applyAlignment="0" applyProtection="0"/>
    <xf numFmtId="41" fontId="16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159">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0" fillId="0" borderId="0" xfId="0" applyAlignment="1">
      <alignment horizontal="left" indent="1"/>
    </xf>
    <xf numFmtId="0" fontId="24" fillId="0" borderId="0" xfId="28"/>
    <xf numFmtId="0" fontId="24" fillId="0" borderId="0" xfId="28" applyAlignment="1">
      <alignment horizontal="left"/>
    </xf>
    <xf numFmtId="0" fontId="22" fillId="0" borderId="0" xfId="28" applyFont="1" applyAlignment="1">
      <alignment horizontal="left"/>
    </xf>
    <xf numFmtId="3" fontId="24" fillId="0" borderId="0" xfId="28" applyNumberFormat="1"/>
    <xf numFmtId="1" fontId="24" fillId="0" borderId="0" xfId="28" applyNumberFormat="1" applyAlignment="1">
      <alignment horizontal="center"/>
    </xf>
    <xf numFmtId="0" fontId="25" fillId="0" borderId="0" xfId="28" applyFont="1" applyAlignment="1">
      <alignment horizontal="center"/>
    </xf>
    <xf numFmtId="0" fontId="22" fillId="0" borderId="0" xfId="28" applyFont="1" applyAlignment="1">
      <alignment horizontal="center"/>
    </xf>
    <xf numFmtId="167" fontId="24" fillId="0" borderId="0" xfId="28" applyNumberFormat="1" applyAlignment="1">
      <alignment horizontal="right"/>
    </xf>
    <xf numFmtId="3" fontId="24" fillId="0" borderId="0" xfId="28" applyNumberFormat="1" applyAlignment="1">
      <alignment horizontal="left" indent="1"/>
    </xf>
    <xf numFmtId="0" fontId="24" fillId="0" borderId="0" xfId="28" applyAlignment="1">
      <alignment horizontal="right"/>
    </xf>
    <xf numFmtId="167" fontId="24" fillId="0" borderId="0" xfId="28" quotePrefix="1" applyNumberFormat="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10" fontId="0" fillId="0" borderId="0" xfId="0" applyNumberFormat="1"/>
    <xf numFmtId="0" fontId="0" fillId="34" borderId="0" xfId="0" applyFill="1"/>
    <xf numFmtId="0" fontId="28" fillId="0" borderId="0" xfId="0" applyFont="1"/>
    <xf numFmtId="165" fontId="28" fillId="0" borderId="0" xfId="0" applyNumberFormat="1" applyFont="1"/>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8"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22" fillId="0" borderId="0" xfId="0" applyFont="1" applyAlignment="1">
      <alignment horizontal="right"/>
    </xf>
    <xf numFmtId="0" fontId="22" fillId="0" borderId="0" xfId="0" applyFont="1" applyAlignment="1">
      <alignment horizontal="left" indent="1"/>
    </xf>
    <xf numFmtId="166" fontId="0" fillId="0" borderId="0" xfId="0" applyNumberFormat="1"/>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applyAlignment="1">
      <alignment horizontal="left"/>
    </xf>
    <xf numFmtId="0" fontId="24" fillId="0" borderId="0" xfId="28" applyAlignment="1">
      <alignment horizontal="left" indent="1"/>
    </xf>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Alignment="1">
      <alignment horizontal="right"/>
    </xf>
    <xf numFmtId="0" fontId="24" fillId="0" borderId="0" xfId="0" applyFont="1" applyAlignment="1">
      <alignment horizontal="center"/>
    </xf>
    <xf numFmtId="172" fontId="0" fillId="34" borderId="0" xfId="0" applyNumberFormat="1" applyFill="1"/>
    <xf numFmtId="0" fontId="22" fillId="0" borderId="0" xfId="0" applyFont="1" applyAlignment="1">
      <alignment wrapText="1"/>
    </xf>
    <xf numFmtId="164" fontId="28" fillId="0" borderId="0" xfId="0" applyNumberFormat="1" applyFont="1"/>
    <xf numFmtId="173" fontId="0" fillId="0" borderId="0" xfId="0" applyNumberFormat="1"/>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0" fontId="22" fillId="0" borderId="0" xfId="0" applyFont="1" applyAlignment="1">
      <alignment horizontal="left" indent="3"/>
    </xf>
    <xf numFmtId="164" fontId="0" fillId="36" borderId="0" xfId="0" applyNumberFormat="1" applyFill="1"/>
    <xf numFmtId="164" fontId="28" fillId="34" borderId="0" xfId="0" applyNumberFormat="1" applyFont="1" applyFill="1"/>
    <xf numFmtId="164" fontId="28" fillId="36" borderId="0" xfId="0" applyNumberFormat="1" applyFont="1" applyFill="1"/>
    <xf numFmtId="0" fontId="28" fillId="0" borderId="0" xfId="0" applyFont="1" applyAlignment="1">
      <alignment horizontal="center"/>
    </xf>
    <xf numFmtId="0" fontId="0" fillId="37" borderId="0" xfId="0" applyFill="1"/>
    <xf numFmtId="0" fontId="26" fillId="0" borderId="0" xfId="0" applyFont="1"/>
    <xf numFmtId="0" fontId="27" fillId="0" borderId="0" xfId="0" applyFont="1"/>
    <xf numFmtId="0" fontId="31" fillId="0" borderId="0" xfId="34" applyFont="1"/>
    <xf numFmtId="167" fontId="31" fillId="0" borderId="0" xfId="19" applyNumberFormat="1" applyFont="1" applyBorder="1"/>
    <xf numFmtId="0" fontId="31" fillId="0" borderId="0" xfId="34" applyFont="1" applyAlignment="1">
      <alignment horizontal="left"/>
    </xf>
    <xf numFmtId="10" fontId="31" fillId="0" borderId="0" xfId="37" applyNumberFormat="1" applyFont="1" applyBorder="1" applyAlignment="1">
      <alignment horizontal="left" indent="3"/>
    </xf>
    <xf numFmtId="0" fontId="31" fillId="0" borderId="0" xfId="34" applyFont="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0" fontId="31" fillId="0" borderId="0" xfId="28" applyFont="1"/>
    <xf numFmtId="164" fontId="0" fillId="0" borderId="0" xfId="0" applyNumberFormat="1" applyAlignment="1">
      <alignment horizontal="right" indent="1"/>
    </xf>
    <xf numFmtId="165" fontId="33" fillId="0" borderId="0" xfId="0" applyNumberFormat="1" applyFont="1"/>
    <xf numFmtId="165" fontId="34" fillId="0" borderId="0" xfId="0" applyNumberFormat="1" applyFont="1"/>
    <xf numFmtId="1" fontId="24" fillId="36" borderId="0" xfId="28" applyNumberFormat="1" applyFill="1" applyAlignment="1">
      <alignment horizontal="center"/>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4" fontId="28" fillId="36" borderId="0" xfId="19" applyNumberFormat="1" applyFont="1" applyFill="1" applyBorder="1"/>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xf numFmtId="0" fontId="24" fillId="0" borderId="0" xfId="34" applyAlignment="1">
      <alignment horizontal="left" indent="2"/>
    </xf>
    <xf numFmtId="0" fontId="22" fillId="0" borderId="0" xfId="34" applyFont="1" applyAlignment="1">
      <alignment horizontal="left"/>
    </xf>
    <xf numFmtId="0" fontId="22" fillId="0" borderId="0" xfId="34" applyFont="1" applyAlignment="1">
      <alignment horizontal="left" wrapText="1"/>
    </xf>
    <xf numFmtId="0" fontId="24" fillId="0" borderId="0" xfId="34" applyAlignment="1">
      <alignment horizontal="left" wrapText="1"/>
    </xf>
    <xf numFmtId="0" fontId="22" fillId="0" borderId="0" xfId="34" applyFont="1" applyAlignment="1">
      <alignment vertical="center" wrapText="1"/>
    </xf>
    <xf numFmtId="0" fontId="22" fillId="0" borderId="0" xfId="34" applyFont="1" applyAlignment="1">
      <alignment horizontal="center"/>
    </xf>
    <xf numFmtId="0" fontId="24" fillId="0" borderId="0" xfId="34"/>
    <xf numFmtId="0" fontId="24" fillId="36" borderId="0" xfId="34" applyFill="1"/>
    <xf numFmtId="0" fontId="24" fillId="0" borderId="0" xfId="34" applyAlignment="1">
      <alignment horizontal="left"/>
    </xf>
    <xf numFmtId="41" fontId="24" fillId="0" borderId="0" xfId="34" applyNumberFormat="1"/>
    <xf numFmtId="10" fontId="24" fillId="0" borderId="0" xfId="34" applyNumberFormat="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Alignment="1">
      <alignment horizontal="right" wrapText="1"/>
    </xf>
    <xf numFmtId="0" fontId="22" fillId="0" borderId="0" xfId="34" applyFont="1" applyAlignment="1">
      <alignment horizontal="left" vertical="center" wrapText="1"/>
    </xf>
    <xf numFmtId="0" fontId="52" fillId="36" borderId="0" xfId="34" applyFont="1" applyFill="1"/>
    <xf numFmtId="0" fontId="22" fillId="36" borderId="0" xfId="0" applyFont="1" applyFill="1" applyAlignment="1">
      <alignment horizontal="center"/>
    </xf>
    <xf numFmtId="0" fontId="25" fillId="36" borderId="0" xfId="0" applyFont="1" applyFill="1" applyAlignment="1">
      <alignment horizontal="center"/>
    </xf>
    <xf numFmtId="0" fontId="22" fillId="0" borderId="3" xfId="0" applyFont="1" applyBorder="1" applyAlignment="1">
      <alignment horizontal="center"/>
    </xf>
    <xf numFmtId="0" fontId="22" fillId="0" borderId="3" xfId="0" applyFont="1" applyBorder="1" applyAlignment="1">
      <alignment horizontal="center" wrapText="1"/>
    </xf>
    <xf numFmtId="0" fontId="22" fillId="0" borderId="3" xfId="0" applyFont="1" applyBorder="1" applyAlignment="1">
      <alignment wrapText="1"/>
    </xf>
    <xf numFmtId="0" fontId="22" fillId="0" borderId="0" xfId="0" quotePrefix="1" applyFont="1"/>
    <xf numFmtId="37" fontId="22" fillId="0" borderId="0" xfId="0" applyNumberFormat="1" applyFont="1" applyAlignment="1">
      <alignment horizontal="center"/>
    </xf>
    <xf numFmtId="0" fontId="22" fillId="0" borderId="3" xfId="0" applyFont="1" applyBorder="1" applyAlignment="1">
      <alignment horizontal="right"/>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36"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10" fontId="53" fillId="0" borderId="0" xfId="0" applyNumberFormat="1" applyFont="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164" fontId="53" fillId="34" borderId="0" xfId="0" applyNumberFormat="1" applyFont="1" applyFill="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ill="1"/>
    <xf numFmtId="0" fontId="22" fillId="0" borderId="0" xfId="28" applyFont="1" applyAlignment="1">
      <alignment horizontal="left" vertical="center"/>
    </xf>
    <xf numFmtId="0" fontId="22" fillId="0" borderId="0" xfId="28" applyFont="1" applyAlignment="1">
      <alignment horizontal="center" vertical="center" wrapText="1"/>
    </xf>
    <xf numFmtId="0" fontId="22" fillId="0" borderId="0" xfId="28" applyFont="1" applyAlignment="1">
      <alignment horizontal="center" vertical="center"/>
    </xf>
    <xf numFmtId="0" fontId="24" fillId="0" borderId="0" xfId="28" applyAlignment="1">
      <alignment horizontal="left" vertical="center" indent="1"/>
    </xf>
    <xf numFmtId="164" fontId="24" fillId="0" borderId="0" xfId="28" applyNumberFormat="1" applyAlignment="1">
      <alignment horizontal="right" vertical="center" wrapText="1"/>
    </xf>
    <xf numFmtId="164" fontId="24" fillId="0" borderId="0" xfId="28" applyNumberFormat="1" applyAlignment="1">
      <alignment horizontal="right"/>
    </xf>
    <xf numFmtId="164" fontId="28" fillId="0" borderId="0" xfId="28" applyNumberFormat="1" applyFont="1" applyAlignment="1">
      <alignment horizontal="right" vertical="center" wrapText="1"/>
    </xf>
    <xf numFmtId="164" fontId="28" fillId="0" borderId="0" xfId="20" applyNumberFormat="1" applyFont="1" applyFill="1"/>
    <xf numFmtId="164" fontId="28" fillId="0" borderId="0" xfId="28" applyNumberFormat="1" applyFont="1" applyAlignment="1">
      <alignment horizontal="right"/>
    </xf>
    <xf numFmtId="164" fontId="24" fillId="0" borderId="0" xfId="28" applyNumberFormat="1" applyAlignment="1">
      <alignment vertical="center"/>
    </xf>
    <xf numFmtId="41" fontId="24" fillId="0" borderId="0" xfId="28" applyNumberFormat="1"/>
    <xf numFmtId="0" fontId="24" fillId="0" borderId="0" xfId="28" applyAlignment="1">
      <alignment horizontal="left" wrapText="1" indent="1"/>
    </xf>
    <xf numFmtId="164" fontId="24" fillId="0" borderId="0" xfId="28" applyNumberFormat="1"/>
    <xf numFmtId="41" fontId="35" fillId="0" borderId="0" xfId="20" applyNumberFormat="1" applyFont="1" applyFill="1"/>
    <xf numFmtId="164" fontId="35" fillId="0" borderId="0" xfId="20" applyNumberFormat="1" applyFont="1" applyFill="1"/>
    <xf numFmtId="42" fontId="35" fillId="0" borderId="0" xfId="28" applyNumberFormat="1" applyFont="1"/>
    <xf numFmtId="42" fontId="24" fillId="0" borderId="0" xfId="28" applyNumberFormat="1"/>
    <xf numFmtId="43" fontId="24" fillId="0" borderId="0" xfId="28" applyNumberFormat="1"/>
    <xf numFmtId="0" fontId="22" fillId="0" borderId="0" xfId="28" applyFont="1" applyAlignment="1">
      <alignment horizontal="center" wrapText="1"/>
    </xf>
    <xf numFmtId="0" fontId="25" fillId="0" borderId="0" xfId="28" applyFont="1"/>
    <xf numFmtId="0" fontId="24" fillId="0" borderId="0" xfId="28" applyAlignment="1">
      <alignment horizontal="right" vertical="center"/>
    </xf>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176" fontId="22" fillId="0" borderId="3" xfId="22"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176" fontId="24" fillId="0" borderId="0" xfId="22" applyFont="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52" fillId="0" borderId="0" xfId="22" quotePrefix="1" applyNumberFormat="1" applyFont="1" applyBorder="1" applyAlignment="1">
      <alignment horizontal="center"/>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Font="1" applyFill="1"/>
    <xf numFmtId="0" fontId="22" fillId="37" borderId="0" xfId="0" applyFont="1" applyFill="1"/>
    <xf numFmtId="37" fontId="57" fillId="0" borderId="0" xfId="22" quotePrefix="1" applyNumberFormat="1" applyFont="1" applyBorder="1" applyAlignment="1">
      <alignment horizontal="center"/>
    </xf>
    <xf numFmtId="0" fontId="22" fillId="37" borderId="3" xfId="0" applyFont="1" applyFill="1" applyBorder="1" applyAlignment="1">
      <alignment horizontal="center"/>
    </xf>
    <xf numFmtId="39" fontId="22" fillId="0" borderId="3" xfId="22" applyNumberFormat="1" applyFont="1" applyFill="1" applyBorder="1" applyAlignment="1">
      <alignment horizontal="right" wrapText="1"/>
    </xf>
    <xf numFmtId="0" fontId="22" fillId="36" borderId="3" xfId="0" quotePrefix="1" applyFont="1" applyFill="1" applyBorder="1"/>
    <xf numFmtId="39" fontId="22" fillId="36" borderId="3" xfId="22" quotePrefix="1" applyNumberFormat="1" applyFont="1" applyFill="1" applyBorder="1" applyAlignment="1">
      <alignment horizontal="center"/>
    </xf>
    <xf numFmtId="0" fontId="22" fillId="36" borderId="3" xfId="0"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164" fontId="22" fillId="0" borderId="0" xfId="0" applyNumberFormat="1" applyFont="1" applyAlignment="1">
      <alignment horizontal="center"/>
    </xf>
    <xf numFmtId="164" fontId="25" fillId="0" borderId="0" xfId="0" applyNumberFormat="1" applyFont="1" applyAlignment="1">
      <alignment horizontal="center"/>
    </xf>
    <xf numFmtId="164" fontId="25" fillId="36" borderId="0" xfId="0" applyNumberFormat="1" applyFont="1" applyFill="1" applyAlignment="1">
      <alignment horizontal="center"/>
    </xf>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0" fontId="29" fillId="0" borderId="0" xfId="27" applyAlignment="1" applyProtection="1"/>
    <xf numFmtId="0" fontId="0" fillId="0" borderId="0" xfId="0" applyAlignment="1">
      <alignment horizontal="left" indent="2"/>
    </xf>
    <xf numFmtId="166" fontId="53" fillId="0" borderId="0" xfId="0" quotePrefix="1" applyNumberFormat="1" applyFont="1" applyAlignment="1">
      <alignment horizontal="right"/>
    </xf>
    <xf numFmtId="168" fontId="28" fillId="0" borderId="0" xfId="0" applyNumberFormat="1" applyFont="1"/>
    <xf numFmtId="0" fontId="59" fillId="0" borderId="0" xfId="0" applyFont="1" applyAlignment="1">
      <alignment horizontal="center"/>
    </xf>
    <xf numFmtId="164" fontId="41" fillId="0" borderId="0" xfId="0" applyNumberFormat="1" applyFont="1"/>
    <xf numFmtId="0" fontId="0" fillId="36" borderId="0" xfId="0" applyFill="1" applyAlignment="1">
      <alignment horizontal="left" indent="1"/>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3" fillId="0" borderId="0" xfId="0" applyNumberFormat="1" applyFont="1"/>
    <xf numFmtId="0" fontId="0" fillId="0" borderId="8" xfId="0" applyBorder="1" applyAlignment="1">
      <alignment horizontal="center"/>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2" fillId="36" borderId="0" xfId="0" quotePrefix="1" applyFont="1" applyFill="1" applyAlignment="1">
      <alignment vertical="center"/>
    </xf>
    <xf numFmtId="164" fontId="56" fillId="0" borderId="0" xfId="0" applyNumberFormat="1" applyFont="1" applyAlignment="1">
      <alignment horizontal="center"/>
    </xf>
    <xf numFmtId="165" fontId="21" fillId="0" borderId="0" xfId="0" applyNumberFormat="1" applyFont="1"/>
    <xf numFmtId="37" fontId="22" fillId="0" borderId="3" xfId="22" applyNumberFormat="1" applyFont="1" applyFill="1" applyBorder="1" applyAlignment="1">
      <alignment horizontal="center"/>
    </xf>
    <xf numFmtId="37" fontId="22" fillId="37" borderId="3" xfId="0" applyNumberFormat="1" applyFont="1" applyFill="1" applyBorder="1" applyAlignment="1">
      <alignment horizontal="center"/>
    </xf>
    <xf numFmtId="164" fontId="28" fillId="36" borderId="0" xfId="0" applyNumberFormat="1" applyFont="1" applyFill="1" applyAlignment="1">
      <alignment horizontal="right"/>
    </xf>
    <xf numFmtId="0" fontId="50" fillId="0" borderId="0" xfId="28" applyFont="1" applyAlignment="1">
      <alignment horizontal="left"/>
    </xf>
    <xf numFmtId="0" fontId="50" fillId="0" borderId="0" xfId="28" applyFont="1" applyAlignment="1">
      <alignment horizontal="center"/>
    </xf>
    <xf numFmtId="0" fontId="50" fillId="36" borderId="0" xfId="28"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50" fillId="0" borderId="0" xfId="28" applyFont="1" applyAlignment="1">
      <alignment horizontal="center" vertical="top"/>
    </xf>
    <xf numFmtId="0" fontId="25" fillId="0" borderId="0" xfId="0" quotePrefix="1" applyFont="1" applyAlignment="1">
      <alignment horizontal="center" vertical="top"/>
    </xf>
    <xf numFmtId="0" fontId="22" fillId="0" borderId="6" xfId="28" applyFont="1" applyBorder="1" applyAlignment="1">
      <alignment horizontal="center"/>
    </xf>
    <xf numFmtId="0" fontId="22" fillId="0" borderId="3" xfId="28" applyFont="1" applyBorder="1" applyAlignment="1">
      <alignment horizontal="center"/>
    </xf>
    <xf numFmtId="167" fontId="22" fillId="0" borderId="0" xfId="28" applyNumberFormat="1" applyFont="1" applyAlignment="1">
      <alignment horizontal="center"/>
    </xf>
    <xf numFmtId="167" fontId="22" fillId="0" borderId="0" xfId="28" applyNumberFormat="1" applyFont="1"/>
    <xf numFmtId="0" fontId="22" fillId="0" borderId="0" xfId="28" applyFont="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0" fontId="25" fillId="0" borderId="0" xfId="28" applyFont="1" applyAlignment="1">
      <alignment vertical="top" wrapText="1"/>
    </xf>
    <xf numFmtId="0" fontId="53" fillId="34" borderId="0" xfId="0" applyFont="1" applyFill="1"/>
    <xf numFmtId="0" fontId="53" fillId="0" borderId="0" xfId="0" applyFont="1" applyAlignment="1">
      <alignment horizontal="left" indent="2"/>
    </xf>
    <xf numFmtId="0" fontId="54" fillId="0" borderId="0" xfId="0" applyFont="1" applyAlignment="1">
      <alignment horizontal="left" indent="1"/>
    </xf>
    <xf numFmtId="0" fontId="54" fillId="0" borderId="0" xfId="0" quotePrefix="1" applyFont="1" applyAlignment="1">
      <alignment horizontal="center"/>
    </xf>
    <xf numFmtId="0" fontId="55" fillId="0" borderId="0" xfId="0" quotePrefix="1" applyFont="1" applyAlignment="1">
      <alignment horizontal="center"/>
    </xf>
    <xf numFmtId="0" fontId="53" fillId="0" borderId="0" xfId="0" quotePrefix="1" applyFont="1"/>
    <xf numFmtId="0" fontId="55" fillId="0" borderId="0" xfId="0" applyFont="1" applyAlignment="1">
      <alignment horizontal="left"/>
    </xf>
    <xf numFmtId="1" fontId="53" fillId="36" borderId="0" xfId="0" applyNumberFormat="1" applyFont="1" applyFill="1"/>
    <xf numFmtId="174" fontId="53" fillId="0" borderId="0" xfId="0" applyNumberFormat="1" applyFont="1"/>
    <xf numFmtId="164" fontId="0" fillId="0" borderId="0" xfId="0" quotePrefix="1" applyNumberFormat="1" applyAlignment="1">
      <alignment horizontal="center"/>
    </xf>
    <xf numFmtId="164" fontId="51" fillId="0" borderId="0" xfId="0" applyNumberFormat="1" applyFont="1" applyAlignment="1">
      <alignment horizontal="center"/>
    </xf>
    <xf numFmtId="0" fontId="21" fillId="0" borderId="0" xfId="0" applyFont="1" applyAlignment="1">
      <alignment horizontal="right"/>
    </xf>
    <xf numFmtId="0" fontId="21" fillId="0" borderId="0" xfId="0" applyFont="1" applyAlignment="1">
      <alignment horizontal="left" indent="1"/>
    </xf>
    <xf numFmtId="0" fontId="21" fillId="0" borderId="0" xfId="0" applyFont="1"/>
    <xf numFmtId="0" fontId="21" fillId="0" borderId="0" xfId="0" applyFont="1" applyAlignment="1">
      <alignment horizontal="center"/>
    </xf>
    <xf numFmtId="164" fontId="21" fillId="0" borderId="0" xfId="0" applyNumberFormat="1" applyFont="1"/>
    <xf numFmtId="179" fontId="21" fillId="34" borderId="0" xfId="35" applyNumberFormat="1" applyFont="1" applyFill="1" applyAlignment="1">
      <alignment horizontal="left"/>
    </xf>
    <xf numFmtId="179" fontId="21" fillId="0" borderId="0" xfId="35" applyNumberFormat="1" applyFont="1" applyAlignment="1">
      <alignment horizontal="left"/>
    </xf>
    <xf numFmtId="179" fontId="21" fillId="0" borderId="0" xfId="35" applyNumberFormat="1" applyFont="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xf numFmtId="10" fontId="0" fillId="0" borderId="0" xfId="37" applyNumberFormat="1" applyFont="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1" fillId="0" borderId="0" xfId="0" applyFont="1" applyAlignment="1">
      <alignment horizontal="right" indent="1"/>
    </xf>
    <xf numFmtId="0" fontId="21" fillId="0" borderId="0" xfId="0" applyFont="1" applyAlignment="1">
      <alignment horizontal="left" indent="2"/>
    </xf>
    <xf numFmtId="0" fontId="21" fillId="0" borderId="0" xfId="0" quotePrefix="1" applyFont="1" applyAlignment="1">
      <alignment horizontal="center" vertical="justify"/>
    </xf>
    <xf numFmtId="10" fontId="28" fillId="0" borderId="0" xfId="0" applyNumberFormat="1" applyFont="1"/>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Font="1" applyAlignment="1">
      <alignment horizontal="left"/>
    </xf>
    <xf numFmtId="164" fontId="21" fillId="36" borderId="0" xfId="0" applyNumberFormat="1" applyFont="1" applyFill="1"/>
    <xf numFmtId="0" fontId="21" fillId="0" borderId="0" xfId="28" applyFont="1" applyAlignment="1">
      <alignment horizontal="right"/>
    </xf>
    <xf numFmtId="3" fontId="21" fillId="0" borderId="0" xfId="28" applyNumberFormat="1" applyFont="1" applyAlignment="1">
      <alignment horizontal="left" indent="1"/>
    </xf>
    <xf numFmtId="1" fontId="21" fillId="0" borderId="0" xfId="28" applyNumberFormat="1" applyFont="1" applyAlignment="1">
      <alignment horizontal="center"/>
    </xf>
    <xf numFmtId="37" fontId="21" fillId="0" borderId="0" xfId="36" applyNumberFormat="1" applyFont="1" applyAlignment="1">
      <alignment horizontal="left" indent="1"/>
    </xf>
    <xf numFmtId="10" fontId="21" fillId="0" borderId="0" xfId="0" applyNumberFormat="1" applyFont="1"/>
    <xf numFmtId="0" fontId="21" fillId="36" borderId="0" xfId="34" applyFont="1" applyFill="1"/>
    <xf numFmtId="1" fontId="21" fillId="0" borderId="0" xfId="28" quotePrefix="1" applyNumberFormat="1" applyFont="1" applyAlignment="1">
      <alignment horizontal="right"/>
    </xf>
    <xf numFmtId="164" fontId="21" fillId="0" borderId="0" xfId="0" applyNumberFormat="1" applyFont="1" applyAlignment="1">
      <alignment horizontal="right"/>
    </xf>
    <xf numFmtId="164" fontId="22" fillId="0" borderId="0" xfId="0" applyNumberFormat="1" applyFont="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Alignment="1">
      <alignment horizontal="left" indent="1"/>
    </xf>
    <xf numFmtId="0" fontId="60" fillId="0" borderId="0" xfId="0" applyFont="1"/>
    <xf numFmtId="37" fontId="53" fillId="0" borderId="0" xfId="0" applyNumberFormat="1" applyFont="1"/>
    <xf numFmtId="165" fontId="53" fillId="0" borderId="0" xfId="0" applyNumberFormat="1" applyFont="1" applyAlignment="1">
      <alignment horizontal="left" indent="1"/>
    </xf>
    <xf numFmtId="164" fontId="55" fillId="0" borderId="0" xfId="0" applyNumberFormat="1" applyFont="1"/>
    <xf numFmtId="39" fontId="53" fillId="0" borderId="0" xfId="0" applyNumberFormat="1" applyFont="1" applyAlignment="1">
      <alignment horizontal="left" indent="1"/>
    </xf>
    <xf numFmtId="39" fontId="53" fillId="0" borderId="0" xfId="0" applyNumberFormat="1" applyFont="1"/>
    <xf numFmtId="0" fontId="21" fillId="36" borderId="0" xfId="0" quotePrefix="1" applyFont="1" applyFill="1" applyAlignment="1">
      <alignment horizontal="center"/>
    </xf>
    <xf numFmtId="170" fontId="21" fillId="0" borderId="0" xfId="0" applyNumberFormat="1" applyFont="1" applyAlignment="1">
      <alignment horizontal="center"/>
    </xf>
    <xf numFmtId="0" fontId="21" fillId="0" borderId="0" xfId="0" applyFont="1" applyAlignment="1">
      <alignment horizontal="left"/>
    </xf>
    <xf numFmtId="164" fontId="28" fillId="0" borderId="0" xfId="28" applyNumberFormat="1" applyFont="1"/>
    <xf numFmtId="37" fontId="21" fillId="0" borderId="0" xfId="0" applyNumberFormat="1" applyFont="1" applyAlignment="1">
      <alignment horizontal="left" indent="1"/>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Border="1"/>
    <xf numFmtId="39" fontId="21" fillId="0" borderId="3" xfId="22" applyNumberFormat="1" applyFont="1" applyFill="1" applyBorder="1" applyAlignment="1">
      <alignment horizontal="center"/>
    </xf>
    <xf numFmtId="0" fontId="21" fillId="0" borderId="0" xfId="0" applyFont="1" applyAlignment="1">
      <alignment vertical="top"/>
    </xf>
    <xf numFmtId="37" fontId="53" fillId="36" borderId="0" xfId="81" applyNumberFormat="1" applyFont="1" applyFill="1" applyAlignment="1">
      <alignment horizontal="right"/>
    </xf>
    <xf numFmtId="6" fontId="0" fillId="0" borderId="0" xfId="0" applyNumberFormat="1"/>
    <xf numFmtId="180" fontId="0" fillId="0" borderId="0" xfId="0" applyNumberFormat="1"/>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5" fillId="0" borderId="0" xfId="108" applyFont="1" applyAlignment="1">
      <alignment horizontal="center"/>
    </xf>
    <xf numFmtId="0" fontId="25" fillId="0" borderId="0" xfId="108" applyFont="1" applyAlignment="1">
      <alignment horizontal="left"/>
    </xf>
    <xf numFmtId="164" fontId="21" fillId="0" borderId="0" xfId="108" applyNumberFormat="1"/>
    <xf numFmtId="0" fontId="21" fillId="36" borderId="0" xfId="108" applyFill="1"/>
    <xf numFmtId="164" fontId="21" fillId="36" borderId="0" xfId="108" applyNumberFormat="1" applyFill="1"/>
    <xf numFmtId="164" fontId="28" fillId="36" borderId="0" xfId="108" applyNumberFormat="1" applyFont="1" applyFill="1"/>
    <xf numFmtId="3" fontId="31" fillId="0" borderId="0" xfId="34" applyNumberFormat="1" applyFont="1"/>
    <xf numFmtId="164" fontId="0" fillId="36" borderId="0" xfId="0" applyNumberFormat="1" applyFill="1" applyAlignment="1">
      <alignment horizontal="right"/>
    </xf>
    <xf numFmtId="171" fontId="0" fillId="36" borderId="0" xfId="0" applyNumberFormat="1" applyFill="1"/>
    <xf numFmtId="167" fontId="21" fillId="0" borderId="0" xfId="28" applyNumberFormat="1" applyFont="1"/>
    <xf numFmtId="0" fontId="66" fillId="0" borderId="0" xfId="0" applyFont="1"/>
    <xf numFmtId="0" fontId="21" fillId="0" borderId="0" xfId="28" applyFont="1" applyAlignment="1" applyProtection="1">
      <alignment horizontal="left" indent="1"/>
      <protection locked="0"/>
    </xf>
    <xf numFmtId="0" fontId="21" fillId="0" borderId="0" xfId="100"/>
    <xf numFmtId="0" fontId="21" fillId="0" borderId="0" xfId="100" applyAlignment="1">
      <alignment horizontal="left" indent="1"/>
    </xf>
    <xf numFmtId="164" fontId="21" fillId="0" borderId="0" xfId="100" applyNumberFormat="1"/>
    <xf numFmtId="164" fontId="52" fillId="0" borderId="0" xfId="100" applyNumberFormat="1" applyFont="1"/>
    <xf numFmtId="0" fontId="22" fillId="0" borderId="0" xfId="100" applyFont="1"/>
    <xf numFmtId="0" fontId="22" fillId="0" borderId="0" xfId="100" applyFont="1" applyAlignment="1">
      <alignment horizontal="left" indent="1"/>
    </xf>
    <xf numFmtId="0" fontId="61" fillId="0" borderId="0" xfId="100" applyFont="1" applyAlignment="1">
      <alignment horizontal="left"/>
    </xf>
    <xf numFmtId="0" fontId="22" fillId="0" borderId="0" xfId="100" applyFont="1" applyAlignment="1">
      <alignment horizontal="center"/>
    </xf>
    <xf numFmtId="0" fontId="21" fillId="0" borderId="0" xfId="100" applyAlignment="1">
      <alignment horizontal="right"/>
    </xf>
    <xf numFmtId="0" fontId="22" fillId="0" borderId="0" xfId="100" applyFont="1" applyAlignment="1">
      <alignment horizontal="right"/>
    </xf>
    <xf numFmtId="0" fontId="22" fillId="0" borderId="8" xfId="100" applyFont="1" applyBorder="1" applyAlignment="1">
      <alignment horizontal="center"/>
    </xf>
    <xf numFmtId="0" fontId="21" fillId="36" borderId="0" xfId="100" applyFill="1"/>
    <xf numFmtId="164" fontId="21" fillId="36" borderId="0" xfId="100" applyNumberFormat="1" applyFill="1"/>
    <xf numFmtId="170" fontId="21" fillId="0" borderId="0" xfId="100" applyNumberFormat="1" applyAlignment="1">
      <alignment horizontal="center"/>
    </xf>
    <xf numFmtId="170" fontId="21" fillId="0" borderId="0" xfId="100" quotePrefix="1" applyNumberFormat="1" applyAlignment="1">
      <alignment horizontal="center"/>
    </xf>
    <xf numFmtId="164" fontId="21" fillId="0" borderId="0" xfId="96" applyNumberFormat="1" applyFont="1" applyBorder="1"/>
    <xf numFmtId="164" fontId="21" fillId="0" borderId="0" xfId="96" applyNumberFormat="1" applyFont="1"/>
    <xf numFmtId="168" fontId="21" fillId="0" borderId="0" xfId="96" applyNumberFormat="1" applyFont="1" applyBorder="1"/>
    <xf numFmtId="0" fontId="21" fillId="0" borderId="0" xfId="100" quotePrefix="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164" fontId="22" fillId="0" borderId="0" xfId="100" applyNumberFormat="1" applyFont="1" applyAlignment="1">
      <alignment horizontal="center"/>
    </xf>
    <xf numFmtId="164" fontId="22" fillId="0" borderId="8" xfId="100" applyNumberFormat="1" applyFont="1" applyBorder="1" applyAlignment="1">
      <alignment horizontal="center"/>
    </xf>
    <xf numFmtId="0" fontId="25" fillId="0" borderId="0" xfId="100" applyFont="1" applyAlignment="1">
      <alignment horizontal="center"/>
    </xf>
    <xf numFmtId="0" fontId="21" fillId="0" borderId="0" xfId="100" applyAlignment="1">
      <alignment horizontal="left"/>
    </xf>
    <xf numFmtId="1" fontId="21" fillId="36" borderId="0" xfId="100" applyNumberFormat="1" applyFill="1" applyAlignment="1">
      <alignment horizontal="center"/>
    </xf>
    <xf numFmtId="164" fontId="21" fillId="0" borderId="0" xfId="0" applyNumberFormat="1" applyFont="1" applyAlignment="1">
      <alignment horizontal="center"/>
    </xf>
    <xf numFmtId="1" fontId="21" fillId="0" borderId="0" xfId="100" quotePrefix="1" applyNumberFormat="1" applyAlignment="1">
      <alignment horizontal="right"/>
    </xf>
    <xf numFmtId="164" fontId="21" fillId="0" borderId="0" xfId="0" quotePrefix="1" applyNumberFormat="1" applyFont="1" applyAlignment="1">
      <alignment horizontal="center"/>
    </xf>
    <xf numFmtId="0" fontId="22" fillId="0" borderId="0" xfId="100" applyFont="1" applyAlignment="1">
      <alignment horizontal="left"/>
    </xf>
    <xf numFmtId="0" fontId="25" fillId="0" borderId="0" xfId="100" quotePrefix="1" applyFont="1" applyAlignment="1">
      <alignment horizontal="center"/>
    </xf>
    <xf numFmtId="0" fontId="21" fillId="0" borderId="0" xfId="100" quotePrefix="1" applyAlignment="1">
      <alignment horizontal="center"/>
    </xf>
    <xf numFmtId="0" fontId="21" fillId="0" borderId="0" xfId="100" applyAlignment="1">
      <alignment horizontal="center"/>
    </xf>
    <xf numFmtId="0" fontId="25" fillId="0" borderId="0" xfId="100" applyFo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Alignment="1">
      <alignment horizontal="right" indent="1"/>
    </xf>
    <xf numFmtId="167" fontId="0" fillId="0" borderId="0" xfId="19" applyNumberFormat="1" applyFont="1"/>
    <xf numFmtId="164" fontId="21" fillId="0" borderId="0" xfId="100" applyNumberFormat="1" applyAlignment="1">
      <alignment horizontal="right"/>
    </xf>
    <xf numFmtId="164" fontId="21" fillId="36" borderId="0" xfId="100" applyNumberFormat="1" applyFill="1" applyAlignment="1">
      <alignment horizontal="right"/>
    </xf>
    <xf numFmtId="10" fontId="0" fillId="0" borderId="0" xfId="37" applyNumberFormat="1" applyFont="1" applyAlignment="1">
      <alignment horizontal="center"/>
    </xf>
    <xf numFmtId="10" fontId="25" fillId="0" borderId="0" xfId="100" applyNumberFormat="1" applyFont="1" applyAlignment="1">
      <alignment horizontal="center"/>
    </xf>
    <xf numFmtId="10" fontId="21" fillId="0" borderId="0" xfId="37" applyNumberFormat="1" applyAlignment="1">
      <alignment horizontal="center"/>
    </xf>
    <xf numFmtId="0" fontId="23" fillId="0" borderId="0" xfId="0" applyFont="1" applyAlignment="1">
      <alignment horizontal="center"/>
    </xf>
    <xf numFmtId="0" fontId="22" fillId="0" borderId="0" xfId="0" applyFont="1" applyAlignment="1">
      <alignment horizontal="center" wrapText="1"/>
    </xf>
    <xf numFmtId="164" fontId="22" fillId="0" borderId="0" xfId="0" applyNumberFormat="1" applyFont="1" applyAlignment="1">
      <alignment horizontal="right" indent="1"/>
    </xf>
    <xf numFmtId="0" fontId="21" fillId="0" borderId="0" xfId="0" quotePrefix="1" applyFont="1" applyAlignment="1">
      <alignment horizontal="center" wrapText="1"/>
    </xf>
    <xf numFmtId="0" fontId="23" fillId="0" borderId="0" xfId="0" quotePrefix="1" applyFont="1" applyAlignment="1">
      <alignment horizontal="center"/>
    </xf>
    <xf numFmtId="0" fontId="21" fillId="0" borderId="0" xfId="100" quotePrefix="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172" fontId="0" fillId="0" borderId="0" xfId="0" applyNumberFormat="1"/>
    <xf numFmtId="0" fontId="21" fillId="36" borderId="0" xfId="0" applyFont="1" applyFill="1" applyAlignment="1">
      <alignment horizontal="center"/>
    </xf>
    <xf numFmtId="0" fontId="22" fillId="0" borderId="8" xfId="108" applyFont="1" applyBorder="1" applyAlignment="1">
      <alignment horizontal="center"/>
    </xf>
    <xf numFmtId="0" fontId="41" fillId="0" borderId="0" xfId="0" applyFont="1"/>
    <xf numFmtId="164" fontId="21" fillId="0" borderId="14" xfId="108" applyNumberFormat="1" applyBorder="1"/>
    <xf numFmtId="0" fontId="22" fillId="0" borderId="0" xfId="108" quotePrefix="1" applyFont="1" applyAlignment="1">
      <alignment horizontal="center"/>
    </xf>
    <xf numFmtId="0" fontId="39" fillId="0" borderId="0" xfId="0" applyFont="1" applyAlignment="1">
      <alignment horizontal="center"/>
    </xf>
    <xf numFmtId="164" fontId="21" fillId="0" borderId="0" xfId="108" applyNumberFormat="1" applyAlignment="1">
      <alignment horizontal="right"/>
    </xf>
    <xf numFmtId="164" fontId="21" fillId="0" borderId="15" xfId="108" applyNumberFormat="1" applyBorder="1"/>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4" xfId="19" applyNumberFormat="1" applyFont="1" applyBorder="1"/>
    <xf numFmtId="164" fontId="0" fillId="0" borderId="0" xfId="19" applyNumberFormat="1" applyFont="1" applyFill="1" applyBorder="1"/>
    <xf numFmtId="164" fontId="0" fillId="0" borderId="14" xfId="0" applyNumberFormat="1" applyBorder="1"/>
    <xf numFmtId="0" fontId="41" fillId="0" borderId="0" xfId="0" applyFont="1" applyAlignment="1">
      <alignment wrapText="1"/>
    </xf>
    <xf numFmtId="164" fontId="21" fillId="36" borderId="0" xfId="19" applyNumberFormat="1" applyFont="1" applyFill="1" applyBorder="1"/>
    <xf numFmtId="9" fontId="0" fillId="0" borderId="8" xfId="0" applyNumberFormat="1" applyBorder="1"/>
    <xf numFmtId="0" fontId="21" fillId="36" borderId="0" xfId="100" quotePrefix="1" applyFill="1" applyAlignment="1">
      <alignment horizontal="left"/>
    </xf>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37" fontId="21" fillId="36" borderId="3" xfId="0" applyNumberFormat="1" applyFont="1" applyFill="1" applyBorder="1" applyAlignment="1">
      <alignment horizontal="center"/>
    </xf>
    <xf numFmtId="0" fontId="52" fillId="36" borderId="0" xfId="0" applyFont="1" applyFill="1"/>
    <xf numFmtId="164" fontId="53" fillId="36" borderId="0" xfId="125" applyNumberFormat="1" applyFont="1" applyFill="1"/>
    <xf numFmtId="164" fontId="21" fillId="36" borderId="0" xfId="125" applyNumberFormat="1" applyFill="1"/>
    <xf numFmtId="39" fontId="21" fillId="0" borderId="0" xfId="0" applyNumberFormat="1" applyFont="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8" fillId="0" borderId="0" xfId="126" applyFont="1"/>
    <xf numFmtId="0" fontId="21" fillId="0" borderId="0" xfId="126"/>
    <xf numFmtId="0" fontId="21" fillId="0" borderId="0" xfId="126" applyAlignment="1">
      <alignment horizontal="center"/>
    </xf>
    <xf numFmtId="0" fontId="25" fillId="0" borderId="0" xfId="126" applyFont="1" applyAlignment="1">
      <alignment horizontal="center"/>
    </xf>
    <xf numFmtId="0" fontId="22" fillId="0" borderId="0" xfId="126" applyFont="1" applyAlignment="1">
      <alignment horizontal="right"/>
    </xf>
    <xf numFmtId="0" fontId="21" fillId="0" borderId="0" xfId="126" applyAlignment="1">
      <alignment horizontal="left" indent="1"/>
    </xf>
    <xf numFmtId="0" fontId="22" fillId="34" borderId="0" xfId="127" applyFont="1" applyFill="1"/>
    <xf numFmtId="0" fontId="21" fillId="36" borderId="0" xfId="127" applyFill="1"/>
    <xf numFmtId="164" fontId="21" fillId="0" borderId="0" xfId="126" applyNumberFormat="1"/>
    <xf numFmtId="0" fontId="25" fillId="0" borderId="0" xfId="126" quotePrefix="1" applyFont="1" applyAlignment="1">
      <alignment horizontal="center"/>
    </xf>
    <xf numFmtId="0" fontId="21" fillId="0" borderId="0" xfId="126" quotePrefix="1" applyAlignment="1">
      <alignment horizontal="center" wrapText="1"/>
    </xf>
    <xf numFmtId="0" fontId="25" fillId="0" borderId="0" xfId="126" quotePrefix="1" applyFont="1" applyAlignment="1">
      <alignment horizontal="center" vertical="center" wrapText="1"/>
    </xf>
    <xf numFmtId="0" fontId="22" fillId="0" borderId="3" xfId="126" applyFont="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Border="1" applyAlignment="1">
      <alignment horizontal="center"/>
    </xf>
    <xf numFmtId="0" fontId="22" fillId="0" borderId="4" xfId="126" applyFont="1" applyBorder="1" applyAlignment="1">
      <alignment horizontal="center" wrapText="1"/>
    </xf>
    <xf numFmtId="0" fontId="22" fillId="0" borderId="0" xfId="126" applyFont="1" applyAlignment="1">
      <alignment horizontal="center"/>
    </xf>
    <xf numFmtId="0" fontId="21" fillId="0" borderId="0" xfId="126" quotePrefix="1" applyAlignment="1">
      <alignment horizontal="center"/>
    </xf>
    <xf numFmtId="179" fontId="21" fillId="34" borderId="0" xfId="35" quotePrefix="1" applyNumberFormat="1" applyFont="1" applyFill="1" applyAlignment="1">
      <alignment horizontal="left"/>
    </xf>
    <xf numFmtId="3" fontId="21" fillId="0" borderId="0" xfId="126" applyNumberFormat="1"/>
    <xf numFmtId="3" fontId="43" fillId="0" borderId="0" xfId="129" applyNumberFormat="1"/>
    <xf numFmtId="2" fontId="22" fillId="0" borderId="3" xfId="126" applyNumberFormat="1" applyFont="1" applyBorder="1" applyAlignment="1">
      <alignment horizontal="center" wrapText="1"/>
    </xf>
    <xf numFmtId="2" fontId="21" fillId="0" borderId="0" xfId="126" applyNumberFormat="1" applyAlignment="1">
      <alignment horizontal="center" wrapText="1"/>
    </xf>
    <xf numFmtId="2" fontId="22" fillId="0" borderId="0" xfId="126" applyNumberFormat="1" applyFont="1" applyAlignment="1">
      <alignment horizontal="center"/>
    </xf>
    <xf numFmtId="2" fontId="21" fillId="0" borderId="0" xfId="126" applyNumberFormat="1"/>
    <xf numFmtId="2" fontId="21" fillId="0" borderId="0" xfId="126" applyNumberFormat="1" applyAlignment="1">
      <alignment horizontal="center"/>
    </xf>
    <xf numFmtId="0" fontId="22" fillId="0" borderId="0" xfId="126" applyFont="1" applyAlignment="1">
      <alignment horizontal="center" vertical="center" wrapText="1"/>
    </xf>
    <xf numFmtId="179" fontId="22" fillId="0" borderId="3" xfId="35" applyNumberFormat="1" applyFont="1" applyBorder="1" applyAlignment="1">
      <alignment horizontal="center"/>
    </xf>
    <xf numFmtId="0" fontId="25" fillId="0" borderId="0" xfId="126" applyFont="1"/>
    <xf numFmtId="0" fontId="21" fillId="0" borderId="0" xfId="126" applyAlignment="1">
      <alignment horizontal="left"/>
    </xf>
    <xf numFmtId="0" fontId="22" fillId="0" borderId="6" xfId="126" applyFont="1" applyBorder="1"/>
    <xf numFmtId="0" fontId="21" fillId="0" borderId="9" xfId="126" applyBorder="1"/>
    <xf numFmtId="0" fontId="21" fillId="36" borderId="0" xfId="126" applyFill="1"/>
    <xf numFmtId="0" fontId="22" fillId="0" borderId="0" xfId="126" applyFont="1" applyAlignment="1">
      <alignment horizontal="center" vertical="center"/>
    </xf>
    <xf numFmtId="0" fontId="25" fillId="0" borderId="0" xfId="126" quotePrefix="1" applyFont="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164" fontId="52" fillId="0" borderId="0" xfId="135" applyNumberFormat="1" applyFont="1"/>
    <xf numFmtId="164" fontId="70" fillId="0" borderId="0" xfId="135" applyNumberFormat="1" applyFont="1"/>
    <xf numFmtId="164" fontId="57" fillId="0" borderId="0" xfId="135" applyNumberFormat="1" applyFont="1"/>
    <xf numFmtId="0" fontId="21" fillId="0" borderId="0" xfId="28" applyFont="1" applyAlignment="1">
      <alignment horizontal="center" vertical="center"/>
    </xf>
    <xf numFmtId="43" fontId="21" fillId="0" borderId="0" xfId="0" applyNumberFormat="1" applyFont="1"/>
    <xf numFmtId="0" fontId="21" fillId="0" borderId="0" xfId="28" applyFont="1" applyAlignment="1">
      <alignment horizontal="center"/>
    </xf>
    <xf numFmtId="167" fontId="21" fillId="0" borderId="0" xfId="22" applyNumberFormat="1" applyFont="1"/>
    <xf numFmtId="164" fontId="21" fillId="0" borderId="0" xfId="28" applyNumberFormat="1" applyFont="1"/>
    <xf numFmtId="164" fontId="21" fillId="0" borderId="0" xfId="28" applyNumberFormat="1" applyFont="1" applyAlignment="1">
      <alignment horizontal="center"/>
    </xf>
    <xf numFmtId="0" fontId="21" fillId="36" borderId="0" xfId="28" applyFont="1" applyFill="1"/>
    <xf numFmtId="167" fontId="21" fillId="36" borderId="0" xfId="28" quotePrefix="1" applyNumberFormat="1" applyFont="1" applyFill="1" applyAlignment="1">
      <alignment horizontal="center"/>
    </xf>
    <xf numFmtId="167" fontId="21" fillId="0" borderId="8" xfId="28" applyNumberFormat="1" applyFont="1" applyBorder="1" applyAlignment="1">
      <alignment horizontal="center"/>
    </xf>
    <xf numFmtId="164" fontId="21" fillId="0" borderId="8" xfId="28" applyNumberFormat="1" applyFont="1" applyBorder="1" applyAlignment="1">
      <alignment horizontal="center"/>
    </xf>
    <xf numFmtId="5" fontId="21" fillId="0" borderId="8" xfId="28" quotePrefix="1" applyNumberFormat="1" applyFont="1" applyBorder="1" applyAlignment="1">
      <alignment horizontal="right"/>
    </xf>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8" xfId="28" quotePrefix="1" applyNumberFormat="1" applyFont="1" applyBorder="1" applyAlignment="1">
      <alignment horizontal="center"/>
    </xf>
    <xf numFmtId="167" fontId="21" fillId="0" borderId="8" xfId="28" applyNumberFormat="1" applyFont="1" applyBorder="1"/>
    <xf numFmtId="0" fontId="21" fillId="0" borderId="0" xfId="22" applyNumberFormat="1" applyFont="1" applyFill="1" applyBorder="1"/>
    <xf numFmtId="164" fontId="21" fillId="0" borderId="0" xfId="28" applyNumberFormat="1" applyFont="1" applyAlignment="1">
      <alignment vertical="top" wrapText="1"/>
    </xf>
    <xf numFmtId="167" fontId="21" fillId="0" borderId="0" xfId="22" applyNumberFormat="1" applyFont="1" applyFill="1" applyBorder="1" applyAlignment="1">
      <alignment horizontal="center" wrapText="1"/>
    </xf>
    <xf numFmtId="167" fontId="21" fillId="0" borderId="0" xfId="22" applyNumberFormat="1" applyFont="1" applyFill="1" applyBorder="1" applyAlignment="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Alignment="1">
      <alignment vertical="justify"/>
    </xf>
    <xf numFmtId="0" fontId="21" fillId="0" borderId="0" xfId="28" applyFont="1" applyAlignment="1">
      <alignment vertical="top"/>
    </xf>
    <xf numFmtId="167" fontId="21" fillId="0" borderId="0" xfId="22" applyNumberFormat="1" applyFont="1" applyFill="1"/>
    <xf numFmtId="0" fontId="21" fillId="0" borderId="0" xfId="28" applyFont="1" applyAlignment="1">
      <alignment vertical="top" wrapText="1"/>
    </xf>
    <xf numFmtId="0" fontId="21" fillId="0" borderId="0" xfId="28" applyFont="1" applyAlignment="1" applyProtection="1">
      <alignment horizontal="left" vertical="top" indent="1"/>
      <protection locked="0"/>
    </xf>
    <xf numFmtId="0" fontId="21" fillId="0" borderId="0" xfId="28" applyFont="1" applyAlignment="1">
      <alignment horizontal="left" indent="1"/>
    </xf>
    <xf numFmtId="165" fontId="21" fillId="0" borderId="0" xfId="28" applyNumberFormat="1" applyFont="1"/>
    <xf numFmtId="0" fontId="21" fillId="36" borderId="0" xfId="100" applyFill="1" applyAlignment="1">
      <alignment horizontal="center"/>
    </xf>
    <xf numFmtId="168" fontId="0" fillId="0" borderId="0" xfId="0" applyNumberFormat="1"/>
    <xf numFmtId="0" fontId="21" fillId="0" borderId="0" xfId="0" quotePrefix="1" applyFont="1" applyAlignment="1">
      <alignment horizontal="left" indent="2"/>
    </xf>
    <xf numFmtId="0" fontId="21" fillId="0" borderId="0" xfId="0" applyFont="1" applyAlignment="1">
      <alignment horizontal="left" indent="3"/>
    </xf>
    <xf numFmtId="0" fontId="53" fillId="0" borderId="0" xfId="0" applyFont="1" applyAlignment="1">
      <alignment horizontal="left"/>
    </xf>
    <xf numFmtId="10" fontId="21" fillId="0" borderId="0" xfId="0" quotePrefix="1" applyNumberFormat="1" applyFont="1" applyAlignment="1">
      <alignment horizontal="right"/>
    </xf>
    <xf numFmtId="0" fontId="54" fillId="36" borderId="0" xfId="0" quotePrefix="1" applyFont="1" applyFill="1" applyAlignment="1">
      <alignment horizontal="center"/>
    </xf>
    <xf numFmtId="0" fontId="64" fillId="0" borderId="0" xfId="0" applyFont="1" applyAlignment="1">
      <alignment horizontal="left" vertical="center"/>
    </xf>
    <xf numFmtId="0" fontId="21" fillId="0" borderId="0" xfId="34" applyFont="1" applyAlignment="1">
      <alignment horizontal="right"/>
    </xf>
    <xf numFmtId="0" fontId="55" fillId="0" borderId="0" xfId="0" applyFont="1" applyAlignment="1">
      <alignment horizontal="left" indent="1"/>
    </xf>
    <xf numFmtId="0" fontId="53" fillId="0" borderId="0" xfId="0" quotePrefix="1" applyFont="1" applyAlignment="1">
      <alignment horizontal="center"/>
    </xf>
    <xf numFmtId="164" fontId="0" fillId="0" borderId="0" xfId="0" applyNumberFormat="1" applyAlignment="1">
      <alignment horizontal="right"/>
    </xf>
    <xf numFmtId="10" fontId="21" fillId="0" borderId="0" xfId="37" applyNumberFormat="1" applyFont="1" applyFill="1" applyAlignment="1">
      <alignment horizontal="center"/>
    </xf>
    <xf numFmtId="0" fontId="22" fillId="0" borderId="7" xfId="28" applyFont="1" applyBorder="1" applyAlignment="1">
      <alignment horizontal="center"/>
    </xf>
    <xf numFmtId="0" fontId="21" fillId="0" borderId="0" xfId="28" quotePrefix="1" applyFont="1"/>
    <xf numFmtId="0" fontId="21" fillId="0" borderId="0" xfId="28" applyFont="1" applyAlignment="1" applyProtection="1">
      <alignment horizontal="left" indent="2"/>
      <protection locked="0"/>
    </xf>
    <xf numFmtId="10" fontId="21" fillId="0" borderId="0" xfId="28" applyNumberFormat="1" applyFont="1"/>
    <xf numFmtId="0" fontId="63" fillId="0" borderId="0" xfId="0" applyFont="1"/>
    <xf numFmtId="37" fontId="21" fillId="0" borderId="3" xfId="0" applyNumberFormat="1" applyFont="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Font="1" applyBorder="1"/>
    <xf numFmtId="0" fontId="21" fillId="0" borderId="3" xfId="0" quotePrefix="1" applyFont="1" applyBorder="1" applyAlignment="1">
      <alignment horizontal="center"/>
    </xf>
    <xf numFmtId="49" fontId="21" fillId="0" borderId="0" xfId="22" applyNumberFormat="1" applyFont="1" applyFill="1" applyBorder="1" applyAlignment="1">
      <alignment horizontal="left"/>
    </xf>
    <xf numFmtId="0" fontId="21" fillId="0" borderId="0" xfId="108" applyAlignment="1">
      <alignment horizontal="left" indent="1"/>
    </xf>
    <xf numFmtId="0" fontId="54" fillId="0" borderId="0" xfId="0" applyFont="1" applyAlignment="1">
      <alignment horizontal="left"/>
    </xf>
    <xf numFmtId="171" fontId="0" fillId="0" borderId="0" xfId="0" applyNumberFormat="1"/>
    <xf numFmtId="0" fontId="36" fillId="0" borderId="0" xfId="28" applyFont="1" applyAlignment="1">
      <alignment vertical="center"/>
    </xf>
    <xf numFmtId="164" fontId="21" fillId="0" borderId="0" xfId="106" applyNumberFormat="1" applyFont="1" applyFill="1"/>
    <xf numFmtId="0" fontId="31" fillId="0" borderId="0" xfId="100" applyFont="1"/>
    <xf numFmtId="168" fontId="24" fillId="0" borderId="0" xfId="28" applyNumberFormat="1"/>
    <xf numFmtId="0" fontId="21" fillId="0" borderId="0" xfId="28" applyFont="1" applyAlignment="1">
      <alignment vertical="center"/>
    </xf>
    <xf numFmtId="164" fontId="21" fillId="0" borderId="8" xfId="96" applyNumberFormat="1" applyFont="1" applyBorder="1"/>
    <xf numFmtId="17" fontId="21" fillId="36" borderId="0" xfId="100" quotePrefix="1"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ill="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ill="1" applyAlignment="1">
      <alignment horizontal="center"/>
    </xf>
    <xf numFmtId="164" fontId="21" fillId="36" borderId="0" xfId="96" applyNumberFormat="1" applyFont="1" applyFill="1" applyBorder="1"/>
    <xf numFmtId="0" fontId="53" fillId="36" borderId="0" xfId="125" applyFont="1" applyFill="1"/>
    <xf numFmtId="170" fontId="21" fillId="36" borderId="0" xfId="125" quotePrefix="1" applyNumberFormat="1" applyFill="1" applyAlignment="1">
      <alignment horizontal="center"/>
    </xf>
    <xf numFmtId="0" fontId="21" fillId="36" borderId="0" xfId="125" applyFill="1"/>
    <xf numFmtId="164" fontId="53" fillId="36" borderId="0" xfId="96" applyNumberFormat="1" applyFont="1" applyFill="1" applyBorder="1"/>
    <xf numFmtId="164" fontId="64" fillId="36" borderId="0" xfId="0" applyNumberFormat="1" applyFont="1" applyFill="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21" fillId="34" borderId="0" xfId="0" applyNumberFormat="1" applyFont="1" applyFill="1"/>
    <xf numFmtId="181" fontId="22" fillId="36" borderId="0" xfId="19" applyNumberFormat="1" applyFont="1" applyFill="1" applyAlignment="1">
      <alignment horizontal="center"/>
    </xf>
    <xf numFmtId="170" fontId="21" fillId="36" borderId="0" xfId="0" quotePrefix="1" applyNumberFormat="1" applyFont="1" applyFill="1" applyAlignment="1">
      <alignment horizontal="center"/>
    </xf>
    <xf numFmtId="10" fontId="21" fillId="0" borderId="0" xfId="0" applyNumberFormat="1" applyFont="1" applyAlignment="1">
      <alignment horizontal="right" wrapText="1"/>
    </xf>
    <xf numFmtId="0" fontId="52" fillId="0" borderId="0" xfId="126" applyFont="1" applyAlignment="1">
      <alignment horizontal="center"/>
    </xf>
    <xf numFmtId="0" fontId="21" fillId="0" borderId="5" xfId="126" applyBorder="1" applyAlignment="1">
      <alignment horizontal="center" wrapText="1"/>
    </xf>
    <xf numFmtId="0" fontId="21" fillId="0" borderId="0" xfId="126" applyAlignment="1">
      <alignment horizontal="center" wrapText="1"/>
    </xf>
    <xf numFmtId="0" fontId="21" fillId="0" borderId="18" xfId="126" applyBorder="1" applyAlignment="1">
      <alignment horizontal="center"/>
    </xf>
    <xf numFmtId="9" fontId="21" fillId="0" borderId="0" xfId="37" applyFont="1" applyFill="1"/>
    <xf numFmtId="0" fontId="158" fillId="0" borderId="0" xfId="126" applyFont="1" applyAlignment="1">
      <alignment horizontal="center"/>
    </xf>
    <xf numFmtId="0" fontId="22" fillId="0" borderId="4" xfId="126" applyFont="1" applyBorder="1" applyAlignment="1">
      <alignment horizontal="center"/>
    </xf>
    <xf numFmtId="0" fontId="158" fillId="0" borderId="0" xfId="126" quotePrefix="1" applyFont="1" applyAlignment="1">
      <alignment horizontal="center" wrapText="1"/>
    </xf>
    <xf numFmtId="0" fontId="160" fillId="0" borderId="0" xfId="126" quotePrefix="1" applyFont="1" applyAlignment="1">
      <alignment horizontal="center"/>
    </xf>
    <xf numFmtId="2" fontId="161" fillId="0" borderId="28" xfId="126" applyNumberFormat="1" applyFont="1" applyBorder="1" applyAlignment="1">
      <alignment horizontal="center" wrapText="1"/>
    </xf>
    <xf numFmtId="2" fontId="161" fillId="0" borderId="0" xfId="126" applyNumberFormat="1" applyFont="1" applyAlignment="1">
      <alignment horizontal="center" wrapText="1"/>
    </xf>
    <xf numFmtId="2" fontId="158" fillId="0" borderId="0" xfId="126" applyNumberFormat="1" applyFont="1"/>
    <xf numFmtId="164" fontId="158" fillId="0" borderId="0" xfId="126" applyNumberFormat="1" applyFont="1"/>
    <xf numFmtId="1" fontId="158" fillId="0" borderId="0" xfId="126" applyNumberFormat="1" applyFont="1"/>
    <xf numFmtId="166" fontId="21" fillId="0" borderId="0" xfId="126" quotePrefix="1" applyNumberFormat="1" applyAlignment="1">
      <alignment horizontal="center"/>
    </xf>
    <xf numFmtId="166" fontId="21" fillId="0" borderId="0" xfId="126" applyNumberFormat="1" applyAlignment="1">
      <alignment horizontal="center"/>
    </xf>
    <xf numFmtId="0" fontId="21" fillId="0" borderId="0" xfId="126" applyAlignment="1">
      <alignment readingOrder="1"/>
    </xf>
    <xf numFmtId="0" fontId="21" fillId="0" borderId="0" xfId="126" applyAlignment="1">
      <alignment wrapText="1"/>
    </xf>
    <xf numFmtId="10" fontId="21" fillId="0" borderId="0" xfId="126" applyNumberFormat="1"/>
    <xf numFmtId="0" fontId="21" fillId="0" borderId="0" xfId="100" applyAlignment="1">
      <alignment horizontal="left" indent="2"/>
    </xf>
    <xf numFmtId="0" fontId="21" fillId="0" borderId="0" xfId="0" applyFont="1" applyAlignment="1">
      <alignment horizontal="left" indent="4"/>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37" fontId="0" fillId="36" borderId="0" xfId="19" applyNumberFormat="1" applyFont="1" applyFill="1"/>
    <xf numFmtId="3" fontId="21" fillId="0" borderId="0" xfId="100" applyNumberFormat="1" applyAlignment="1">
      <alignment horizontal="left" indent="1"/>
    </xf>
    <xf numFmtId="167" fontId="22" fillId="0" borderId="0" xfId="96" applyNumberFormat="1" applyFont="1" applyFill="1" applyBorder="1" applyAlignment="1">
      <alignment horizontal="center"/>
    </xf>
    <xf numFmtId="165" fontId="0" fillId="36" borderId="0" xfId="0" applyNumberFormat="1" applyFill="1"/>
    <xf numFmtId="164" fontId="21" fillId="36" borderId="0" xfId="100" applyNumberFormat="1" applyFill="1" applyAlignment="1">
      <alignment vertical="top" wrapText="1"/>
    </xf>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0" borderId="0" xfId="100" quotePrefix="1" applyAlignment="1">
      <alignment horizontal="left"/>
    </xf>
    <xf numFmtId="164" fontId="21" fillId="0" borderId="0" xfId="96" applyNumberFormat="1" applyFont="1" applyFill="1" applyBorder="1" applyAlignment="1">
      <alignment horizontal="right"/>
    </xf>
    <xf numFmtId="167" fontId="21" fillId="0" borderId="0" xfId="100" quotePrefix="1" applyNumberFormat="1" applyAlignment="1">
      <alignment horizontal="left" indent="1"/>
    </xf>
    <xf numFmtId="0" fontId="25" fillId="0" borderId="0" xfId="100" applyFont="1" applyAlignment="1">
      <alignment horizontal="left"/>
    </xf>
    <xf numFmtId="167" fontId="21" fillId="0" borderId="0" xfId="100" applyNumberFormat="1" applyAlignment="1">
      <alignment horizontal="left" indent="1"/>
    </xf>
    <xf numFmtId="167" fontId="21" fillId="0" borderId="0" xfId="96" applyNumberFormat="1" applyFont="1" applyFill="1" applyBorder="1" applyAlignment="1">
      <alignment horizontal="right"/>
    </xf>
    <xf numFmtId="167" fontId="21" fillId="0" borderId="0" xfId="100" applyNumberFormat="1" applyAlignment="1">
      <alignment horizontal="right"/>
    </xf>
    <xf numFmtId="1" fontId="21" fillId="0" borderId="0" xfId="100" applyNumberFormat="1" applyAlignment="1">
      <alignment horizontal="center"/>
    </xf>
    <xf numFmtId="3" fontId="21" fillId="0" borderId="0" xfId="100" applyNumberFormat="1"/>
    <xf numFmtId="3" fontId="25" fillId="0" borderId="0" xfId="100" applyNumberFormat="1" applyFont="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0" fontId="21" fillId="0" borderId="0" xfId="0" quotePrefix="1" applyFont="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Alignment="1">
      <alignment horizontal="left"/>
    </xf>
    <xf numFmtId="0" fontId="64" fillId="0" borderId="0" xfId="0" applyFont="1" applyAlignment="1">
      <alignment horizontal="left" vertical="center" indent="1"/>
    </xf>
    <xf numFmtId="171" fontId="21" fillId="0" borderId="0" xfId="0" applyNumberFormat="1" applyFont="1"/>
    <xf numFmtId="37" fontId="22" fillId="36" borderId="3" xfId="97" quotePrefix="1" applyNumberFormat="1" applyFont="1" applyFill="1" applyBorder="1" applyAlignment="1">
      <alignment horizontal="center"/>
    </xf>
    <xf numFmtId="0" fontId="21" fillId="36" borderId="3" xfId="0" quotePrefix="1" applyFont="1" applyFill="1" applyBorder="1" applyAlignment="1">
      <alignment horizontal="center"/>
    </xf>
    <xf numFmtId="0" fontId="21" fillId="36" borderId="3" xfId="0" applyFont="1" applyFill="1" applyBorder="1"/>
    <xf numFmtId="0" fontId="21" fillId="36" borderId="3" xfId="0" applyFont="1" applyFill="1" applyBorder="1" applyAlignment="1">
      <alignment horizontal="center"/>
    </xf>
    <xf numFmtId="164" fontId="21" fillId="36" borderId="0" xfId="100" applyNumberFormat="1" applyFill="1" applyAlignment="1">
      <alignment horizontal="right" vertical="center" wrapText="1"/>
    </xf>
    <xf numFmtId="164" fontId="28" fillId="36" borderId="0" xfId="100" applyNumberFormat="1" applyFont="1" applyFill="1" applyAlignment="1">
      <alignment horizontal="right" vertical="center" wrapText="1"/>
    </xf>
    <xf numFmtId="164" fontId="21" fillId="36" borderId="0" xfId="96" applyNumberFormat="1" applyFont="1" applyFill="1"/>
    <xf numFmtId="164" fontId="35" fillId="36" borderId="0" xfId="96" applyNumberFormat="1" applyFont="1" applyFill="1"/>
    <xf numFmtId="164" fontId="35" fillId="36" borderId="0" xfId="100" applyNumberFormat="1" applyFont="1" applyFill="1"/>
    <xf numFmtId="1" fontId="21" fillId="36" borderId="0" xfId="126" applyNumberFormat="1" applyFill="1"/>
    <xf numFmtId="0" fontId="52" fillId="0" borderId="0" xfId="0" applyFont="1"/>
    <xf numFmtId="0" fontId="21" fillId="0" borderId="11" xfId="0" applyFont="1" applyBorder="1" applyAlignment="1">
      <alignment horizontal="center"/>
    </xf>
    <xf numFmtId="0" fontId="21" fillId="0" borderId="4" xfId="0" applyFont="1" applyBorder="1" applyAlignment="1">
      <alignment horizontal="center"/>
    </xf>
    <xf numFmtId="0" fontId="21" fillId="0" borderId="56" xfId="0" applyFont="1" applyBorder="1" applyAlignment="1">
      <alignment horizontal="center"/>
    </xf>
    <xf numFmtId="164" fontId="21" fillId="36" borderId="0" xfId="0" applyNumberFormat="1" applyFont="1" applyFill="1" applyAlignment="1">
      <alignment horizontal="center"/>
    </xf>
    <xf numFmtId="0" fontId="22" fillId="36" borderId="0" xfId="0" applyFont="1" applyFill="1" applyAlignment="1">
      <alignment horizontal="left"/>
    </xf>
    <xf numFmtId="3" fontId="53" fillId="0" borderId="0" xfId="0" applyNumberFormat="1" applyFont="1"/>
    <xf numFmtId="164" fontId="21" fillId="0" borderId="0" xfId="23" applyNumberFormat="1" applyFont="1" applyFill="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2" fillId="0" borderId="0" xfId="0" applyFont="1" applyAlignment="1">
      <alignment horizontal="left" wrapText="1"/>
    </xf>
    <xf numFmtId="49" fontId="72" fillId="0" borderId="0" xfId="0" quotePrefix="1" applyNumberFormat="1" applyFont="1" applyAlignment="1">
      <alignment horizontal="left" indent="1"/>
    </xf>
    <xf numFmtId="0" fontId="72" fillId="0" borderId="0" xfId="0" applyFont="1"/>
    <xf numFmtId="49" fontId="72" fillId="0" borderId="0" xfId="0" applyNumberFormat="1" applyFont="1" applyAlignment="1">
      <alignment horizontal="left" indent="1"/>
    </xf>
    <xf numFmtId="3" fontId="21" fillId="0" borderId="0" xfId="23" applyNumberFormat="1" applyFont="1" applyBorder="1" applyAlignment="1">
      <alignment horizontal="right"/>
    </xf>
    <xf numFmtId="3" fontId="21" fillId="0" borderId="0" xfId="0" applyNumberFormat="1" applyFont="1"/>
    <xf numFmtId="164" fontId="53" fillId="36" borderId="0" xfId="23" applyNumberFormat="1" applyFont="1" applyFill="1" applyAlignment="1">
      <alignment horizontal="right"/>
    </xf>
    <xf numFmtId="49" fontId="55"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3" fontId="53" fillId="36" borderId="0" xfId="247" applyNumberFormat="1" applyFont="1" applyFill="1"/>
    <xf numFmtId="0" fontId="57" fillId="0" borderId="0" xfId="0" applyFont="1" applyAlignment="1">
      <alignment horizontal="center"/>
    </xf>
    <xf numFmtId="37" fontId="52" fillId="0" borderId="0" xfId="0" applyNumberFormat="1" applyFont="1"/>
    <xf numFmtId="0" fontId="21" fillId="0" borderId="3" xfId="0" applyFont="1" applyBorder="1" applyAlignment="1">
      <alignment horizontal="left"/>
    </xf>
    <xf numFmtId="0" fontId="21" fillId="0" borderId="3" xfId="97" applyNumberFormat="1" applyFont="1" applyFill="1" applyBorder="1" applyAlignment="1">
      <alignment horizontal="left"/>
    </xf>
    <xf numFmtId="0" fontId="21" fillId="0" borderId="3" xfId="0" quotePrefix="1" applyFont="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Border="1" applyAlignment="1">
      <alignment horizontal="center"/>
    </xf>
    <xf numFmtId="10" fontId="21" fillId="36" borderId="0" xfId="0" applyNumberFormat="1" applyFont="1" applyFill="1" applyAlignment="1">
      <alignment horizontal="right"/>
    </xf>
    <xf numFmtId="2" fontId="21" fillId="0" borderId="3" xfId="126" applyNumberFormat="1" applyBorder="1" applyAlignment="1">
      <alignment horizontal="center" wrapText="1"/>
    </xf>
    <xf numFmtId="0" fontId="70" fillId="0" borderId="0" xfId="0" applyFont="1"/>
    <xf numFmtId="167" fontId="21" fillId="0" borderId="0" xfId="28" applyNumberFormat="1" applyFont="1" applyAlignment="1">
      <alignment vertical="center"/>
    </xf>
    <xf numFmtId="0" fontId="22" fillId="0" borderId="0" xfId="0" applyFont="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xf numFmtId="0" fontId="21" fillId="0" borderId="0" xfId="100" quotePrefix="1" applyAlignment="1">
      <alignment horizontal="center" wrapText="1"/>
    </xf>
    <xf numFmtId="10" fontId="21" fillId="0" borderId="0" xfId="37" quotePrefix="1" applyNumberFormat="1" applyFont="1" applyFill="1" applyAlignment="1">
      <alignment horizontal="center" wrapText="1"/>
    </xf>
    <xf numFmtId="0" fontId="21" fillId="0" borderId="0" xfId="100" applyAlignment="1">
      <alignment horizontal="center" wrapText="1"/>
    </xf>
    <xf numFmtId="164" fontId="21" fillId="0" borderId="0" xfId="100" quotePrefix="1" applyNumberFormat="1" applyAlignment="1">
      <alignment horizontal="center"/>
    </xf>
    <xf numFmtId="10" fontId="0" fillId="0" borderId="0" xfId="37" applyNumberFormat="1" applyFont="1" applyFill="1" applyAlignment="1">
      <alignment horizontal="center"/>
    </xf>
    <xf numFmtId="1" fontId="24" fillId="0" borderId="0" xfId="28" quotePrefix="1" applyNumberFormat="1" applyAlignment="1">
      <alignment horizontal="right"/>
    </xf>
    <xf numFmtId="164" fontId="21" fillId="0" borderId="0" xfId="96" applyNumberFormat="1" applyFont="1" applyFill="1" applyBorder="1" applyAlignment="1">
      <alignment horizontal="left" indent="1"/>
    </xf>
    <xf numFmtId="0" fontId="21" fillId="0" borderId="0" xfId="28" quotePrefix="1" applyFont="1" applyAlignment="1">
      <alignment horizontal="center" vertical="center"/>
    </xf>
    <xf numFmtId="0" fontId="21" fillId="0" borderId="0" xfId="28" quotePrefix="1" applyFont="1" applyAlignment="1">
      <alignment horizontal="center"/>
    </xf>
    <xf numFmtId="167" fontId="21" fillId="0" borderId="0" xfId="28" quotePrefix="1" applyNumberFormat="1" applyFont="1" applyAlignment="1">
      <alignment horizontal="center"/>
    </xf>
    <xf numFmtId="0" fontId="21" fillId="0" borderId="0" xfId="28" quotePrefix="1" applyFont="1" applyAlignment="1">
      <alignment vertical="center"/>
    </xf>
    <xf numFmtId="0" fontId="24" fillId="0" borderId="0" xfId="28" applyAlignment="1">
      <alignment vertical="center"/>
    </xf>
    <xf numFmtId="0" fontId="22" fillId="0" borderId="0" xfId="28" applyFont="1" applyAlignment="1">
      <alignment horizontal="right" vertical="center"/>
    </xf>
    <xf numFmtId="0" fontId="21" fillId="0" borderId="0" xfId="126" applyAlignment="1">
      <alignment vertical="center" wrapText="1"/>
    </xf>
    <xf numFmtId="0" fontId="21" fillId="0" borderId="0" xfId="126" applyAlignment="1">
      <alignment horizontal="center" vertical="center" wrapText="1"/>
    </xf>
    <xf numFmtId="173" fontId="21" fillId="0" borderId="0" xfId="126" applyNumberFormat="1" applyAlignment="1">
      <alignment horizontal="center"/>
    </xf>
    <xf numFmtId="166" fontId="21" fillId="0" borderId="16" xfId="126" applyNumberFormat="1" applyBorder="1" applyAlignment="1">
      <alignment horizontal="center"/>
    </xf>
    <xf numFmtId="0" fontId="21" fillId="0" borderId="17" xfId="0" applyFont="1" applyBorder="1" applyAlignment="1">
      <alignment horizontal="center"/>
    </xf>
    <xf numFmtId="166" fontId="21" fillId="0" borderId="0" xfId="126" applyNumberFormat="1"/>
    <xf numFmtId="3" fontId="21" fillId="0" borderId="0" xfId="131" applyNumberFormat="1" applyFont="1"/>
    <xf numFmtId="3" fontId="21" fillId="0" borderId="0" xfId="132" applyNumberFormat="1" applyFont="1"/>
    <xf numFmtId="3" fontId="21" fillId="0" borderId="0" xfId="130" applyNumberFormat="1" applyFont="1" applyAlignment="1">
      <alignment horizontal="center"/>
    </xf>
    <xf numFmtId="3" fontId="21" fillId="0" borderId="0" xfId="0" applyNumberFormat="1" applyFont="1" applyAlignment="1">
      <alignment horizontal="right"/>
    </xf>
    <xf numFmtId="166" fontId="21" fillId="0" borderId="0" xfId="0" applyNumberFormat="1" applyFont="1" applyAlignment="1">
      <alignment horizontal="right"/>
    </xf>
    <xf numFmtId="173" fontId="21" fillId="0" borderId="0" xfId="126" quotePrefix="1" applyNumberFormat="1" applyAlignment="1">
      <alignment horizontal="center"/>
    </xf>
    <xf numFmtId="164" fontId="21" fillId="0" borderId="0" xfId="126" quotePrefix="1" applyNumberFormat="1" applyAlignment="1">
      <alignment horizontal="center"/>
    </xf>
    <xf numFmtId="164" fontId="21" fillId="0" borderId="0" xfId="126" applyNumberFormat="1" applyAlignment="1">
      <alignment horizontal="right"/>
    </xf>
    <xf numFmtId="166" fontId="21" fillId="0" borderId="16" xfId="126" quotePrefix="1" applyNumberFormat="1" applyBorder="1" applyAlignment="1">
      <alignment horizontal="center"/>
    </xf>
    <xf numFmtId="166" fontId="21" fillId="0" borderId="17" xfId="126" applyNumberFormat="1" applyBorder="1" applyAlignment="1">
      <alignment horizontal="center"/>
    </xf>
    <xf numFmtId="179" fontId="22" fillId="0" borderId="0" xfId="35" applyNumberFormat="1" applyFont="1" applyAlignment="1">
      <alignment horizontal="left"/>
    </xf>
    <xf numFmtId="0" fontId="21" fillId="0" borderId="7" xfId="126" applyBorder="1"/>
    <xf numFmtId="0" fontId="21" fillId="0" borderId="7" xfId="126" applyBorder="1" applyAlignment="1">
      <alignment horizontal="center"/>
    </xf>
    <xf numFmtId="174" fontId="21" fillId="36" borderId="0" xfId="0" applyNumberFormat="1" applyFont="1" applyFill="1" applyAlignment="1">
      <alignment horizontal="center"/>
    </xf>
    <xf numFmtId="0" fontId="52" fillId="0" borderId="10" xfId="126" applyFont="1" applyBorder="1" applyAlignment="1">
      <alignment horizontal="center"/>
    </xf>
    <xf numFmtId="9" fontId="0" fillId="0" borderId="0" xfId="0" applyNumberFormat="1" applyAlignment="1">
      <alignment horizontal="left"/>
    </xf>
    <xf numFmtId="0" fontId="21" fillId="0" borderId="4" xfId="126" applyBorder="1" applyAlignment="1">
      <alignment wrapText="1"/>
    </xf>
    <xf numFmtId="0" fontId="21" fillId="0" borderId="0" xfId="126" quotePrefix="1" applyAlignment="1">
      <alignment horizontal="center" vertical="center" wrapText="1"/>
    </xf>
    <xf numFmtId="0" fontId="21" fillId="0" borderId="0" xfId="126" quotePrefix="1" applyAlignment="1">
      <alignment horizontal="center" vertical="top" wrapText="1"/>
    </xf>
    <xf numFmtId="3" fontId="21" fillId="0" borderId="3" xfId="126" applyNumberFormat="1" applyBorder="1"/>
    <xf numFmtId="10" fontId="21" fillId="0" borderId="3" xfId="126" applyNumberFormat="1" applyBorder="1"/>
    <xf numFmtId="10" fontId="53" fillId="0" borderId="3" xfId="134" applyNumberFormat="1" applyFont="1" applyFill="1" applyBorder="1"/>
    <xf numFmtId="164" fontId="21" fillId="0" borderId="3" xfId="126" applyNumberFormat="1" applyBorder="1"/>
    <xf numFmtId="0" fontId="63" fillId="0" borderId="0" xfId="126" quotePrefix="1" applyFont="1" applyAlignment="1">
      <alignment horizontal="center" vertical="center" wrapText="1"/>
    </xf>
    <xf numFmtId="0" fontId="21" fillId="0" borderId="6" xfId="126" quotePrefix="1" applyBorder="1" applyAlignment="1">
      <alignment horizontal="center" wrapText="1"/>
    </xf>
    <xf numFmtId="0" fontId="21" fillId="0" borderId="5" xfId="126" quotePrefix="1" applyBorder="1" applyAlignment="1">
      <alignment horizontal="center" wrapText="1"/>
    </xf>
    <xf numFmtId="0" fontId="22" fillId="0" borderId="9" xfId="126" applyFont="1" applyBorder="1"/>
    <xf numFmtId="0" fontId="21" fillId="0" borderId="4" xfId="126"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70" fillId="0" borderId="0" xfId="0" applyFont="1" applyAlignment="1">
      <alignment horizontal="left" indent="2"/>
    </xf>
    <xf numFmtId="0" fontId="163" fillId="0" borderId="0" xfId="0" applyFont="1"/>
    <xf numFmtId="0" fontId="70" fillId="0" borderId="0" xfId="0" applyFont="1" applyAlignment="1">
      <alignment horizontal="left" indent="1"/>
    </xf>
    <xf numFmtId="0" fontId="26" fillId="37" borderId="0" xfId="0" applyFont="1" applyFill="1"/>
    <xf numFmtId="0" fontId="70" fillId="36" borderId="0" xfId="0" applyFont="1" applyFill="1"/>
    <xf numFmtId="0" fontId="163" fillId="0" borderId="0" xfId="0" applyFont="1" applyAlignment="1">
      <alignment horizontal="right"/>
    </xf>
    <xf numFmtId="0" fontId="64" fillId="0" borderId="0" xfId="0" applyFont="1"/>
    <xf numFmtId="0" fontId="164" fillId="0" borderId="0" xfId="0" applyFont="1"/>
    <xf numFmtId="0" fontId="0" fillId="0" borderId="0" xfId="0" applyAlignment="1">
      <alignment horizontal="left" vertical="center" indent="1"/>
    </xf>
    <xf numFmtId="3" fontId="60" fillId="0" borderId="0" xfId="0" applyNumberFormat="1" applyFont="1"/>
    <xf numFmtId="0" fontId="22" fillId="0" borderId="0" xfId="34" applyFont="1" applyAlignment="1">
      <alignment horizontal="right"/>
    </xf>
    <xf numFmtId="0" fontId="22" fillId="0" borderId="0" xfId="0" applyFont="1" applyAlignment="1">
      <alignment horizontal="right" indent="1"/>
    </xf>
    <xf numFmtId="170" fontId="21" fillId="36" borderId="0" xfId="100" quotePrefix="1" applyNumberFormat="1" applyFill="1" applyAlignment="1">
      <alignment horizontal="center"/>
    </xf>
    <xf numFmtId="3" fontId="21" fillId="36" borderId="61" xfId="19" applyNumberFormat="1" applyFont="1" applyFill="1" applyBorder="1" applyAlignment="1">
      <alignment horizontal="center"/>
    </xf>
    <xf numFmtId="3" fontId="21" fillId="36" borderId="11" xfId="19" applyNumberFormat="1" applyFont="1" applyFill="1" applyBorder="1" applyAlignment="1">
      <alignment horizontal="center"/>
    </xf>
    <xf numFmtId="0" fontId="21" fillId="0" borderId="4" xfId="0" applyFont="1" applyBorder="1"/>
    <xf numFmtId="167" fontId="54" fillId="0" borderId="0" xfId="19" quotePrefix="1" applyNumberFormat="1" applyFont="1"/>
    <xf numFmtId="167" fontId="54" fillId="0" borderId="0" xfId="19" applyNumberFormat="1" applyFont="1" applyBorder="1" applyAlignment="1">
      <alignment horizontal="center"/>
    </xf>
    <xf numFmtId="167" fontId="51" fillId="0" borderId="0" xfId="19" applyNumberFormat="1" applyFont="1" applyBorder="1" applyAlignment="1"/>
    <xf numFmtId="167" fontId="53" fillId="0" borderId="0" xfId="19" applyNumberFormat="1" applyFont="1"/>
    <xf numFmtId="167" fontId="54" fillId="0" borderId="0" xfId="19" quotePrefix="1" applyNumberFormat="1" applyFont="1" applyAlignment="1">
      <alignment horizontal="right"/>
    </xf>
    <xf numFmtId="181" fontId="54" fillId="36" borderId="0" xfId="19" quotePrefix="1" applyNumberFormat="1" applyFont="1" applyFill="1" applyAlignment="1">
      <alignment horizontal="center"/>
    </xf>
    <xf numFmtId="167" fontId="53" fillId="0" borderId="0" xfId="19" applyNumberFormat="1" applyFont="1" applyAlignment="1">
      <alignment horizontal="center"/>
    </xf>
    <xf numFmtId="167" fontId="54" fillId="0" borderId="0" xfId="19" quotePrefix="1" applyNumberFormat="1" applyFont="1" applyAlignment="1">
      <alignment horizontal="center"/>
    </xf>
    <xf numFmtId="167" fontId="0" fillId="0" borderId="0" xfId="19" applyNumberFormat="1" applyFont="1" applyAlignment="1">
      <alignment horizontal="center"/>
    </xf>
    <xf numFmtId="167" fontId="60" fillId="0" borderId="0" xfId="19" applyNumberFormat="1" applyFont="1" applyAlignment="1">
      <alignment horizontal="center"/>
    </xf>
    <xf numFmtId="167" fontId="54" fillId="0" borderId="62" xfId="19" applyNumberFormat="1" applyFont="1" applyBorder="1" applyAlignment="1">
      <alignment horizontal="center" vertical="center"/>
    </xf>
    <xf numFmtId="167" fontId="54" fillId="0" borderId="62" xfId="19" quotePrefix="1" applyNumberFormat="1" applyFont="1" applyBorder="1" applyAlignment="1">
      <alignment horizontal="center" vertical="center"/>
    </xf>
    <xf numFmtId="167" fontId="166" fillId="0" borderId="0" xfId="19" applyNumberFormat="1" applyFont="1" applyAlignment="1">
      <alignment horizontal="center"/>
    </xf>
    <xf numFmtId="167" fontId="54" fillId="0" borderId="0" xfId="19" applyNumberFormat="1" applyFont="1" applyFill="1" applyBorder="1" applyAlignment="1">
      <alignment horizontal="center" wrapText="1"/>
    </xf>
    <xf numFmtId="167" fontId="0" fillId="0" borderId="0" xfId="19" applyNumberFormat="1" applyFont="1" applyFill="1" applyBorder="1" applyAlignment="1">
      <alignment horizontal="center" vertical="center" wrapText="1"/>
    </xf>
    <xf numFmtId="0" fontId="54" fillId="0" borderId="0" xfId="19" applyNumberFormat="1" applyFont="1" applyAlignment="1">
      <alignment horizontal="center"/>
    </xf>
    <xf numFmtId="167" fontId="55" fillId="0" borderId="0" xfId="19" applyNumberFormat="1" applyFont="1"/>
    <xf numFmtId="167" fontId="167" fillId="0" borderId="0" xfId="19" applyNumberFormat="1" applyFont="1"/>
    <xf numFmtId="167" fontId="53" fillId="0" borderId="0" xfId="19" applyNumberFormat="1" applyFont="1" applyFill="1"/>
    <xf numFmtId="0" fontId="53" fillId="0" borderId="0" xfId="19" applyNumberFormat="1" applyFont="1" applyFill="1" applyAlignment="1">
      <alignment horizontal="center"/>
    </xf>
    <xf numFmtId="167" fontId="53" fillId="36" borderId="0" xfId="19" applyNumberFormat="1" applyFont="1" applyFill="1"/>
    <xf numFmtId="167" fontId="53" fillId="36" borderId="0" xfId="19" quotePrefix="1" applyNumberFormat="1" applyFont="1" applyFill="1" applyAlignment="1">
      <alignment vertical="center"/>
    </xf>
    <xf numFmtId="0" fontId="53" fillId="36" borderId="0" xfId="19" applyNumberFormat="1" applyFont="1" applyFill="1"/>
    <xf numFmtId="0" fontId="54" fillId="0" borderId="0" xfId="19" quotePrefix="1" applyNumberFormat="1" applyFont="1" applyAlignment="1">
      <alignment horizontal="center"/>
    </xf>
    <xf numFmtId="167" fontId="53" fillId="0" borderId="0" xfId="19" applyNumberFormat="1" applyFont="1" applyFill="1" applyAlignment="1">
      <alignment horizontal="right"/>
    </xf>
    <xf numFmtId="0" fontId="53" fillId="0" borderId="0" xfId="19" applyNumberFormat="1" applyFont="1" applyFill="1"/>
    <xf numFmtId="167" fontId="167" fillId="0" borderId="0" xfId="19" applyNumberFormat="1" applyFont="1" applyFill="1"/>
    <xf numFmtId="0" fontId="167" fillId="0" borderId="0" xfId="19" applyNumberFormat="1" applyFont="1" applyFill="1"/>
    <xf numFmtId="41" fontId="53" fillId="0" borderId="0" xfId="0" applyNumberFormat="1" applyFont="1"/>
    <xf numFmtId="167" fontId="168" fillId="0" borderId="0" xfId="19" applyNumberFormat="1" applyFont="1" applyFill="1"/>
    <xf numFmtId="41" fontId="53" fillId="36" borderId="9" xfId="0" applyNumberFormat="1" applyFont="1" applyFill="1" applyBorder="1"/>
    <xf numFmtId="167" fontId="54" fillId="0" borderId="0" xfId="19" applyNumberFormat="1" applyFont="1" applyFill="1"/>
    <xf numFmtId="0" fontId="54" fillId="0" borderId="0" xfId="19" applyNumberFormat="1" applyFont="1" applyFill="1"/>
    <xf numFmtId="167" fontId="52" fillId="0" borderId="0" xfId="19" applyNumberFormat="1" applyFont="1" applyFill="1"/>
    <xf numFmtId="0" fontId="52" fillId="0" borderId="0" xfId="19" applyNumberFormat="1" applyFont="1" applyFill="1"/>
    <xf numFmtId="167" fontId="54" fillId="0" borderId="0" xfId="19" applyNumberFormat="1" applyFont="1"/>
    <xf numFmtId="41" fontId="53" fillId="0" borderId="0" xfId="53892" applyFont="1"/>
    <xf numFmtId="167" fontId="52" fillId="0" borderId="0" xfId="19" applyNumberFormat="1" applyFont="1"/>
    <xf numFmtId="167" fontId="53" fillId="0" borderId="0" xfId="19" applyNumberFormat="1" applyFont="1" applyBorder="1"/>
    <xf numFmtId="167" fontId="25" fillId="0" borderId="0" xfId="19" applyNumberFormat="1" applyFont="1"/>
    <xf numFmtId="167" fontId="169" fillId="0" borderId="0" xfId="19" applyNumberFormat="1" applyFont="1"/>
    <xf numFmtId="167" fontId="21" fillId="0" borderId="0" xfId="19" applyNumberFormat="1" applyFont="1" applyAlignment="1">
      <alignment horizontal="left" indent="1"/>
    </xf>
    <xf numFmtId="167" fontId="53" fillId="0" borderId="0" xfId="19" applyNumberFormat="1" applyFont="1" applyAlignment="1">
      <alignment horizontal="left" indent="1"/>
    </xf>
    <xf numFmtId="167" fontId="53" fillId="0" borderId="0" xfId="19" applyNumberFormat="1" applyFont="1" applyAlignment="1">
      <alignment horizontal="right"/>
    </xf>
    <xf numFmtId="167" fontId="53" fillId="36" borderId="0" xfId="19" quotePrefix="1" applyNumberFormat="1" applyFont="1" applyFill="1" applyAlignment="1">
      <alignment horizontal="right"/>
    </xf>
    <xf numFmtId="181" fontId="53" fillId="36" borderId="0" xfId="19" applyNumberFormat="1" applyFont="1" applyFill="1" applyAlignment="1">
      <alignment horizontal="right"/>
    </xf>
    <xf numFmtId="167" fontId="54" fillId="0" borderId="0" xfId="19" quotePrefix="1" applyNumberFormat="1" applyFont="1" applyBorder="1" applyAlignment="1">
      <alignment horizontal="center"/>
    </xf>
    <xf numFmtId="167" fontId="54" fillId="36" borderId="0" xfId="19" quotePrefix="1" applyNumberFormat="1" applyFont="1" applyFill="1" applyAlignment="1">
      <alignment horizontal="center"/>
    </xf>
    <xf numFmtId="167" fontId="54" fillId="0" borderId="0" xfId="19" applyNumberFormat="1" applyFont="1" applyAlignment="1">
      <alignment horizontal="right"/>
    </xf>
    <xf numFmtId="10" fontId="53" fillId="36" borderId="0" xfId="19" applyNumberFormat="1" applyFont="1" applyFill="1" applyAlignment="1">
      <alignment horizontal="center"/>
    </xf>
    <xf numFmtId="167" fontId="54" fillId="0" borderId="67" xfId="19" applyNumberFormat="1" applyFont="1" applyBorder="1" applyAlignment="1">
      <alignment horizontal="center"/>
    </xf>
    <xf numFmtId="167" fontId="54" fillId="0" borderId="40" xfId="19" applyNumberFormat="1" applyFont="1" applyBorder="1" applyAlignment="1">
      <alignment horizontal="center"/>
    </xf>
    <xf numFmtId="167" fontId="54" fillId="0" borderId="62" xfId="19" quotePrefix="1" applyNumberFormat="1" applyFont="1" applyBorder="1" applyAlignment="1">
      <alignment horizontal="center"/>
    </xf>
    <xf numFmtId="167" fontId="54" fillId="0" borderId="40" xfId="19" quotePrefix="1" applyNumberFormat="1" applyFont="1" applyBorder="1" applyAlignment="1">
      <alignment horizontal="center"/>
    </xf>
    <xf numFmtId="167" fontId="54" fillId="0" borderId="62" xfId="19" applyNumberFormat="1" applyFont="1" applyFill="1" applyBorder="1" applyAlignment="1">
      <alignment horizontal="center" wrapText="1"/>
    </xf>
    <xf numFmtId="41" fontId="53" fillId="36" borderId="0" xfId="53892" applyFont="1" applyFill="1"/>
    <xf numFmtId="167" fontId="55" fillId="0" borderId="0" xfId="19" applyNumberFormat="1" applyFont="1" applyFill="1"/>
    <xf numFmtId="167" fontId="53" fillId="0" borderId="0" xfId="19" applyNumberFormat="1" applyFont="1" applyFill="1" applyAlignment="1">
      <alignment horizontal="left" indent="1"/>
    </xf>
    <xf numFmtId="167" fontId="22" fillId="0" borderId="0" xfId="19" quotePrefix="1" applyNumberFormat="1" applyFont="1"/>
    <xf numFmtId="0" fontId="54" fillId="0" borderId="0" xfId="0" applyFont="1" applyAlignment="1">
      <alignment horizontal="right"/>
    </xf>
    <xf numFmtId="5" fontId="53" fillId="0" borderId="0" xfId="19" applyNumberFormat="1" applyFont="1" applyFill="1"/>
    <xf numFmtId="5" fontId="53" fillId="0" borderId="63" xfId="19" applyNumberFormat="1" applyFont="1" applyFill="1" applyBorder="1"/>
    <xf numFmtId="5" fontId="53" fillId="0" borderId="9" xfId="53892" applyNumberFormat="1" applyFont="1" applyFill="1" applyBorder="1"/>
    <xf numFmtId="5" fontId="53" fillId="0" borderId="9" xfId="19" applyNumberFormat="1" applyFont="1" applyFill="1" applyBorder="1"/>
    <xf numFmtId="5" fontId="53" fillId="0" borderId="15" xfId="0" applyNumberFormat="1" applyFont="1" applyBorder="1"/>
    <xf numFmtId="5" fontId="53" fillId="0" borderId="0" xfId="19" applyNumberFormat="1" applyFont="1"/>
    <xf numFmtId="5" fontId="53" fillId="0" borderId="15" xfId="53892" applyNumberFormat="1" applyFont="1" applyBorder="1"/>
    <xf numFmtId="5" fontId="53" fillId="0" borderId="15" xfId="53892" applyNumberFormat="1" applyFont="1" applyFill="1" applyBorder="1"/>
    <xf numFmtId="5" fontId="53" fillId="0" borderId="15" xfId="19" applyNumberFormat="1" applyFont="1" applyBorder="1"/>
    <xf numFmtId="5" fontId="53" fillId="0" borderId="63" xfId="19" applyNumberFormat="1" applyFont="1" applyBorder="1"/>
    <xf numFmtId="164" fontId="53" fillId="0" borderId="9" xfId="19" applyNumberFormat="1" applyFont="1" applyFill="1" applyBorder="1"/>
    <xf numFmtId="164" fontId="53" fillId="0" borderId="9" xfId="0" applyNumberFormat="1" applyFont="1" applyBorder="1"/>
    <xf numFmtId="0" fontId="21" fillId="0" borderId="3" xfId="126" applyBorder="1" applyAlignment="1">
      <alignment horizontal="center" wrapText="1"/>
    </xf>
    <xf numFmtId="0" fontId="21" fillId="0" borderId="3" xfId="126"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1" fillId="0" borderId="5" xfId="0" applyFont="1" applyBorder="1" applyAlignment="1">
      <alignment horizontal="left" vertical="center" wrapText="1"/>
    </xf>
    <xf numFmtId="0" fontId="21" fillId="0" borderId="3" xfId="0" quotePrefix="1" applyFont="1" applyBorder="1" applyAlignment="1">
      <alignment horizontal="left" vertical="center" wrapText="1"/>
    </xf>
    <xf numFmtId="0" fontId="25" fillId="0" borderId="0" xfId="0" applyFont="1" applyAlignment="1">
      <alignment horizontal="center" vertical="center" wrapText="1"/>
    </xf>
    <xf numFmtId="0" fontId="22" fillId="0" borderId="0" xfId="0" applyFont="1" applyAlignment="1">
      <alignment horizontal="center" vertical="center" wrapText="1"/>
    </xf>
    <xf numFmtId="0" fontId="0" fillId="0" borderId="0" xfId="0" quotePrefix="1" applyAlignment="1">
      <alignment horizontal="left" indent="1"/>
    </xf>
    <xf numFmtId="0" fontId="170" fillId="36" borderId="0" xfId="0" applyFont="1" applyFill="1" applyAlignment="1">
      <alignment horizontal="center"/>
    </xf>
    <xf numFmtId="0" fontId="64"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2" fillId="36" borderId="3" xfId="22" quotePrefix="1" applyNumberFormat="1" applyFont="1" applyFill="1" applyBorder="1" applyAlignment="1">
      <alignment horizontal="center"/>
    </xf>
    <xf numFmtId="0" fontId="52" fillId="36" borderId="3" xfId="0" applyFont="1" applyFill="1" applyBorder="1" applyAlignment="1">
      <alignment horizontal="center"/>
    </xf>
    <xf numFmtId="0" fontId="21" fillId="36" borderId="3" xfId="0" applyFont="1" applyFill="1" applyBorder="1" applyAlignment="1">
      <alignment horizontal="left"/>
    </xf>
    <xf numFmtId="177" fontId="21" fillId="36" borderId="3" xfId="22" applyNumberFormat="1" applyFont="1" applyFill="1" applyBorder="1"/>
    <xf numFmtId="177" fontId="52" fillId="36" borderId="3" xfId="22" applyNumberFormat="1" applyFont="1" applyFill="1" applyBorder="1"/>
    <xf numFmtId="3" fontId="21" fillId="36" borderId="56" xfId="19" applyNumberFormat="1" applyFont="1" applyFill="1" applyBorder="1" applyAlignment="1">
      <alignment horizontal="center"/>
    </xf>
    <xf numFmtId="37" fontId="21" fillId="36" borderId="56" xfId="19" applyNumberFormat="1" applyFont="1" applyFill="1" applyBorder="1" applyAlignment="1">
      <alignment horizontal="center" vertical="center"/>
    </xf>
    <xf numFmtId="3" fontId="21" fillId="36" borderId="3" xfId="19" applyNumberFormat="1" applyFont="1" applyFill="1" applyBorder="1" applyAlignment="1">
      <alignment horizontal="center"/>
    </xf>
    <xf numFmtId="37" fontId="21" fillId="36" borderId="56" xfId="19" applyNumberFormat="1" applyFont="1" applyFill="1" applyBorder="1" applyAlignment="1">
      <alignment horizontal="center"/>
    </xf>
    <xf numFmtId="177" fontId="21" fillId="36" borderId="3" xfId="97" applyNumberFormat="1" applyFont="1" applyFill="1" applyBorder="1" applyAlignment="1">
      <alignment horizontal="center"/>
    </xf>
    <xf numFmtId="164" fontId="28" fillId="36" borderId="0" xfId="100" applyNumberFormat="1" applyFont="1" applyFill="1"/>
    <xf numFmtId="10" fontId="21" fillId="34" borderId="0" xfId="0" applyNumberFormat="1" applyFont="1" applyFill="1"/>
    <xf numFmtId="3" fontId="21" fillId="36" borderId="3" xfId="97" quotePrefix="1" applyNumberFormat="1" applyFont="1" applyFill="1" applyBorder="1" applyAlignment="1">
      <alignment horizontal="center"/>
    </xf>
    <xf numFmtId="3" fontId="21"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36" borderId="3" xfId="97" quotePrefix="1"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3" fontId="22" fillId="36" borderId="3" xfId="97" applyNumberFormat="1" applyFont="1" applyFill="1" applyBorder="1" applyAlignment="1">
      <alignment horizontal="center"/>
    </xf>
    <xf numFmtId="0" fontId="162" fillId="0" borderId="0" xfId="0" applyFont="1"/>
    <xf numFmtId="37" fontId="21" fillId="36" borderId="61" xfId="19" applyNumberFormat="1" applyFont="1" applyFill="1" applyBorder="1" applyAlignment="1">
      <alignment horizontal="center"/>
    </xf>
    <xf numFmtId="3" fontId="21" fillId="36" borderId="0" xfId="129" applyNumberFormat="1" applyFont="1" applyFill="1" applyAlignment="1">
      <alignment horizontal="right"/>
    </xf>
    <xf numFmtId="0" fontId="21" fillId="36" borderId="0" xfId="100" applyFill="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10" fontId="53" fillId="36" borderId="0" xfId="0" applyNumberFormat="1" applyFont="1" applyFill="1" applyAlignment="1">
      <alignment horizontal="center"/>
    </xf>
    <xf numFmtId="165" fontId="0" fillId="0" borderId="0" xfId="0" applyNumberFormat="1" applyAlignment="1">
      <alignment horizontal="center"/>
    </xf>
    <xf numFmtId="165" fontId="28" fillId="0" borderId="0" xfId="0" applyNumberFormat="1" applyFont="1" applyAlignment="1">
      <alignment horizontal="center"/>
    </xf>
    <xf numFmtId="164" fontId="0" fillId="0" borderId="0" xfId="19" applyNumberFormat="1" applyFont="1"/>
    <xf numFmtId="164" fontId="22" fillId="36" borderId="0" xfId="0" applyNumberFormat="1" applyFont="1" applyFill="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Alignment="1">
      <alignment horizontal="right"/>
    </xf>
    <xf numFmtId="164" fontId="28" fillId="0" borderId="0" xfId="0" quotePrefix="1" applyNumberFormat="1" applyFont="1" applyAlignment="1">
      <alignment horizontal="right"/>
    </xf>
    <xf numFmtId="164" fontId="53" fillId="36" borderId="0" xfId="0" applyNumberFormat="1" applyFont="1" applyFill="1" applyAlignment="1">
      <alignment horizontal="right"/>
    </xf>
    <xf numFmtId="164" fontId="21" fillId="36" borderId="0" xfId="53893" applyNumberFormat="1" applyFont="1" applyFill="1"/>
    <xf numFmtId="164" fontId="35" fillId="0" borderId="0" xfId="0" quotePrefix="1" applyNumberFormat="1" applyFont="1" applyAlignment="1">
      <alignment horizontal="right"/>
    </xf>
    <xf numFmtId="169" fontId="0" fillId="0" borderId="0" xfId="0" applyNumberFormat="1"/>
    <xf numFmtId="167" fontId="21" fillId="0" borderId="0" xfId="19" applyNumberFormat="1" applyFont="1" applyFill="1"/>
    <xf numFmtId="173" fontId="52" fillId="0" borderId="0" xfId="126" applyNumberFormat="1" applyFont="1" applyAlignment="1">
      <alignment horizontal="center"/>
    </xf>
    <xf numFmtId="173" fontId="21" fillId="0" borderId="58" xfId="126" applyNumberFormat="1" applyBorder="1" applyAlignment="1">
      <alignment horizontal="center"/>
    </xf>
    <xf numFmtId="173" fontId="21" fillId="0" borderId="60" xfId="126" applyNumberFormat="1" applyBorder="1" applyAlignment="1">
      <alignment horizontal="center"/>
    </xf>
    <xf numFmtId="0" fontId="25" fillId="36" borderId="0" xfId="0" quotePrefix="1" applyFont="1" applyFill="1" applyAlignment="1">
      <alignment horizontal="center"/>
    </xf>
    <xf numFmtId="0" fontId="21" fillId="36" borderId="0" xfId="0" applyFont="1" applyFill="1" applyAlignment="1">
      <alignment horizontal="right"/>
    </xf>
    <xf numFmtId="0" fontId="22" fillId="36" borderId="0" xfId="100" applyFont="1" applyFill="1" applyAlignment="1">
      <alignment horizontal="left"/>
    </xf>
    <xf numFmtId="0" fontId="21" fillId="36" borderId="3" xfId="0" quotePrefix="1" applyFont="1" applyFill="1" applyBorder="1" applyAlignment="1">
      <alignment horizontal="left"/>
    </xf>
    <xf numFmtId="0" fontId="21" fillId="36" borderId="4" xfId="0" applyFont="1" applyFill="1" applyBorder="1"/>
    <xf numFmtId="0" fontId="21" fillId="36" borderId="3" xfId="0" quotePrefix="1" applyFont="1" applyFill="1" applyBorder="1"/>
    <xf numFmtId="0" fontId="21" fillId="36" borderId="3" xfId="97" applyNumberFormat="1" applyFont="1" applyFill="1" applyBorder="1" applyAlignment="1">
      <alignment horizontal="left"/>
    </xf>
    <xf numFmtId="0" fontId="53" fillId="36" borderId="0" xfId="0" applyFont="1" applyFill="1" applyAlignment="1">
      <alignment horizontal="left"/>
    </xf>
    <xf numFmtId="164" fontId="21" fillId="36" borderId="0" xfId="96" applyNumberFormat="1" applyFont="1" applyFill="1" applyBorder="1" applyAlignment="1">
      <alignment horizontal="right"/>
    </xf>
    <xf numFmtId="164" fontId="171" fillId="36" borderId="0" xfId="0" applyNumberFormat="1" applyFont="1" applyFill="1"/>
    <xf numFmtId="10" fontId="53" fillId="36" borderId="0" xfId="100" applyNumberFormat="1" applyFont="1" applyFill="1"/>
    <xf numFmtId="164" fontId="53" fillId="36" borderId="0" xfId="0" applyNumberFormat="1" applyFont="1" applyFill="1" applyAlignment="1">
      <alignment wrapText="1"/>
    </xf>
    <xf numFmtId="164" fontId="53" fillId="36" borderId="0" xfId="19" applyNumberFormat="1" applyFont="1" applyFill="1" applyBorder="1"/>
    <xf numFmtId="5" fontId="53" fillId="36" borderId="0" xfId="19" applyNumberFormat="1" applyFont="1" applyFill="1" applyBorder="1"/>
    <xf numFmtId="5" fontId="58" fillId="36" borderId="0" xfId="19" applyNumberFormat="1" applyFont="1" applyFill="1" applyBorder="1"/>
    <xf numFmtId="3" fontId="52" fillId="36" borderId="3" xfId="22" quotePrefix="1" applyNumberFormat="1" applyFont="1" applyFill="1" applyBorder="1" applyAlignment="1">
      <alignment horizontal="center"/>
    </xf>
    <xf numFmtId="3" fontId="52" fillId="36" borderId="3" xfId="0" applyNumberFormat="1" applyFont="1" applyFill="1" applyBorder="1" applyAlignment="1">
      <alignment horizontal="center"/>
    </xf>
    <xf numFmtId="37" fontId="52" fillId="36" borderId="3" xfId="97" quotePrefix="1" applyNumberFormat="1" applyFont="1" applyFill="1" applyBorder="1" applyAlignment="1">
      <alignment horizontal="center"/>
    </xf>
    <xf numFmtId="37" fontId="52" fillId="36" borderId="3" xfId="0" applyNumberFormat="1" applyFont="1" applyFill="1" applyBorder="1" applyAlignment="1">
      <alignment horizontal="center"/>
    </xf>
    <xf numFmtId="39" fontId="21" fillId="0" borderId="0" xfId="97" applyNumberFormat="1" applyFont="1" applyFill="1" applyBorder="1" applyAlignment="1">
      <alignment horizontal="right"/>
    </xf>
    <xf numFmtId="37" fontId="53" fillId="36" borderId="3" xfId="97" quotePrefix="1" applyNumberFormat="1" applyFont="1" applyFill="1" applyBorder="1" applyAlignment="1">
      <alignment horizontal="center"/>
    </xf>
    <xf numFmtId="0" fontId="53" fillId="36" borderId="3" xfId="0" quotePrefix="1" applyFont="1" applyFill="1" applyBorder="1" applyAlignment="1">
      <alignment horizontal="center"/>
    </xf>
    <xf numFmtId="177" fontId="21" fillId="36" borderId="3" xfId="97" applyNumberFormat="1" applyFont="1" applyFill="1" applyBorder="1"/>
    <xf numFmtId="37" fontId="21" fillId="36" borderId="3" xfId="19" applyNumberFormat="1" applyFont="1" applyFill="1" applyBorder="1" applyAlignment="1">
      <alignment horizontal="center"/>
    </xf>
    <xf numFmtId="37" fontId="52" fillId="36" borderId="3" xfId="97" applyNumberFormat="1" applyFont="1" applyFill="1" applyBorder="1" applyAlignment="1">
      <alignment horizontal="center"/>
    </xf>
    <xf numFmtId="165" fontId="53" fillId="34" borderId="0" xfId="0" applyNumberFormat="1" applyFont="1" applyFill="1" applyAlignment="1">
      <alignment wrapText="1"/>
    </xf>
    <xf numFmtId="164" fontId="21" fillId="0" borderId="0" xfId="19" applyNumberFormat="1" applyFont="1"/>
    <xf numFmtId="164" fontId="21" fillId="0" borderId="17" xfId="126" applyNumberFormat="1" applyBorder="1"/>
    <xf numFmtId="0" fontId="54" fillId="36" borderId="0" xfId="0" applyFont="1" applyFill="1" applyAlignment="1">
      <alignment horizontal="center"/>
    </xf>
    <xf numFmtId="0" fontId="22" fillId="36" borderId="0" xfId="34" applyFont="1" applyFill="1" applyAlignment="1">
      <alignment horizontal="center"/>
    </xf>
    <xf numFmtId="10" fontId="21" fillId="0" borderId="0" xfId="0" applyNumberFormat="1" applyFont="1" applyAlignment="1">
      <alignment horizontal="left" indent="1"/>
    </xf>
    <xf numFmtId="0" fontId="21" fillId="36" borderId="0" xfId="28" applyFont="1" applyFill="1" applyAlignment="1">
      <alignment horizontal="left"/>
    </xf>
    <xf numFmtId="5" fontId="21" fillId="0" borderId="0" xfId="0" quotePrefix="1" applyNumberFormat="1" applyFont="1" applyAlignment="1">
      <alignment horizontal="right"/>
    </xf>
    <xf numFmtId="5" fontId="28" fillId="0" borderId="0" xfId="0" quotePrefix="1" applyNumberFormat="1" applyFont="1" applyAlignment="1">
      <alignment horizontal="right"/>
    </xf>
    <xf numFmtId="167" fontId="21" fillId="0" borderId="0" xfId="97" applyNumberFormat="1" applyFont="1" applyFill="1"/>
    <xf numFmtId="167" fontId="21" fillId="0" borderId="0" xfId="97" applyNumberFormat="1" applyFont="1"/>
    <xf numFmtId="0" fontId="163" fillId="0" borderId="0" xfId="100" applyFont="1" applyAlignment="1">
      <alignment horizontal="center"/>
    </xf>
    <xf numFmtId="0" fontId="52" fillId="0" borderId="0" xfId="0" quotePrefix="1" applyFont="1"/>
    <xf numFmtId="164" fontId="52" fillId="0" borderId="0" xfId="0" applyNumberFormat="1" applyFont="1"/>
    <xf numFmtId="39" fontId="21" fillId="0" borderId="0" xfId="97" applyNumberFormat="1" applyFont="1" applyBorder="1" applyAlignment="1">
      <alignment horizontal="center"/>
    </xf>
    <xf numFmtId="0" fontId="57" fillId="0" borderId="0" xfId="28" applyFont="1"/>
    <xf numFmtId="167" fontId="52" fillId="0" borderId="0" xfId="28" applyNumberFormat="1" applyFont="1"/>
    <xf numFmtId="0" fontId="57" fillId="0" borderId="0" xfId="39" applyNumberFormat="1" applyFont="1" applyFill="1" applyBorder="1" applyAlignment="1">
      <alignment horizontal="center" wrapText="1"/>
    </xf>
    <xf numFmtId="167" fontId="52" fillId="0" borderId="0" xfId="22" applyNumberFormat="1" applyFont="1" applyBorder="1"/>
    <xf numFmtId="167" fontId="52" fillId="0" borderId="0" xfId="22" applyNumberFormat="1" applyFont="1" applyFill="1" applyBorder="1"/>
    <xf numFmtId="0" fontId="52" fillId="0" borderId="0" xfId="28" applyFont="1"/>
    <xf numFmtId="0" fontId="52" fillId="0" borderId="0" xfId="0" applyFont="1" applyAlignment="1">
      <alignment horizontal="left" indent="2"/>
    </xf>
    <xf numFmtId="0" fontId="52" fillId="0" borderId="0" xfId="0" applyFont="1" applyAlignment="1">
      <alignment horizontal="left" indent="3"/>
    </xf>
    <xf numFmtId="0" fontId="22" fillId="0" borderId="6" xfId="28" applyFont="1" applyBorder="1"/>
    <xf numFmtId="0" fontId="22" fillId="0" borderId="9" xfId="0" applyFont="1" applyBorder="1" applyAlignment="1">
      <alignment horizontal="center"/>
    </xf>
    <xf numFmtId="0" fontId="22" fillId="0" borderId="4" xfId="0" applyFont="1" applyBorder="1"/>
    <xf numFmtId="167" fontId="21" fillId="0" borderId="4" xfId="28" applyNumberFormat="1" applyFont="1" applyBorder="1"/>
    <xf numFmtId="0" fontId="52" fillId="0" borderId="0" xfId="0" applyFont="1" applyAlignment="1">
      <alignment horizontal="left"/>
    </xf>
    <xf numFmtId="164" fontId="21" fillId="0" borderId="8" xfId="28" applyNumberFormat="1" applyFont="1" applyBorder="1"/>
    <xf numFmtId="0" fontId="52" fillId="0" borderId="0" xfId="0" applyFont="1" applyAlignment="1">
      <alignment horizontal="center"/>
    </xf>
    <xf numFmtId="164" fontId="70" fillId="0" borderId="0" xfId="0" applyNumberFormat="1" applyFont="1"/>
    <xf numFmtId="0" fontId="52" fillId="0" borderId="0" xfId="0" quotePrefix="1" applyFont="1" applyAlignment="1">
      <alignment horizontal="center"/>
    </xf>
    <xf numFmtId="167" fontId="22" fillId="0" borderId="0" xfId="97" applyNumberFormat="1" applyFont="1" applyFill="1"/>
    <xf numFmtId="3" fontId="52" fillId="0" borderId="0" xfId="0" applyNumberFormat="1" applyFont="1"/>
    <xf numFmtId="167" fontId="172" fillId="0" borderId="0" xfId="28" applyNumberFormat="1" applyFont="1"/>
    <xf numFmtId="0" fontId="172" fillId="0" borderId="0" xfId="0" applyFont="1"/>
    <xf numFmtId="164" fontId="173" fillId="0" borderId="0" xfId="0" applyNumberFormat="1" applyFont="1"/>
    <xf numFmtId="0" fontId="173" fillId="0" borderId="0" xfId="0" applyFont="1"/>
    <xf numFmtId="0" fontId="158" fillId="0" borderId="0" xfId="0" applyFont="1"/>
    <xf numFmtId="39" fontId="172" fillId="0" borderId="0" xfId="97" applyNumberFormat="1" applyFont="1" applyBorder="1" applyAlignment="1">
      <alignment horizontal="center"/>
    </xf>
    <xf numFmtId="0" fontId="172" fillId="0" borderId="0" xfId="0" applyFont="1" applyAlignment="1">
      <alignment horizontal="center"/>
    </xf>
    <xf numFmtId="164" fontId="172" fillId="0" borderId="0" xfId="0" applyNumberFormat="1" applyFont="1"/>
    <xf numFmtId="39" fontId="57" fillId="36" borderId="3" xfId="22" quotePrefix="1" applyNumberFormat="1" applyFont="1" applyFill="1" applyBorder="1" applyAlignment="1">
      <alignment horizontal="center"/>
    </xf>
    <xf numFmtId="37" fontId="57" fillId="36" borderId="3" xfId="22" quotePrefix="1" applyNumberFormat="1" applyFont="1" applyFill="1" applyBorder="1" applyAlignment="1">
      <alignment horizontal="center"/>
    </xf>
    <xf numFmtId="37" fontId="57" fillId="0" borderId="0" xfId="22" quotePrefix="1" applyNumberFormat="1" applyFont="1" applyFill="1" applyBorder="1" applyAlignment="1">
      <alignment horizontal="center"/>
    </xf>
    <xf numFmtId="39" fontId="57" fillId="0" borderId="0" xfId="22" quotePrefix="1" applyNumberFormat="1" applyFont="1" applyFill="1" applyBorder="1" applyAlignment="1">
      <alignment horizontal="center"/>
    </xf>
    <xf numFmtId="0" fontId="0" fillId="0" borderId="0" xfId="0" applyAlignment="1">
      <alignment wrapText="1"/>
    </xf>
    <xf numFmtId="3" fontId="22" fillId="0" borderId="0" xfId="97" applyNumberFormat="1" applyFont="1" applyFill="1" applyBorder="1" applyAlignment="1">
      <alignment horizontal="center"/>
    </xf>
    <xf numFmtId="39" fontId="52" fillId="0" borderId="0" xfId="22" applyNumberFormat="1" applyFont="1" applyBorder="1" applyAlignment="1">
      <alignment horizontal="center"/>
    </xf>
    <xf numFmtId="39" fontId="52" fillId="0" borderId="0" xfId="22" applyNumberFormat="1" applyFont="1" applyFill="1" applyBorder="1" applyAlignment="1">
      <alignment horizontal="center"/>
    </xf>
    <xf numFmtId="176" fontId="52" fillId="0" borderId="0" xfId="22" applyFont="1" applyBorder="1" applyAlignment="1">
      <alignment horizontal="center"/>
    </xf>
    <xf numFmtId="39" fontId="57" fillId="37" borderId="3" xfId="22" applyNumberFormat="1" applyFont="1" applyFill="1" applyBorder="1" applyAlignment="1">
      <alignment horizontal="center"/>
    </xf>
    <xf numFmtId="3" fontId="57" fillId="0" borderId="0" xfId="22" applyNumberFormat="1" applyFont="1" applyFill="1" applyBorder="1" applyAlignment="1">
      <alignment horizontal="center"/>
    </xf>
    <xf numFmtId="3" fontId="57" fillId="0" borderId="0" xfId="22" applyNumberFormat="1" applyFont="1" applyBorder="1" applyAlignment="1">
      <alignment horizontal="center"/>
    </xf>
    <xf numFmtId="39" fontId="57" fillId="0" borderId="0" xfId="22" applyNumberFormat="1" applyFont="1" applyFill="1" applyBorder="1" applyAlignment="1">
      <alignment horizontal="center"/>
    </xf>
    <xf numFmtId="39" fontId="57" fillId="0" borderId="0" xfId="22" applyNumberFormat="1" applyFont="1" applyBorder="1" applyAlignment="1">
      <alignment horizontal="center"/>
    </xf>
    <xf numFmtId="3" fontId="57" fillId="37" borderId="3" xfId="22" applyNumberFormat="1" applyFont="1" applyFill="1" applyBorder="1" applyAlignment="1">
      <alignment horizontal="center"/>
    </xf>
    <xf numFmtId="0" fontId="52" fillId="36" borderId="3" xfId="0" quotePrefix="1" applyFont="1" applyFill="1" applyBorder="1" applyAlignment="1">
      <alignment horizontal="center"/>
    </xf>
    <xf numFmtId="0" fontId="52" fillId="36" borderId="3" xfId="0" quotePrefix="1" applyFont="1" applyFill="1" applyBorder="1"/>
    <xf numFmtId="0" fontId="163" fillId="0" borderId="0" xfId="100" applyFont="1"/>
    <xf numFmtId="167" fontId="163" fillId="0" borderId="0" xfId="97" applyNumberFormat="1" applyFont="1" applyFill="1" applyAlignment="1">
      <alignment horizontal="center"/>
    </xf>
    <xf numFmtId="206" fontId="21" fillId="0" borderId="0" xfId="0" applyNumberFormat="1" applyFont="1"/>
    <xf numFmtId="168" fontId="21" fillId="0" borderId="0" xfId="0" applyNumberFormat="1" applyFont="1" applyAlignment="1">
      <alignment horizontal="right"/>
    </xf>
    <xf numFmtId="172" fontId="21" fillId="0" borderId="0" xfId="0" applyNumberFormat="1" applyFont="1" applyAlignment="1">
      <alignment horizontal="right"/>
    </xf>
    <xf numFmtId="168" fontId="21" fillId="0" borderId="0" xfId="0" applyNumberFormat="1" applyFont="1"/>
    <xf numFmtId="165" fontId="21" fillId="0" borderId="0" xfId="0" applyNumberFormat="1" applyFont="1" applyAlignment="1">
      <alignment horizontal="left" indent="1"/>
    </xf>
    <xf numFmtId="165" fontId="21" fillId="0" borderId="0" xfId="0" applyNumberFormat="1" applyFont="1" applyAlignment="1">
      <alignment horizontal="center"/>
    </xf>
    <xf numFmtId="164" fontId="21" fillId="0" borderId="63" xfId="0" applyNumberFormat="1" applyFont="1" applyBorder="1"/>
    <xf numFmtId="167" fontId="21" fillId="0" borderId="0" xfId="19" applyNumberFormat="1" applyFont="1" applyBorder="1"/>
    <xf numFmtId="171" fontId="21" fillId="0" borderId="0" xfId="37" applyNumberFormat="1" applyFont="1" applyBorder="1" applyAlignment="1">
      <alignment horizontal="left" indent="3"/>
    </xf>
    <xf numFmtId="10" fontId="21" fillId="0" borderId="0" xfId="37" applyNumberFormat="1" applyFont="1" applyBorder="1" applyAlignment="1">
      <alignment horizontal="center"/>
    </xf>
    <xf numFmtId="164" fontId="21" fillId="0" borderId="0" xfId="19" applyNumberFormat="1" applyFont="1" applyBorder="1"/>
    <xf numFmtId="41" fontId="21" fillId="0" borderId="0" xfId="19" applyNumberFormat="1" applyFont="1" applyBorder="1"/>
    <xf numFmtId="10" fontId="21" fillId="0" borderId="0" xfId="37" applyNumberFormat="1" applyFont="1" applyFill="1" applyBorder="1" applyAlignment="1">
      <alignment horizontal="center"/>
    </xf>
    <xf numFmtId="164" fontId="21" fillId="0" borderId="0" xfId="19" applyNumberFormat="1" applyFont="1" applyBorder="1" applyAlignment="1">
      <alignment horizontal="left" indent="1"/>
    </xf>
    <xf numFmtId="164" fontId="21" fillId="0" borderId="63" xfId="96" applyNumberFormat="1" applyFont="1" applyBorder="1"/>
    <xf numFmtId="164" fontId="21" fillId="0" borderId="63" xfId="96" applyNumberFormat="1" applyFont="1" applyFill="1" applyBorder="1"/>
    <xf numFmtId="164" fontId="21" fillId="36" borderId="8" xfId="0" applyNumberFormat="1" applyFont="1" applyFill="1" applyBorder="1"/>
    <xf numFmtId="164" fontId="21" fillId="0" borderId="0" xfId="20" applyNumberFormat="1" applyFont="1" applyFill="1" applyBorder="1" applyAlignment="1">
      <alignment horizontal="right"/>
    </xf>
    <xf numFmtId="167" fontId="21" fillId="0" borderId="0" xfId="20" applyNumberFormat="1" applyFont="1" applyFill="1" applyBorder="1" applyAlignment="1">
      <alignment horizontal="right"/>
    </xf>
    <xf numFmtId="0" fontId="21" fillId="37" borderId="3" xfId="0" applyFont="1" applyFill="1" applyBorder="1" applyAlignment="1">
      <alignment horizontal="center"/>
    </xf>
    <xf numFmtId="0" fontId="21" fillId="37" borderId="3" xfId="0" applyFont="1" applyFill="1" applyBorder="1"/>
    <xf numFmtId="39" fontId="21" fillId="37" borderId="3" xfId="22" applyNumberFormat="1" applyFont="1" applyFill="1" applyBorder="1" applyAlignment="1">
      <alignment horizontal="center"/>
    </xf>
    <xf numFmtId="39" fontId="21" fillId="0" borderId="3" xfId="22" applyNumberFormat="1" applyFont="1" applyBorder="1" applyAlignment="1">
      <alignment horizontal="center" wrapText="1"/>
    </xf>
    <xf numFmtId="37" fontId="21" fillId="0" borderId="3" xfId="22" quotePrefix="1" applyNumberFormat="1" applyFont="1" applyFill="1" applyBorder="1" applyAlignment="1">
      <alignment horizontal="center"/>
    </xf>
    <xf numFmtId="39" fontId="21" fillId="0" borderId="3" xfId="22" quotePrefix="1" applyNumberFormat="1" applyFont="1" applyFill="1" applyBorder="1" applyAlignment="1">
      <alignment horizontal="center"/>
    </xf>
    <xf numFmtId="39" fontId="21" fillId="36" borderId="4" xfId="22" quotePrefix="1" applyNumberFormat="1" applyFont="1" applyFill="1" applyBorder="1" applyAlignment="1">
      <alignment horizontal="center"/>
    </xf>
    <xf numFmtId="39" fontId="21" fillId="36" borderId="3" xfId="22" quotePrefix="1" applyNumberFormat="1" applyFont="1" applyFill="1" applyBorder="1" applyAlignment="1">
      <alignment horizontal="center"/>
    </xf>
    <xf numFmtId="3" fontId="21" fillId="0" borderId="3" xfId="22" applyNumberFormat="1" applyFont="1" applyFill="1" applyBorder="1" applyAlignment="1">
      <alignment horizontal="center"/>
    </xf>
    <xf numFmtId="37" fontId="21" fillId="0" borderId="0" xfId="0" applyNumberFormat="1" applyFont="1" applyAlignment="1">
      <alignment horizontal="center"/>
    </xf>
    <xf numFmtId="37" fontId="21" fillId="0" borderId="3" xfId="22" applyNumberFormat="1" applyFont="1" applyFill="1" applyBorder="1" applyAlignment="1">
      <alignment horizontal="center"/>
    </xf>
    <xf numFmtId="37" fontId="21" fillId="36" borderId="3" xfId="22" applyNumberFormat="1" applyFont="1" applyFill="1" applyBorder="1" applyAlignment="1">
      <alignment horizontal="center"/>
    </xf>
    <xf numFmtId="0" fontId="21" fillId="0" borderId="3" xfId="22" applyNumberFormat="1" applyFont="1" applyFill="1" applyBorder="1" applyAlignment="1">
      <alignment horizontal="left"/>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176" fontId="21" fillId="0" borderId="0" xfId="22" applyFont="1" applyBorder="1" applyAlignment="1">
      <alignment horizontal="center"/>
    </xf>
    <xf numFmtId="0" fontId="21" fillId="0" borderId="6" xfId="0" applyFont="1" applyBorder="1" applyAlignment="1">
      <alignment horizontal="left"/>
    </xf>
    <xf numFmtId="0" fontId="21" fillId="0" borderId="4" xfId="0" applyFont="1" applyBorder="1" applyAlignment="1">
      <alignment horizontal="left"/>
    </xf>
    <xf numFmtId="0" fontId="21" fillId="36" borderId="6" xfId="0" applyFont="1" applyFill="1" applyBorder="1"/>
    <xf numFmtId="3" fontId="21" fillId="36" borderId="3" xfId="22" applyNumberFormat="1" applyFont="1" applyFill="1" applyBorder="1" applyAlignment="1">
      <alignment horizontal="center"/>
    </xf>
    <xf numFmtId="39" fontId="21" fillId="36" borderId="3" xfId="22" applyNumberFormat="1" applyFont="1" applyFill="1" applyBorder="1" applyAlignment="1">
      <alignment horizontal="center"/>
    </xf>
    <xf numFmtId="39" fontId="21" fillId="36" borderId="3" xfId="0" applyNumberFormat="1" applyFont="1" applyFill="1" applyBorder="1" applyAlignment="1">
      <alignment horizontal="center"/>
    </xf>
    <xf numFmtId="39" fontId="21" fillId="0" borderId="0" xfId="22" quotePrefix="1" applyNumberFormat="1" applyFont="1" applyBorder="1" applyAlignment="1">
      <alignment horizontal="center"/>
    </xf>
    <xf numFmtId="39" fontId="21" fillId="0" borderId="0" xfId="22" quotePrefix="1" applyNumberFormat="1" applyFont="1" applyFill="1" applyBorder="1" applyAlignment="1">
      <alignment horizontal="center"/>
    </xf>
    <xf numFmtId="0" fontId="21" fillId="37" borderId="3" xfId="0" quotePrefix="1" applyFont="1" applyFill="1" applyBorder="1"/>
    <xf numFmtId="39" fontId="21" fillId="0" borderId="3" xfId="22" applyNumberFormat="1" applyFont="1" applyBorder="1" applyAlignment="1">
      <alignment horizontal="right"/>
    </xf>
    <xf numFmtId="49" fontId="21" fillId="0" borderId="0" xfId="22" applyNumberFormat="1" applyFont="1" applyBorder="1" applyAlignment="1">
      <alignment horizontal="left"/>
    </xf>
    <xf numFmtId="39" fontId="21" fillId="0" borderId="3" xfId="22" quotePrefix="1" applyNumberFormat="1" applyFont="1" applyBorder="1" applyAlignment="1">
      <alignment horizontal="center"/>
    </xf>
    <xf numFmtId="49" fontId="21" fillId="0" borderId="0" xfId="22" quotePrefix="1" applyNumberFormat="1" applyFont="1" applyFill="1" applyBorder="1" applyAlignment="1">
      <alignment horizontal="left"/>
    </xf>
    <xf numFmtId="49" fontId="21" fillId="0" borderId="0" xfId="0" applyNumberFormat="1" applyFont="1" applyAlignment="1">
      <alignment horizontal="left"/>
    </xf>
    <xf numFmtId="10" fontId="21" fillId="0" borderId="3" xfId="38" applyNumberFormat="1" applyFont="1" applyFill="1" applyBorder="1" applyAlignment="1">
      <alignment horizontal="center"/>
    </xf>
    <xf numFmtId="176" fontId="21" fillId="0" borderId="0" xfId="22" applyFont="1" applyFill="1" applyBorder="1" applyAlignment="1">
      <alignment horizontal="center"/>
    </xf>
    <xf numFmtId="39" fontId="21" fillId="0" borderId="0" xfId="19" applyNumberFormat="1" applyFont="1" applyFill="1" applyBorder="1" applyAlignment="1">
      <alignment horizontal="center"/>
    </xf>
    <xf numFmtId="39" fontId="21" fillId="0" borderId="0" xfId="19" applyNumberFormat="1" applyFont="1" applyBorder="1" applyAlignment="1">
      <alignment horizontal="center"/>
    </xf>
    <xf numFmtId="164" fontId="21" fillId="0" borderId="0" xfId="19" applyNumberFormat="1" applyFont="1" applyBorder="1" applyAlignment="1">
      <alignment horizontal="center"/>
    </xf>
    <xf numFmtId="164" fontId="21" fillId="0" borderId="0" xfId="19" applyNumberFormat="1" applyFont="1" applyBorder="1" applyAlignment="1">
      <alignment horizontal="right"/>
    </xf>
    <xf numFmtId="39" fontId="21" fillId="36" borderId="0" xfId="22" applyNumberFormat="1" applyFont="1" applyFill="1" applyBorder="1" applyAlignment="1">
      <alignment horizontal="center"/>
    </xf>
    <xf numFmtId="164" fontId="21" fillId="0" borderId="0" xfId="0" applyNumberFormat="1" applyFont="1" applyAlignment="1">
      <alignment horizontal="right" indent="1"/>
    </xf>
    <xf numFmtId="164" fontId="21" fillId="0" borderId="0" xfId="20" applyNumberFormat="1" applyFont="1" applyFill="1"/>
    <xf numFmtId="41" fontId="21" fillId="0" borderId="0" xfId="20" applyNumberFormat="1" applyFont="1" applyFill="1"/>
    <xf numFmtId="41" fontId="21" fillId="0" borderId="0" xfId="20" applyNumberFormat="1" applyFont="1"/>
    <xf numFmtId="41" fontId="21" fillId="0" borderId="0" xfId="20" applyNumberFormat="1" applyFont="1" applyAlignment="1" applyProtection="1">
      <alignment horizontal="right" indent="2"/>
    </xf>
    <xf numFmtId="42" fontId="21" fillId="0" borderId="0" xfId="20" applyNumberFormat="1" applyFont="1" applyFill="1" applyBorder="1"/>
    <xf numFmtId="42" fontId="21" fillId="0" borderId="0" xfId="20" applyNumberFormat="1" applyFont="1" applyBorder="1"/>
    <xf numFmtId="164" fontId="21" fillId="0" borderId="0" xfId="20" applyNumberFormat="1" applyFont="1" applyFill="1" applyBorder="1"/>
    <xf numFmtId="164" fontId="21" fillId="0" borderId="0" xfId="20" applyNumberFormat="1" applyFont="1" applyBorder="1"/>
    <xf numFmtId="168" fontId="21" fillId="0" borderId="0" xfId="39" applyNumberFormat="1" applyFont="1" applyFill="1" applyBorder="1" applyAlignment="1">
      <alignment vertical="center"/>
    </xf>
    <xf numFmtId="10" fontId="21" fillId="0" borderId="0" xfId="39" applyNumberFormat="1" applyFont="1" applyFill="1" applyBorder="1" applyAlignment="1">
      <alignment vertical="center"/>
    </xf>
    <xf numFmtId="10" fontId="21" fillId="0" borderId="0" xfId="39" applyNumberFormat="1" applyFont="1" applyFill="1" applyBorder="1"/>
    <xf numFmtId="164" fontId="21" fillId="0" borderId="0" xfId="39" applyNumberFormat="1" applyFont="1" applyFill="1"/>
    <xf numFmtId="42" fontId="21" fillId="0" borderId="0" xfId="20" applyNumberFormat="1" applyFont="1" applyFill="1"/>
    <xf numFmtId="42" fontId="21" fillId="0" borderId="0" xfId="39" applyNumberFormat="1" applyFont="1" applyFill="1"/>
    <xf numFmtId="0" fontId="174" fillId="0" borderId="0" xfId="0" applyFont="1"/>
    <xf numFmtId="164" fontId="28" fillId="0" borderId="0" xfId="0" quotePrefix="1" applyNumberFormat="1" applyFont="1" applyFill="1"/>
    <xf numFmtId="0" fontId="22" fillId="0" borderId="62" xfId="19" applyNumberFormat="1" applyFont="1" applyBorder="1" applyAlignment="1">
      <alignment horizontal="center" vertical="center" wrapText="1"/>
    </xf>
    <xf numFmtId="0" fontId="22" fillId="0" borderId="17" xfId="19" applyNumberFormat="1" applyFont="1" applyBorder="1" applyAlignment="1">
      <alignment horizontal="center" vertical="center" wrapText="1"/>
    </xf>
    <xf numFmtId="0" fontId="0" fillId="0" borderId="0" xfId="19" applyNumberFormat="1" applyFont="1"/>
    <xf numFmtId="0" fontId="28" fillId="0" borderId="0" xfId="19" applyNumberFormat="1" applyFont="1"/>
    <xf numFmtId="0" fontId="21" fillId="0" borderId="0" xfId="19" applyNumberFormat="1" applyFont="1" applyBorder="1" applyAlignment="1">
      <alignment horizontal="left" indent="1"/>
    </xf>
    <xf numFmtId="0" fontId="21" fillId="0" borderId="0" xfId="19" applyNumberFormat="1" applyFont="1"/>
    <xf numFmtId="0" fontId="21" fillId="36" borderId="0" xfId="19" applyNumberFormat="1" applyFont="1" applyFill="1"/>
    <xf numFmtId="0" fontId="21" fillId="0" borderId="0" xfId="19" applyNumberFormat="1" applyFont="1" applyBorder="1"/>
    <xf numFmtId="0" fontId="35" fillId="0" borderId="0" xfId="0" applyFont="1"/>
    <xf numFmtId="0" fontId="176" fillId="0" borderId="0" xfId="0" applyFont="1"/>
    <xf numFmtId="5" fontId="53" fillId="0" borderId="0" xfId="19" applyNumberFormat="1" applyFont="1" applyBorder="1"/>
    <xf numFmtId="0" fontId="22" fillId="0" borderId="0" xfId="19" applyNumberFormat="1" applyFont="1" applyAlignment="1">
      <alignment horizontal="center"/>
    </xf>
    <xf numFmtId="167" fontId="21" fillId="0" borderId="0" xfId="19" applyNumberFormat="1" applyFont="1" applyAlignment="1">
      <alignment horizontal="center"/>
    </xf>
    <xf numFmtId="168" fontId="21" fillId="0" borderId="0" xfId="0" quotePrefix="1" applyNumberFormat="1" applyFont="1" applyAlignment="1">
      <alignment horizontal="right"/>
    </xf>
    <xf numFmtId="5" fontId="21" fillId="0" borderId="9" xfId="0" quotePrefix="1" applyNumberFormat="1" applyFont="1" applyBorder="1" applyAlignment="1">
      <alignment horizontal="center"/>
    </xf>
    <xf numFmtId="0" fontId="22" fillId="0" borderId="62" xfId="19" applyNumberFormat="1" applyFont="1" applyFill="1" applyBorder="1" applyAlignment="1">
      <alignment horizontal="center" vertical="center" wrapText="1"/>
    </xf>
    <xf numFmtId="0" fontId="25" fillId="0" borderId="0" xfId="19" applyNumberFormat="1" applyFont="1"/>
    <xf numFmtId="0" fontId="21" fillId="0" borderId="0" xfId="19" applyNumberFormat="1" applyFont="1" applyAlignment="1"/>
    <xf numFmtId="0" fontId="21" fillId="0" borderId="0" xfId="19" applyNumberFormat="1" applyFont="1" applyAlignment="1">
      <alignment horizontal="left" indent="1"/>
    </xf>
    <xf numFmtId="0" fontId="21" fillId="0" borderId="0" xfId="0" applyFont="1" applyAlignment="1">
      <alignment horizontal="left"/>
    </xf>
    <xf numFmtId="0" fontId="22" fillId="0" borderId="3" xfId="28" applyFont="1" applyBorder="1" applyAlignment="1">
      <alignment horizontal="center" wrapText="1"/>
    </xf>
    <xf numFmtId="164" fontId="21" fillId="0" borderId="0" xfId="28" quotePrefix="1" applyNumberFormat="1" applyFont="1" applyAlignment="1">
      <alignment horizontal="right"/>
    </xf>
    <xf numFmtId="0" fontId="21" fillId="0" borderId="0" xfId="100" applyFont="1"/>
    <xf numFmtId="0" fontId="21" fillId="0" borderId="0" xfId="100" applyFont="1" applyAlignment="1">
      <alignment horizontal="center"/>
    </xf>
    <xf numFmtId="39" fontId="22" fillId="0" borderId="3" xfId="22" quotePrefix="1" applyNumberFormat="1" applyFont="1" applyBorder="1" applyAlignment="1">
      <alignment horizontal="center"/>
    </xf>
    <xf numFmtId="39" fontId="22" fillId="0" borderId="3" xfId="22" quotePrefix="1" applyNumberFormat="1" applyFont="1" applyFill="1" applyBorder="1" applyAlignment="1">
      <alignment horizontal="center"/>
    </xf>
    <xf numFmtId="0" fontId="21" fillId="0" borderId="5" xfId="0" quotePrefix="1" applyFont="1" applyBorder="1" applyAlignment="1">
      <alignment horizontal="center"/>
    </xf>
    <xf numFmtId="3" fontId="22" fillId="36" borderId="5" xfId="97" quotePrefix="1" applyNumberFormat="1" applyFont="1" applyFill="1" applyBorder="1" applyAlignment="1">
      <alignment horizontal="center"/>
    </xf>
    <xf numFmtId="0" fontId="22" fillId="36" borderId="3" xfId="0" applyFont="1" applyFill="1" applyBorder="1" applyAlignment="1">
      <alignment horizontal="center"/>
    </xf>
    <xf numFmtId="0" fontId="21" fillId="0" borderId="0" xfId="100" applyFont="1" applyAlignment="1">
      <alignment horizontal="right"/>
    </xf>
    <xf numFmtId="0" fontId="21" fillId="36" borderId="0" xfId="100" applyFont="1" applyFill="1" applyAlignment="1">
      <alignment horizontal="left" indent="1"/>
    </xf>
    <xf numFmtId="0" fontId="21" fillId="36" borderId="0" xfId="100" applyFont="1" applyFill="1"/>
    <xf numFmtId="164" fontId="21" fillId="36" borderId="0" xfId="100" applyNumberFormat="1" applyFont="1" applyFill="1"/>
    <xf numFmtId="164" fontId="21" fillId="0" borderId="0" xfId="100" applyNumberFormat="1" applyFont="1" applyAlignment="1">
      <alignment horizontal="right"/>
    </xf>
    <xf numFmtId="164" fontId="28" fillId="36" borderId="8" xfId="0" applyNumberFormat="1" applyFont="1" applyFill="1" applyBorder="1"/>
    <xf numFmtId="0" fontId="21" fillId="36" borderId="8" xfId="0" applyFont="1" applyFill="1" applyBorder="1"/>
    <xf numFmtId="164" fontId="28" fillId="0" borderId="0" xfId="100" applyNumberFormat="1" applyFont="1" applyAlignment="1">
      <alignment horizontal="right"/>
    </xf>
    <xf numFmtId="0" fontId="28" fillId="0" borderId="0" xfId="100" applyFont="1"/>
    <xf numFmtId="0" fontId="28" fillId="0" borderId="0" xfId="100" applyFont="1" applyAlignment="1">
      <alignment horizontal="left" indent="1"/>
    </xf>
    <xf numFmtId="164" fontId="28" fillId="0" borderId="8" xfId="100" applyNumberFormat="1" applyFont="1" applyBorder="1" applyAlignment="1">
      <alignment horizontal="right"/>
    </xf>
    <xf numFmtId="0" fontId="177" fillId="0" borderId="0" xfId="0" applyFont="1" applyAlignment="1">
      <alignment horizontal="left" indent="1"/>
    </xf>
    <xf numFmtId="0" fontId="177" fillId="0" borderId="0" xfId="0" applyFont="1"/>
    <xf numFmtId="167" fontId="22" fillId="0" borderId="0" xfId="19" applyNumberFormat="1" applyFont="1"/>
    <xf numFmtId="167" fontId="54" fillId="0" borderId="0" xfId="19" applyNumberFormat="1" applyFont="1" applyAlignment="1">
      <alignment horizontal="center"/>
    </xf>
    <xf numFmtId="10" fontId="21" fillId="0" borderId="0" xfId="0" applyNumberFormat="1" applyFont="1" applyAlignment="1">
      <alignment horizontal="right"/>
    </xf>
    <xf numFmtId="0" fontId="162" fillId="0" borderId="0" xfId="0" applyFont="1" applyAlignment="1"/>
    <xf numFmtId="0" fontId="50" fillId="0" borderId="0" xfId="0" applyFont="1"/>
    <xf numFmtId="0" fontId="28" fillId="0" borderId="0" xfId="0" applyFont="1" applyAlignment="1">
      <alignment vertical="top"/>
    </xf>
    <xf numFmtId="164" fontId="21" fillId="0" borderId="8" xfId="100" applyNumberFormat="1" applyFont="1" applyBorder="1" applyAlignment="1">
      <alignment horizontal="right"/>
    </xf>
    <xf numFmtId="167" fontId="53" fillId="0" borderId="68" xfId="19" applyNumberFormat="1" applyFont="1" applyBorder="1" applyAlignment="1">
      <alignment horizontal="center"/>
    </xf>
    <xf numFmtId="0" fontId="21" fillId="0" borderId="3" xfId="0" quotePrefix="1" applyFont="1" applyFill="1" applyBorder="1" applyAlignment="1">
      <alignment horizontal="center"/>
    </xf>
    <xf numFmtId="0" fontId="21" fillId="0" borderId="3" xfId="0" quotePrefix="1" applyFont="1" applyFill="1" applyBorder="1" applyAlignment="1">
      <alignment horizontal="left"/>
    </xf>
    <xf numFmtId="0" fontId="21" fillId="0" borderId="4" xfId="0" applyFont="1" applyFill="1" applyBorder="1"/>
    <xf numFmtId="0" fontId="21" fillId="0" borderId="3" xfId="0" applyFont="1" applyFill="1" applyBorder="1"/>
    <xf numFmtId="0" fontId="21" fillId="0" borderId="6" xfId="0" quotePrefix="1" applyFont="1" applyFill="1" applyBorder="1" applyAlignment="1">
      <alignment horizontal="left"/>
    </xf>
    <xf numFmtId="0" fontId="53" fillId="0" borderId="3" xfId="0" quotePrefix="1" applyFont="1" applyFill="1" applyBorder="1" applyAlignment="1">
      <alignment horizontal="center"/>
    </xf>
    <xf numFmtId="3" fontId="21" fillId="0" borderId="3" xfId="0" applyNumberFormat="1" applyFont="1" applyFill="1" applyBorder="1" applyAlignment="1">
      <alignment horizontal="center"/>
    </xf>
    <xf numFmtId="37" fontId="21" fillId="0" borderId="3" xfId="0" applyNumberFormat="1" applyFont="1" applyFill="1" applyBorder="1" applyAlignment="1">
      <alignment horizontal="center"/>
    </xf>
    <xf numFmtId="37" fontId="21" fillId="0" borderId="3" xfId="97" applyNumberFormat="1" applyFont="1" applyFill="1" applyBorder="1" applyAlignment="1">
      <alignment horizontal="center"/>
    </xf>
    <xf numFmtId="0" fontId="21" fillId="0" borderId="3" xfId="0" applyFont="1" applyFill="1" applyBorder="1" applyAlignment="1">
      <alignment horizontal="center"/>
    </xf>
    <xf numFmtId="0" fontId="21" fillId="0" borderId="0" xfId="0" applyFont="1" applyFill="1" applyAlignment="1">
      <alignment horizontal="right"/>
    </xf>
    <xf numFmtId="164" fontId="21" fillId="0" borderId="8" xfId="108" applyNumberFormat="1" applyBorder="1" applyAlignment="1">
      <alignment horizontal="center"/>
    </xf>
    <xf numFmtId="164" fontId="21" fillId="0" borderId="0" xfId="108" applyNumberFormat="1" applyAlignment="1">
      <alignment horizontal="center"/>
    </xf>
    <xf numFmtId="164" fontId="21" fillId="0" borderId="0" xfId="0" applyNumberFormat="1" applyFont="1" applyFill="1"/>
    <xf numFmtId="167" fontId="21" fillId="36" borderId="0" xfId="19" applyNumberFormat="1" applyFont="1" applyFill="1"/>
    <xf numFmtId="0" fontId="64" fillId="36" borderId="0" xfId="0" applyFont="1" applyFill="1" applyAlignment="1">
      <alignment vertical="center"/>
    </xf>
    <xf numFmtId="166" fontId="0" fillId="36" borderId="0" xfId="0" applyNumberFormat="1" applyFill="1"/>
    <xf numFmtId="0" fontId="178" fillId="36" borderId="0" xfId="0" applyFont="1" applyFill="1" applyAlignment="1">
      <alignment horizontal="center"/>
    </xf>
    <xf numFmtId="166" fontId="21" fillId="36" borderId="0" xfId="0" applyNumberFormat="1" applyFont="1" applyFill="1"/>
    <xf numFmtId="0" fontId="21" fillId="36" borderId="0" xfId="0" applyFont="1" applyFill="1" applyAlignment="1">
      <alignment horizontal="center"/>
    </xf>
    <xf numFmtId="2" fontId="24" fillId="34" borderId="0" xfId="35" applyNumberFormat="1" applyFill="1" applyAlignment="1">
      <alignment horizontal="left"/>
    </xf>
    <xf numFmtId="179" fontId="24" fillId="34" borderId="0" xfId="35" quotePrefix="1" applyNumberFormat="1" applyFill="1" applyAlignment="1">
      <alignment horizontal="left"/>
    </xf>
    <xf numFmtId="179" fontId="24" fillId="34" borderId="0" xfId="35" applyNumberFormat="1" applyFill="1" applyAlignment="1">
      <alignment horizontal="left"/>
    </xf>
    <xf numFmtId="179" fontId="24" fillId="36" borderId="0" xfId="35" applyNumberFormat="1" applyFill="1" applyAlignment="1">
      <alignment horizontal="left"/>
    </xf>
    <xf numFmtId="0" fontId="24" fillId="36" borderId="0" xfId="35" applyFill="1" applyAlignment="1">
      <alignment horizontal="left" vertical="top" indent="1"/>
    </xf>
    <xf numFmtId="0" fontId="24" fillId="36" borderId="0" xfId="35" applyFill="1" applyAlignment="1">
      <alignment horizontal="left" vertical="top" indent="2"/>
    </xf>
    <xf numFmtId="179" fontId="24" fillId="36" borderId="0" xfId="35" quotePrefix="1" applyNumberFormat="1" applyFill="1" applyAlignment="1">
      <alignment horizontal="left"/>
    </xf>
    <xf numFmtId="174" fontId="21" fillId="36" borderId="0" xfId="53787" applyNumberFormat="1" applyFill="1" applyAlignment="1">
      <alignment horizontal="center"/>
    </xf>
    <xf numFmtId="5" fontId="21" fillId="36" borderId="0" xfId="97" applyNumberFormat="1" applyFont="1" applyFill="1" applyBorder="1"/>
    <xf numFmtId="5" fontId="21" fillId="36" borderId="0" xfId="97" applyNumberFormat="1" applyFont="1" applyFill="1" applyBorder="1" applyAlignment="1">
      <alignment horizontal="center"/>
    </xf>
    <xf numFmtId="165" fontId="53" fillId="34" borderId="0" xfId="0" applyNumberFormat="1" applyFont="1" applyFill="1"/>
    <xf numFmtId="0" fontId="21" fillId="36" borderId="4" xfId="0" applyFont="1" applyFill="1" applyBorder="1" applyAlignment="1">
      <alignment horizontal="center"/>
    </xf>
    <xf numFmtId="0" fontId="162" fillId="0" borderId="0" xfId="0" applyFont="1" applyAlignment="1">
      <alignment horizontal="center"/>
    </xf>
    <xf numFmtId="0" fontId="67" fillId="0" borderId="0" xfId="0" applyFont="1" applyAlignment="1">
      <alignment horizontal="center"/>
    </xf>
    <xf numFmtId="0" fontId="50" fillId="0" borderId="0" xfId="0" applyFont="1" applyAlignment="1">
      <alignment horizontal="center"/>
    </xf>
    <xf numFmtId="167" fontId="54" fillId="0" borderId="64" xfId="19" applyNumberFormat="1" applyFont="1" applyBorder="1" applyAlignment="1">
      <alignment horizontal="center"/>
    </xf>
    <xf numFmtId="167" fontId="54" fillId="0" borderId="65" xfId="19" applyNumberFormat="1" applyFont="1" applyBorder="1" applyAlignment="1">
      <alignment horizontal="center"/>
    </xf>
    <xf numFmtId="167" fontId="54" fillId="0" borderId="66" xfId="19" applyNumberFormat="1" applyFont="1" applyBorder="1" applyAlignment="1">
      <alignment horizontal="center"/>
    </xf>
    <xf numFmtId="0" fontId="21" fillId="36" borderId="0" xfId="0" applyFont="1" applyFill="1" applyAlignment="1">
      <alignment horizontal="center"/>
    </xf>
    <xf numFmtId="0" fontId="21" fillId="0" borderId="0" xfId="0" applyFont="1" applyAlignment="1">
      <alignment horizontal="left"/>
    </xf>
    <xf numFmtId="0" fontId="22" fillId="0" borderId="6" xfId="28" applyFont="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3" xfId="28" applyFont="1" applyBorder="1" applyAlignment="1"/>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Border="1" applyAlignment="1">
      <alignment horizontal="center"/>
    </xf>
    <xf numFmtId="0" fontId="22" fillId="0" borderId="6" xfId="0" applyFont="1" applyBorder="1" applyAlignment="1"/>
    <xf numFmtId="0" fontId="0" fillId="0" borderId="9" xfId="0" applyBorder="1" applyAlignment="1"/>
    <xf numFmtId="0" fontId="0" fillId="0" borderId="4" xfId="0" applyBorder="1" applyAlignment="1"/>
    <xf numFmtId="0" fontId="21"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0" fillId="0" borderId="0" xfId="0" applyAlignment="1"/>
    <xf numFmtId="0" fontId="52" fillId="36" borderId="3" xfId="0" applyFont="1" applyFill="1" applyBorder="1" applyAlignment="1">
      <alignment horizontal="center"/>
    </xf>
    <xf numFmtId="0" fontId="21" fillId="0" borderId="6" xfId="0" applyFont="1" applyBorder="1" applyAlignment="1"/>
    <xf numFmtId="0" fontId="21" fillId="0" borderId="9" xfId="0" applyFont="1" applyBorder="1" applyAlignment="1"/>
    <xf numFmtId="0" fontId="21" fillId="0" borderId="4" xfId="0" applyFont="1" applyBorder="1" applyAlignment="1"/>
    <xf numFmtId="0" fontId="22" fillId="0" borderId="10" xfId="0" applyFont="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Alignment="1">
      <alignment wrapText="1"/>
    </xf>
    <xf numFmtId="0" fontId="21" fillId="0" borderId="6" xfId="0" applyFont="1" applyBorder="1" applyAlignment="1">
      <alignment horizontal="left"/>
    </xf>
    <xf numFmtId="0" fontId="21" fillId="0" borderId="4" xfId="0" applyFont="1" applyBorder="1" applyAlignment="1">
      <alignment horizontal="left"/>
    </xf>
    <xf numFmtId="0" fontId="22" fillId="0" borderId="3" xfId="0" applyFont="1" applyBorder="1" applyAlignment="1">
      <alignment wrapText="1"/>
    </xf>
    <xf numFmtId="0" fontId="0" fillId="0" borderId="3" xfId="0" applyBorder="1" applyAlignment="1">
      <alignment wrapText="1"/>
    </xf>
    <xf numFmtId="0" fontId="21" fillId="0" borderId="10" xfId="0" applyFont="1" applyBorder="1" applyAlignment="1"/>
    <xf numFmtId="0" fontId="21" fillId="0" borderId="8" xfId="0" applyFont="1" applyBorder="1" applyAlignment="1"/>
    <xf numFmtId="0" fontId="21" fillId="0" borderId="11" xfId="0" applyFont="1" applyBorder="1" applyAlignment="1"/>
    <xf numFmtId="0" fontId="21" fillId="0" borderId="3" xfId="0" applyFont="1" applyBorder="1" applyAlignment="1">
      <alignment horizontal="left"/>
    </xf>
    <xf numFmtId="39" fontId="21" fillId="0" borderId="6" xfId="22" applyNumberFormat="1" applyFont="1" applyBorder="1" applyAlignment="1">
      <alignment horizontal="center"/>
    </xf>
    <xf numFmtId="0" fontId="22" fillId="0" borderId="6" xfId="0" applyFont="1" applyBorder="1" applyAlignment="1">
      <alignment wrapText="1"/>
    </xf>
    <xf numFmtId="0" fontId="0" fillId="0" borderId="9" xfId="0" applyBorder="1" applyAlignment="1">
      <alignment wrapText="1"/>
    </xf>
    <xf numFmtId="0" fontId="0" fillId="0" borderId="4" xfId="0" applyBorder="1" applyAlignment="1">
      <alignment wrapText="1"/>
    </xf>
    <xf numFmtId="0" fontId="21" fillId="0" borderId="12" xfId="126" applyBorder="1" applyAlignment="1">
      <alignment horizontal="center"/>
    </xf>
    <xf numFmtId="0" fontId="21" fillId="0" borderId="63" xfId="126" applyBorder="1" applyAlignment="1">
      <alignment horizontal="center"/>
    </xf>
    <xf numFmtId="0" fontId="0" fillId="0" borderId="63" xfId="0" applyBorder="1" applyAlignment="1"/>
    <xf numFmtId="0" fontId="0" fillId="0" borderId="13" xfId="0" applyBorder="1" applyAlignment="1"/>
    <xf numFmtId="0" fontId="21" fillId="0" borderId="13" xfId="126" applyBorder="1" applyAlignment="1">
      <alignment horizontal="center"/>
    </xf>
    <xf numFmtId="173" fontId="21" fillId="0" borderId="57" xfId="126" quotePrefix="1" applyNumberFormat="1" applyBorder="1" applyAlignment="1">
      <alignment horizontal="center" vertical="center"/>
    </xf>
    <xf numFmtId="173" fontId="21" fillId="0" borderId="59" xfId="126" quotePrefix="1" applyNumberFormat="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3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ont>
        <condense val="0"/>
        <extend val="0"/>
        <color auto="1"/>
      </font>
    </dxf>
    <dxf>
      <fill>
        <patternFill>
          <bgColor indexed="42"/>
        </patternFill>
      </fill>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s>
  <tableStyles count="0" defaultTableStyle="TableStyleMedium9" defaultPivotStyle="PivotStyleLight16"/>
  <colors>
    <mruColors>
      <color rgb="FFCCFFCC"/>
      <color rgb="FF0000FF"/>
      <color rgb="FFCCECFF"/>
      <color rgb="FFFFCCCC"/>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3A63C4C6-2812-459B-9C43-39385AF0A73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X2A0T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CDA1D85-FE2B-419B-B93B-C8B3330E5D5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X27A0T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DDD6EFC7-BAAE-41FB-8128-20656ACB69B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X29A0T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925902F-435A-45A1-AA27-514AFC1DE7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D765CD4-3593-4BE3-9A99-D124B62141A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X31A0T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F3B44BC2-3CF7-4B3D-8ADC-8962028F09E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X33A0T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B3DEA61-1259-4C67-B9BD-2AD654A9620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X39A0T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91C62622-454E-4000-9AFA-8B930C852E2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X40A0T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84E731D-3AA9-4B65-B828-EA674F30F2D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E238E06-005F-45CC-B22A-25BA438D046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1CEF399-8DBB-48A5-81BB-CD59A6D87B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EA7E10D3-FA03-459F-8D79-CB07A709426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AFC1AF8A-4AFB-46DC-847E-5CCEDB31A6C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058319A8-374F-40E4-A4D1-38589E195EA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E427AC52-4AE3-4F57-8A7F-B8957362BEC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E2C1DD39-3DF3-42B1-A61B-C219193B9B7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X17A0T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39.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topLeftCell="A4" zoomScaleNormal="100" workbookViewId="0"/>
  </sheetViews>
  <sheetFormatPr defaultColWidth="9.453125" defaultRowHeight="12.5"/>
  <cols>
    <col min="2" max="2" width="5.7265625" customWidth="1"/>
    <col min="3" max="3" width="8.453125" customWidth="1"/>
  </cols>
  <sheetData>
    <row r="2" spans="1:14" ht="12" customHeight="1">
      <c r="A2" s="1073"/>
      <c r="B2" s="1073"/>
      <c r="C2" s="1073"/>
      <c r="D2" s="1073"/>
      <c r="E2" s="1073"/>
      <c r="F2" s="1073"/>
      <c r="G2" s="1073"/>
      <c r="H2" s="1073"/>
      <c r="I2" s="1073"/>
      <c r="J2" s="1073"/>
      <c r="K2" s="1073"/>
    </row>
    <row r="3" spans="1:14" ht="23">
      <c r="A3" s="1110" t="s">
        <v>2946</v>
      </c>
      <c r="B3" s="1110"/>
      <c r="C3" s="1110"/>
      <c r="D3" s="1110"/>
      <c r="E3" s="1110"/>
      <c r="F3" s="1110"/>
      <c r="G3" s="1110"/>
      <c r="H3" s="1110"/>
      <c r="I3" s="1110"/>
      <c r="J3" s="1110"/>
      <c r="K3" s="1110"/>
    </row>
    <row r="4" spans="1:14" ht="12.65" customHeight="1">
      <c r="B4" s="1073"/>
      <c r="C4" s="1073"/>
      <c r="D4" s="1073"/>
      <c r="E4" s="1073"/>
      <c r="F4" s="1073"/>
      <c r="G4" s="1073"/>
      <c r="H4" s="1073"/>
      <c r="I4" s="1073"/>
    </row>
    <row r="5" spans="1:14" ht="25">
      <c r="A5" s="1111" t="s">
        <v>2944</v>
      </c>
      <c r="B5" s="1111"/>
      <c r="C5" s="1111"/>
      <c r="D5" s="1111"/>
      <c r="E5" s="1111"/>
      <c r="F5" s="1111"/>
      <c r="G5" s="1111"/>
      <c r="H5" s="1111"/>
      <c r="I5" s="1111"/>
      <c r="J5" s="1111"/>
      <c r="K5" s="1111"/>
    </row>
    <row r="6" spans="1:14" ht="12" customHeight="1">
      <c r="D6" s="1"/>
      <c r="K6" s="1073"/>
      <c r="L6" s="847"/>
      <c r="M6" s="847"/>
      <c r="N6" s="847"/>
    </row>
    <row r="7" spans="1:14" ht="20">
      <c r="A7" s="1112" t="s">
        <v>2945</v>
      </c>
      <c r="B7" s="1112"/>
      <c r="C7" s="1112"/>
      <c r="D7" s="1112"/>
      <c r="E7" s="1112"/>
      <c r="F7" s="1112"/>
      <c r="G7" s="1112"/>
      <c r="H7" s="1112"/>
      <c r="I7" s="1112"/>
      <c r="J7" s="1112"/>
      <c r="K7" s="1112"/>
    </row>
    <row r="8" spans="1:14" ht="12.65" customHeight="1">
      <c r="D8" s="1074"/>
    </row>
    <row r="9" spans="1:14">
      <c r="C9" s="622"/>
    </row>
    <row r="10" spans="1:14">
      <c r="C10" s="622"/>
    </row>
  </sheetData>
  <mergeCells count="3">
    <mergeCell ref="A3:K3"/>
    <mergeCell ref="A5:K5"/>
    <mergeCell ref="A7:K7"/>
  </mergeCells>
  <pageMargins left="0.7" right="0.7" top="0.75" bottom="0.75" header="0.3" footer="0.3"/>
  <pageSetup scale="89" orientation="portrait" r:id="rId1"/>
  <headerFooter>
    <oddHeader>&amp;C&amp;"Arial,Bold"
&amp;RTO2023 Draft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6"/>
  <sheetViews>
    <sheetView zoomScaleNormal="100" zoomScalePageLayoutView="80" workbookViewId="0">
      <selection activeCell="H21" sqref="H21"/>
    </sheetView>
  </sheetViews>
  <sheetFormatPr defaultColWidth="8.54296875" defaultRowHeight="12.5"/>
  <cols>
    <col min="1" max="1" width="4.54296875" customWidth="1"/>
    <col min="2" max="2" width="10.54296875" customWidth="1"/>
    <col min="3" max="3" width="13.54296875" customWidth="1"/>
    <col min="4" max="4" width="14.81640625" customWidth="1"/>
    <col min="5" max="6" width="13.54296875" customWidth="1"/>
    <col min="7" max="7" width="14.453125" customWidth="1"/>
    <col min="8" max="12" width="13.54296875" customWidth="1"/>
    <col min="13" max="13" width="15.54296875" customWidth="1"/>
    <col min="14" max="14" width="8.54296875" customWidth="1"/>
    <col min="15" max="15" width="14.453125" customWidth="1"/>
    <col min="16" max="16" width="15.453125" customWidth="1"/>
  </cols>
  <sheetData>
    <row r="1" spans="1:13" ht="13">
      <c r="A1" s="209" t="s">
        <v>634</v>
      </c>
      <c r="B1" s="117"/>
      <c r="C1" s="117"/>
      <c r="D1" s="117"/>
      <c r="E1" s="117"/>
      <c r="F1" s="117"/>
      <c r="G1" s="117"/>
      <c r="H1" s="117"/>
      <c r="I1" s="258" t="s">
        <v>635</v>
      </c>
      <c r="J1" s="210"/>
      <c r="K1" s="117"/>
      <c r="L1" s="117"/>
    </row>
    <row r="2" spans="1:13" ht="13">
      <c r="A2" s="209"/>
      <c r="B2" s="1" t="s">
        <v>636</v>
      </c>
      <c r="C2" s="117"/>
      <c r="D2" s="117"/>
      <c r="E2" s="258" t="s">
        <v>637</v>
      </c>
      <c r="F2" s="210"/>
      <c r="G2" s="210"/>
      <c r="H2" s="117"/>
      <c r="I2" s="117"/>
      <c r="J2" s="117"/>
      <c r="K2" s="117"/>
      <c r="L2" s="117"/>
    </row>
    <row r="3" spans="1:13" ht="13">
      <c r="A3" s="209"/>
      <c r="B3" s="117"/>
      <c r="C3" s="117"/>
      <c r="D3" s="117"/>
      <c r="E3" s="258" t="s">
        <v>638</v>
      </c>
      <c r="F3" s="210"/>
      <c r="G3" s="210"/>
      <c r="H3" s="117"/>
      <c r="I3" s="117"/>
      <c r="J3" s="117"/>
      <c r="K3" s="117"/>
      <c r="L3" s="117"/>
    </row>
    <row r="4" spans="1:13" ht="13">
      <c r="A4" s="209"/>
      <c r="B4" s="209" t="s">
        <v>639</v>
      </c>
      <c r="C4" s="117"/>
      <c r="D4" s="117"/>
      <c r="E4" s="652"/>
      <c r="F4" s="117"/>
      <c r="G4" s="117"/>
      <c r="H4" s="117"/>
      <c r="I4" s="117"/>
      <c r="J4" s="117"/>
      <c r="K4" s="117"/>
      <c r="L4" s="117"/>
    </row>
    <row r="5" spans="1:13" ht="13">
      <c r="A5" s="209"/>
      <c r="B5" s="209"/>
      <c r="C5" s="117"/>
      <c r="D5" s="117"/>
      <c r="E5" s="117"/>
      <c r="F5" s="117"/>
      <c r="G5" s="117"/>
      <c r="H5" s="117"/>
      <c r="I5" s="117"/>
      <c r="J5" s="117"/>
      <c r="K5" s="117"/>
      <c r="L5" s="117"/>
    </row>
    <row r="6" spans="1:13" ht="13">
      <c r="A6" s="209"/>
      <c r="B6" s="251" t="s">
        <v>640</v>
      </c>
      <c r="C6" s="117"/>
      <c r="D6" s="117"/>
      <c r="E6" s="117"/>
      <c r="F6" s="117"/>
      <c r="G6" s="117"/>
      <c r="H6" s="251"/>
      <c r="I6" s="118" t="s">
        <v>641</v>
      </c>
      <c r="J6" s="506">
        <v>2021</v>
      </c>
      <c r="K6" s="117"/>
      <c r="L6" s="117"/>
    </row>
    <row r="7" spans="1:13" ht="13">
      <c r="A7" s="209"/>
      <c r="B7" s="251"/>
      <c r="C7" s="117"/>
      <c r="D7" s="117"/>
      <c r="E7" s="117"/>
      <c r="F7" s="117"/>
      <c r="G7" s="117"/>
      <c r="H7" s="117"/>
      <c r="I7" s="117"/>
      <c r="J7" s="117"/>
      <c r="K7" s="117"/>
      <c r="L7" s="117"/>
    </row>
    <row r="8" spans="1:13" ht="13">
      <c r="A8" s="209"/>
      <c r="B8" s="48" t="s">
        <v>336</v>
      </c>
      <c r="C8" s="48" t="s">
        <v>337</v>
      </c>
      <c r="D8" s="48" t="s">
        <v>338</v>
      </c>
      <c r="E8" s="48" t="s">
        <v>339</v>
      </c>
      <c r="F8" s="48" t="s">
        <v>340</v>
      </c>
      <c r="G8" s="48" t="s">
        <v>341</v>
      </c>
      <c r="H8" s="48" t="s">
        <v>342</v>
      </c>
      <c r="I8" s="48" t="s">
        <v>343</v>
      </c>
      <c r="J8" s="48" t="s">
        <v>344</v>
      </c>
      <c r="K8" s="48" t="s">
        <v>589</v>
      </c>
      <c r="L8" s="48" t="s">
        <v>590</v>
      </c>
      <c r="M8" s="48" t="s">
        <v>591</v>
      </c>
    </row>
    <row r="9" spans="1:13" ht="13">
      <c r="A9" s="117"/>
      <c r="B9" s="120"/>
      <c r="C9" s="117"/>
      <c r="D9" s="117"/>
      <c r="E9" s="117"/>
      <c r="F9" s="117"/>
      <c r="G9" s="117"/>
      <c r="H9" s="117"/>
      <c r="I9" s="117"/>
      <c r="J9" s="117"/>
      <c r="K9" s="117"/>
      <c r="M9" s="131" t="s">
        <v>642</v>
      </c>
    </row>
    <row r="10" spans="1:13" ht="13">
      <c r="A10" s="117"/>
      <c r="B10" s="2"/>
      <c r="C10" s="48"/>
      <c r="D10" s="48"/>
      <c r="E10" s="117"/>
      <c r="F10" s="117"/>
      <c r="G10" s="117"/>
      <c r="H10" s="117"/>
      <c r="I10" s="117"/>
      <c r="J10" s="117"/>
      <c r="K10" s="117"/>
      <c r="L10" s="117"/>
    </row>
    <row r="11" spans="1:13" ht="13">
      <c r="A11" s="30" t="s">
        <v>273</v>
      </c>
      <c r="B11" s="3" t="s">
        <v>643</v>
      </c>
      <c r="C11" s="48">
        <v>350.1</v>
      </c>
      <c r="D11" s="48">
        <v>350.2</v>
      </c>
      <c r="E11" s="48">
        <v>352</v>
      </c>
      <c r="F11" s="48">
        <v>353</v>
      </c>
      <c r="G11" s="48">
        <v>354</v>
      </c>
      <c r="H11" s="48">
        <v>355</v>
      </c>
      <c r="I11" s="48">
        <v>356</v>
      </c>
      <c r="J11" s="48">
        <v>357</v>
      </c>
      <c r="K11" s="48">
        <v>358</v>
      </c>
      <c r="L11" s="48">
        <v>359</v>
      </c>
      <c r="M11" s="3" t="s">
        <v>249</v>
      </c>
    </row>
    <row r="12" spans="1:13" ht="13">
      <c r="A12" s="2">
        <v>1</v>
      </c>
      <c r="B12" s="532" t="s">
        <v>644</v>
      </c>
      <c r="C12" s="271">
        <v>88947677.147506893</v>
      </c>
      <c r="D12" s="303">
        <v>166997788.6995331</v>
      </c>
      <c r="E12" s="121">
        <v>804153066.44668055</v>
      </c>
      <c r="F12" s="271">
        <v>3951945554.2101936</v>
      </c>
      <c r="G12" s="271">
        <v>2302122819.4855967</v>
      </c>
      <c r="H12" s="271">
        <v>431972729.20086575</v>
      </c>
      <c r="I12" s="271">
        <v>1449635757.7995038</v>
      </c>
      <c r="J12" s="271">
        <v>215412775.95431966</v>
      </c>
      <c r="K12" s="271">
        <v>59261609.025750808</v>
      </c>
      <c r="L12" s="271">
        <v>192098212.92509726</v>
      </c>
      <c r="M12" s="119">
        <f t="shared" ref="M12:M24" si="0">SUM(C12:L12)</f>
        <v>9662547990.8950462</v>
      </c>
    </row>
    <row r="13" spans="1:13" ht="13">
      <c r="A13" s="2">
        <f>A12+1</f>
        <v>2</v>
      </c>
      <c r="B13" s="408" t="s">
        <v>2931</v>
      </c>
      <c r="C13" s="119">
        <f>C131+C198 +C12</f>
        <v>89016479.164093956</v>
      </c>
      <c r="D13" s="119">
        <f>D131+D198 +D12</f>
        <v>166998671.45684284</v>
      </c>
      <c r="E13" s="119">
        <f t="shared" ref="E13:L13" si="1">E131+E198 +E12</f>
        <v>806026743.103145</v>
      </c>
      <c r="F13" s="119">
        <f t="shared" si="1"/>
        <v>3962837162.0542607</v>
      </c>
      <c r="G13" s="119">
        <f t="shared" si="1"/>
        <v>2310148834.0639148</v>
      </c>
      <c r="H13" s="119">
        <f t="shared" si="1"/>
        <v>434143865.79473323</v>
      </c>
      <c r="I13" s="119">
        <f t="shared" si="1"/>
        <v>1507984567.9793296</v>
      </c>
      <c r="J13" s="119">
        <f t="shared" si="1"/>
        <v>215402510.05306724</v>
      </c>
      <c r="K13" s="119">
        <f t="shared" si="1"/>
        <v>59238025.553698845</v>
      </c>
      <c r="L13" s="119">
        <f t="shared" si="1"/>
        <v>192403231.27035815</v>
      </c>
      <c r="M13" s="119">
        <f>SUM(C13:L13)</f>
        <v>9744200090.4934464</v>
      </c>
    </row>
    <row r="14" spans="1:13" ht="13">
      <c r="A14" s="2">
        <f t="shared" ref="A14:A25" si="2">A13+1</f>
        <v>3</v>
      </c>
      <c r="B14" s="408" t="s">
        <v>2932</v>
      </c>
      <c r="C14" s="119">
        <f>C132+C199 +C13</f>
        <v>89018108.784093961</v>
      </c>
      <c r="D14" s="119">
        <f t="shared" ref="C14:D23" si="3">D132+D199 +D13</f>
        <v>167218846.49341851</v>
      </c>
      <c r="E14" s="119">
        <f t="shared" ref="E14:E23" si="4">E132+E199 +E13</f>
        <v>809010006.36397064</v>
      </c>
      <c r="F14" s="119">
        <f t="shared" ref="F14:F23" si="5">F132+F199 +F13</f>
        <v>3976930761.3673682</v>
      </c>
      <c r="G14" s="119">
        <f t="shared" ref="G14:G23" si="6">G132+G199 +G13</f>
        <v>2318258877.4531212</v>
      </c>
      <c r="H14" s="119">
        <f t="shared" ref="H14:H23" si="7">H132+H199 +H13</f>
        <v>441074001.10948557</v>
      </c>
      <c r="I14" s="119">
        <f t="shared" ref="I14:I23" si="8">I132+I199 +I13</f>
        <v>1509349228.4491134</v>
      </c>
      <c r="J14" s="119">
        <f t="shared" ref="J14:J23" si="9">J132+J199 +J13</f>
        <v>215406451.07710877</v>
      </c>
      <c r="K14" s="119">
        <f t="shared" ref="K14:K23" si="10">K132+K199 +K13</f>
        <v>59060158.343782157</v>
      </c>
      <c r="L14" s="119">
        <f t="shared" ref="L14:L23" si="11">L132+L199 +L13</f>
        <v>192116689.9841145</v>
      </c>
      <c r="M14" s="119">
        <f>SUM(C14:L14)</f>
        <v>9777443129.4255753</v>
      </c>
    </row>
    <row r="15" spans="1:13" ht="13">
      <c r="A15" s="2">
        <f t="shared" si="2"/>
        <v>4</v>
      </c>
      <c r="B15" s="408" t="s">
        <v>2933</v>
      </c>
      <c r="C15" s="119">
        <f t="shared" si="3"/>
        <v>89016278.063860849</v>
      </c>
      <c r="D15" s="119">
        <f t="shared" si="3"/>
        <v>167364135.53963813</v>
      </c>
      <c r="E15" s="119">
        <f t="shared" si="4"/>
        <v>810836551.66691124</v>
      </c>
      <c r="F15" s="119">
        <f t="shared" si="5"/>
        <v>3988475007.884131</v>
      </c>
      <c r="G15" s="119">
        <f t="shared" si="6"/>
        <v>2326043185.5040908</v>
      </c>
      <c r="H15" s="119">
        <f t="shared" si="7"/>
        <v>446315440.62384266</v>
      </c>
      <c r="I15" s="119">
        <f t="shared" si="8"/>
        <v>1509730588.9224718</v>
      </c>
      <c r="J15" s="119">
        <f t="shared" si="9"/>
        <v>215406291.34702656</v>
      </c>
      <c r="K15" s="119">
        <f t="shared" si="10"/>
        <v>59039440.270739071</v>
      </c>
      <c r="L15" s="119">
        <f t="shared" si="11"/>
        <v>192104931.50849754</v>
      </c>
      <c r="M15" s="119">
        <f t="shared" si="0"/>
        <v>9804331851.3312092</v>
      </c>
    </row>
    <row r="16" spans="1:13" ht="13">
      <c r="A16" s="2">
        <f t="shared" si="2"/>
        <v>5</v>
      </c>
      <c r="B16" s="408" t="s">
        <v>2934</v>
      </c>
      <c r="C16" s="119">
        <f>C134+C201 +C15</f>
        <v>89016278.063860849</v>
      </c>
      <c r="D16" s="119">
        <f t="shared" si="3"/>
        <v>167379196.80723199</v>
      </c>
      <c r="E16" s="119">
        <f t="shared" si="4"/>
        <v>811663445.79316008</v>
      </c>
      <c r="F16" s="119">
        <f t="shared" si="5"/>
        <v>4007968514.3163981</v>
      </c>
      <c r="G16" s="119">
        <f t="shared" si="6"/>
        <v>2338322978.8263001</v>
      </c>
      <c r="H16" s="119">
        <f t="shared" si="7"/>
        <v>465533436.62342268</v>
      </c>
      <c r="I16" s="119">
        <f t="shared" si="8"/>
        <v>1492273619.3125405</v>
      </c>
      <c r="J16" s="119">
        <f t="shared" si="9"/>
        <v>215406674.30904314</v>
      </c>
      <c r="K16" s="119">
        <f t="shared" si="10"/>
        <v>58966614.246832058</v>
      </c>
      <c r="L16" s="119">
        <f t="shared" si="11"/>
        <v>190866401.20934901</v>
      </c>
      <c r="M16" s="119">
        <f t="shared" si="0"/>
        <v>9837397159.5081387</v>
      </c>
    </row>
    <row r="17" spans="1:15" ht="13">
      <c r="A17" s="2">
        <f t="shared" si="2"/>
        <v>6</v>
      </c>
      <c r="B17" s="408" t="s">
        <v>2935</v>
      </c>
      <c r="C17" s="119">
        <f t="shared" si="3"/>
        <v>89024240.563860849</v>
      </c>
      <c r="D17" s="119">
        <f t="shared" si="3"/>
        <v>167401301.09484768</v>
      </c>
      <c r="E17" s="119">
        <f t="shared" si="4"/>
        <v>813681023.9145081</v>
      </c>
      <c r="F17" s="119">
        <f t="shared" si="5"/>
        <v>4030751587.997396</v>
      </c>
      <c r="G17" s="119">
        <f t="shared" si="6"/>
        <v>2632947610.8121452</v>
      </c>
      <c r="H17" s="119">
        <f t="shared" si="7"/>
        <v>548733542.77877939</v>
      </c>
      <c r="I17" s="119">
        <f t="shared" si="8"/>
        <v>1703091949.3572557</v>
      </c>
      <c r="J17" s="119">
        <f t="shared" si="9"/>
        <v>215397627.50897899</v>
      </c>
      <c r="K17" s="119">
        <f t="shared" si="10"/>
        <v>59061542.497375317</v>
      </c>
      <c r="L17" s="119">
        <f t="shared" si="11"/>
        <v>261552983.29392076</v>
      </c>
      <c r="M17" s="119">
        <f t="shared" si="0"/>
        <v>10521643409.819069</v>
      </c>
    </row>
    <row r="18" spans="1:15" ht="13">
      <c r="A18" s="2">
        <f t="shared" si="2"/>
        <v>7</v>
      </c>
      <c r="B18" s="408" t="s">
        <v>2936</v>
      </c>
      <c r="C18" s="119">
        <f t="shared" si="3"/>
        <v>89022801.617117301</v>
      </c>
      <c r="D18" s="119">
        <f t="shared" si="3"/>
        <v>167431563.2030901</v>
      </c>
      <c r="E18" s="119">
        <f t="shared" si="4"/>
        <v>818297789.65156209</v>
      </c>
      <c r="F18" s="119">
        <f t="shared" si="5"/>
        <v>4039499732.4887238</v>
      </c>
      <c r="G18" s="119">
        <f t="shared" si="6"/>
        <v>2599303763.838975</v>
      </c>
      <c r="H18" s="119">
        <f t="shared" si="7"/>
        <v>562316067.75128603</v>
      </c>
      <c r="I18" s="119">
        <f t="shared" si="8"/>
        <v>1737812541.3416002</v>
      </c>
      <c r="J18" s="119">
        <f t="shared" si="9"/>
        <v>215396150.17197561</v>
      </c>
      <c r="K18" s="119">
        <f t="shared" si="10"/>
        <v>58766984.921230286</v>
      </c>
      <c r="L18" s="119">
        <f t="shared" si="11"/>
        <v>269878340.20410746</v>
      </c>
      <c r="M18" s="119">
        <f t="shared" si="0"/>
        <v>10557725735.189669</v>
      </c>
    </row>
    <row r="19" spans="1:15" ht="13">
      <c r="A19" s="2">
        <f t="shared" si="2"/>
        <v>8</v>
      </c>
      <c r="B19" s="408" t="s">
        <v>2937</v>
      </c>
      <c r="C19" s="119">
        <f t="shared" si="3"/>
        <v>89025246.814057499</v>
      </c>
      <c r="D19" s="119">
        <f t="shared" si="3"/>
        <v>167431563.2030901</v>
      </c>
      <c r="E19" s="119">
        <f t="shared" si="4"/>
        <v>819636694.54513371</v>
      </c>
      <c r="F19" s="119">
        <f t="shared" si="5"/>
        <v>4048568321.2662454</v>
      </c>
      <c r="G19" s="119">
        <f t="shared" si="6"/>
        <v>2432964469.8017545</v>
      </c>
      <c r="H19" s="119">
        <f t="shared" si="7"/>
        <v>518796746.90142143</v>
      </c>
      <c r="I19" s="119">
        <f t="shared" si="8"/>
        <v>1606673680.5278544</v>
      </c>
      <c r="J19" s="119">
        <f t="shared" si="9"/>
        <v>215341763.65930974</v>
      </c>
      <c r="K19" s="119">
        <f t="shared" si="10"/>
        <v>58409557.071112283</v>
      </c>
      <c r="L19" s="119">
        <f t="shared" si="11"/>
        <v>222129055.95129967</v>
      </c>
      <c r="M19" s="119">
        <f t="shared" si="0"/>
        <v>10178977099.741278</v>
      </c>
    </row>
    <row r="20" spans="1:15" ht="13">
      <c r="A20" s="2">
        <f t="shared" si="2"/>
        <v>9</v>
      </c>
      <c r="B20" s="408" t="s">
        <v>2938</v>
      </c>
      <c r="C20" s="119">
        <f t="shared" si="3"/>
        <v>89024855.07405749</v>
      </c>
      <c r="D20" s="119">
        <f t="shared" si="3"/>
        <v>175352449.50528926</v>
      </c>
      <c r="E20" s="119">
        <f t="shared" si="4"/>
        <v>819591140.66599095</v>
      </c>
      <c r="F20" s="119">
        <f t="shared" si="5"/>
        <v>4049897453.5091662</v>
      </c>
      <c r="G20" s="119">
        <f t="shared" si="6"/>
        <v>2431984667.1076765</v>
      </c>
      <c r="H20" s="119">
        <f t="shared" si="7"/>
        <v>517246547.89273936</v>
      </c>
      <c r="I20" s="119">
        <f t="shared" si="8"/>
        <v>1611646770.0766971</v>
      </c>
      <c r="J20" s="119">
        <f t="shared" si="9"/>
        <v>215341524.49088818</v>
      </c>
      <c r="K20" s="119">
        <f t="shared" si="10"/>
        <v>58360735.24129501</v>
      </c>
      <c r="L20" s="119">
        <f t="shared" si="11"/>
        <v>222237312.01628175</v>
      </c>
      <c r="M20" s="119">
        <f t="shared" si="0"/>
        <v>10190683455.580082</v>
      </c>
    </row>
    <row r="21" spans="1:15" ht="13">
      <c r="A21" s="2">
        <f t="shared" si="2"/>
        <v>10</v>
      </c>
      <c r="B21" s="408" t="s">
        <v>2939</v>
      </c>
      <c r="C21" s="119">
        <f t="shared" si="3"/>
        <v>89024855.07405749</v>
      </c>
      <c r="D21" s="119">
        <f t="shared" si="3"/>
        <v>175353347.16665789</v>
      </c>
      <c r="E21" s="119">
        <f t="shared" si="4"/>
        <v>822245551.58677113</v>
      </c>
      <c r="F21" s="119">
        <f t="shared" si="5"/>
        <v>4052316516.010076</v>
      </c>
      <c r="G21" s="119">
        <f t="shared" si="6"/>
        <v>2434335281.7388334</v>
      </c>
      <c r="H21" s="119">
        <f t="shared" si="7"/>
        <v>524371610.82762617</v>
      </c>
      <c r="I21" s="119">
        <f t="shared" si="8"/>
        <v>1613518658.5319412</v>
      </c>
      <c r="J21" s="119">
        <f t="shared" si="9"/>
        <v>215299246.85986146</v>
      </c>
      <c r="K21" s="119">
        <f t="shared" si="10"/>
        <v>58608249.048163578</v>
      </c>
      <c r="L21" s="119">
        <f t="shared" si="11"/>
        <v>222631598.26447535</v>
      </c>
      <c r="M21" s="119">
        <f t="shared" si="0"/>
        <v>10207704915.108463</v>
      </c>
    </row>
    <row r="22" spans="1:15" ht="13">
      <c r="A22" s="2">
        <f t="shared" si="2"/>
        <v>11</v>
      </c>
      <c r="B22" s="408" t="s">
        <v>2940</v>
      </c>
      <c r="C22" s="119">
        <f t="shared" si="3"/>
        <v>89042253.32405749</v>
      </c>
      <c r="D22" s="119">
        <f t="shared" si="3"/>
        <v>175676251.14578599</v>
      </c>
      <c r="E22" s="119">
        <f t="shared" si="4"/>
        <v>831220928.306108</v>
      </c>
      <c r="F22" s="119">
        <f t="shared" si="5"/>
        <v>4056196153.2195253</v>
      </c>
      <c r="G22" s="119">
        <f t="shared" si="6"/>
        <v>2436616252.9265814</v>
      </c>
      <c r="H22" s="119">
        <f t="shared" si="7"/>
        <v>531808567.22328937</v>
      </c>
      <c r="I22" s="119">
        <f t="shared" si="8"/>
        <v>1614315324.4491942</v>
      </c>
      <c r="J22" s="119">
        <f t="shared" si="9"/>
        <v>215308189.57312325</v>
      </c>
      <c r="K22" s="119">
        <f t="shared" si="10"/>
        <v>58687094.54736919</v>
      </c>
      <c r="L22" s="119">
        <f t="shared" si="11"/>
        <v>222776028.44782987</v>
      </c>
      <c r="M22" s="119">
        <f t="shared" si="0"/>
        <v>10231647043.162865</v>
      </c>
    </row>
    <row r="23" spans="1:15" ht="13">
      <c r="A23" s="2">
        <f t="shared" si="2"/>
        <v>12</v>
      </c>
      <c r="B23" s="408" t="s">
        <v>2941</v>
      </c>
      <c r="C23" s="119">
        <f t="shared" si="3"/>
        <v>89041197.961176425</v>
      </c>
      <c r="D23" s="119">
        <f t="shared" si="3"/>
        <v>175636904.54667279</v>
      </c>
      <c r="E23" s="119">
        <f t="shared" si="4"/>
        <v>845558874.50420654</v>
      </c>
      <c r="F23" s="119">
        <f t="shared" si="5"/>
        <v>4089649214.916676</v>
      </c>
      <c r="G23" s="119">
        <f t="shared" si="6"/>
        <v>2442871736.5344772</v>
      </c>
      <c r="H23" s="119">
        <f t="shared" si="7"/>
        <v>538264682.33075893</v>
      </c>
      <c r="I23" s="119">
        <f t="shared" si="8"/>
        <v>1615374997.9445903</v>
      </c>
      <c r="J23" s="119">
        <f t="shared" si="9"/>
        <v>215308169.19939455</v>
      </c>
      <c r="K23" s="119">
        <f t="shared" si="10"/>
        <v>58670086.571880795</v>
      </c>
      <c r="L23" s="119">
        <f t="shared" si="11"/>
        <v>222916955.46151385</v>
      </c>
      <c r="M23" s="119">
        <f t="shared" si="0"/>
        <v>10293292819.971346</v>
      </c>
    </row>
    <row r="24" spans="1:15" ht="13">
      <c r="A24" s="2">
        <f t="shared" si="2"/>
        <v>13</v>
      </c>
      <c r="B24" s="408" t="s">
        <v>2942</v>
      </c>
      <c r="C24" s="62">
        <v>96071392.775337934</v>
      </c>
      <c r="D24" s="62">
        <v>185859180.63917488</v>
      </c>
      <c r="E24" s="192">
        <f>'7-PlantStudy'!E10</f>
        <v>843791399.84427941</v>
      </c>
      <c r="F24" s="192">
        <f>'7-PlantStudy'!E11</f>
        <v>4116024360.2919512</v>
      </c>
      <c r="G24" s="192">
        <f>'7-PlantStudy'!E20</f>
        <v>2450974770.6782684</v>
      </c>
      <c r="H24" s="192">
        <f>'7-PlantStudy'!E21</f>
        <v>542755367.5366329</v>
      </c>
      <c r="I24" s="192">
        <f>'7-PlantStudy'!E22</f>
        <v>1618978824.7123115</v>
      </c>
      <c r="J24" s="192">
        <f>'7-PlantStudy'!E23</f>
        <v>215308595.58726314</v>
      </c>
      <c r="K24" s="192">
        <f>'7-PlantStudy'!E24</f>
        <v>58752899.030000001</v>
      </c>
      <c r="L24" s="192">
        <f>'7-PlantStudy'!E25</f>
        <v>223182876.32139951</v>
      </c>
      <c r="M24" s="192">
        <f t="shared" si="0"/>
        <v>10351699667.416618</v>
      </c>
      <c r="O24" s="1"/>
    </row>
    <row r="25" spans="1:15" ht="13">
      <c r="A25" s="2">
        <f t="shared" si="2"/>
        <v>14</v>
      </c>
      <c r="B25" s="593" t="s">
        <v>645</v>
      </c>
      <c r="C25" s="119">
        <f>AVERAGE(C12:C24)</f>
        <v>89560897.263626069</v>
      </c>
      <c r="D25" s="119">
        <f t="shared" ref="D25:M25" si="12">AVERAGE(D12:D24)</f>
        <v>171238553.80779028</v>
      </c>
      <c r="E25" s="119">
        <f t="shared" si="12"/>
        <v>819670247.41480207</v>
      </c>
      <c r="F25" s="119">
        <f t="shared" si="12"/>
        <v>4028543103.0409322</v>
      </c>
      <c r="G25" s="119">
        <f t="shared" si="12"/>
        <v>2419761172.9824414</v>
      </c>
      <c r="H25" s="119">
        <f t="shared" si="12"/>
        <v>500256354.35345262</v>
      </c>
      <c r="I25" s="119">
        <f t="shared" si="12"/>
        <v>1583875885.3388002</v>
      </c>
      <c r="J25" s="119">
        <f t="shared" si="12"/>
        <v>215364305.36856619</v>
      </c>
      <c r="K25" s="119">
        <f t="shared" si="12"/>
        <v>58837153.56686379</v>
      </c>
      <c r="L25" s="119">
        <f t="shared" si="12"/>
        <v>217453432.06601885</v>
      </c>
      <c r="M25" s="119">
        <f t="shared" si="12"/>
        <v>10104561105.203291</v>
      </c>
    </row>
    <row r="26" spans="1:15">
      <c r="A26" s="251"/>
      <c r="B26" s="251"/>
      <c r="C26" s="251"/>
      <c r="D26" s="251"/>
      <c r="E26" s="251"/>
      <c r="F26" s="251"/>
      <c r="G26" s="251"/>
      <c r="H26" s="251"/>
      <c r="I26" s="251"/>
      <c r="J26" s="251"/>
      <c r="K26" s="251"/>
      <c r="L26" s="251"/>
    </row>
    <row r="27" spans="1:15" ht="13">
      <c r="A27" s="251"/>
      <c r="B27" s="209" t="s">
        <v>646</v>
      </c>
      <c r="C27" s="251"/>
      <c r="D27" s="251"/>
      <c r="E27" s="251"/>
      <c r="F27" s="251"/>
      <c r="G27" s="251"/>
      <c r="H27" s="251"/>
      <c r="I27" s="251"/>
      <c r="J27" s="251"/>
      <c r="K27" s="251"/>
      <c r="L27" s="251"/>
    </row>
    <row r="28" spans="1:15" ht="13">
      <c r="A28" s="251"/>
      <c r="B28" s="209"/>
      <c r="C28" s="251"/>
      <c r="D28" s="251"/>
      <c r="E28" s="251"/>
      <c r="F28" s="251"/>
      <c r="G28" s="251"/>
      <c r="H28" s="251"/>
      <c r="I28" s="251"/>
      <c r="J28" s="251"/>
      <c r="K28" s="251"/>
      <c r="L28" s="251"/>
    </row>
    <row r="29" spans="1:15">
      <c r="A29" s="251"/>
      <c r="B29" s="117" t="s">
        <v>647</v>
      </c>
      <c r="C29" s="251"/>
      <c r="D29" s="251"/>
      <c r="E29" s="251"/>
      <c r="F29" s="251"/>
      <c r="G29" s="251"/>
      <c r="H29" s="251"/>
      <c r="I29" s="251"/>
      <c r="J29" s="251"/>
      <c r="K29" s="251"/>
      <c r="L29" s="251"/>
    </row>
    <row r="30" spans="1:15" ht="13">
      <c r="A30" s="251"/>
      <c r="B30" s="209"/>
      <c r="C30" s="251"/>
      <c r="D30" s="251"/>
      <c r="E30" s="251"/>
      <c r="F30" s="251"/>
      <c r="G30" s="251"/>
      <c r="H30" s="251"/>
      <c r="I30" s="251"/>
      <c r="J30" s="251"/>
      <c r="K30" s="251"/>
      <c r="L30" s="251"/>
    </row>
    <row r="31" spans="1:15" ht="13">
      <c r="A31" s="209"/>
      <c r="B31" s="48" t="s">
        <v>336</v>
      </c>
      <c r="C31" s="48" t="s">
        <v>337</v>
      </c>
      <c r="D31" s="48" t="s">
        <v>338</v>
      </c>
      <c r="E31" s="48" t="s">
        <v>339</v>
      </c>
      <c r="F31" s="48" t="s">
        <v>340</v>
      </c>
      <c r="G31" s="251"/>
      <c r="H31" s="251"/>
      <c r="I31" s="251"/>
      <c r="J31" s="251"/>
      <c r="K31" s="251"/>
      <c r="L31" s="251"/>
    </row>
    <row r="32" spans="1:15">
      <c r="A32" s="117"/>
      <c r="B32" s="131"/>
      <c r="C32" s="117"/>
      <c r="D32" s="117"/>
      <c r="E32" s="117"/>
      <c r="F32" s="131" t="s">
        <v>648</v>
      </c>
      <c r="G32" s="251"/>
      <c r="H32" s="251"/>
      <c r="K32" s="251"/>
      <c r="L32" s="251"/>
    </row>
    <row r="33" spans="1:12" ht="13">
      <c r="A33" s="117"/>
      <c r="B33" s="2"/>
      <c r="C33" s="48"/>
      <c r="D33" s="48"/>
      <c r="E33" s="117"/>
      <c r="F33" s="117"/>
      <c r="G33" s="251"/>
      <c r="H33" s="251"/>
      <c r="K33" s="251"/>
      <c r="L33" s="251"/>
    </row>
    <row r="34" spans="1:12" ht="12.75" customHeight="1">
      <c r="A34" s="30" t="s">
        <v>273</v>
      </c>
      <c r="B34" s="3" t="s">
        <v>643</v>
      </c>
      <c r="C34" s="193">
        <v>360</v>
      </c>
      <c r="D34" s="193">
        <v>361</v>
      </c>
      <c r="E34" s="193">
        <v>362</v>
      </c>
      <c r="F34" s="3" t="s">
        <v>249</v>
      </c>
      <c r="G34" s="251"/>
      <c r="H34" s="251"/>
      <c r="K34" s="251"/>
      <c r="L34" s="251"/>
    </row>
    <row r="35" spans="1:12" ht="12.75" customHeight="1">
      <c r="A35" s="2">
        <f>A25+1</f>
        <v>15</v>
      </c>
      <c r="B35" s="408" t="s">
        <v>644</v>
      </c>
      <c r="C35" s="121">
        <v>0</v>
      </c>
      <c r="D35" s="121">
        <v>0</v>
      </c>
      <c r="E35" s="121">
        <v>0</v>
      </c>
      <c r="F35" s="119">
        <f>SUM(C35:E35)</f>
        <v>0</v>
      </c>
      <c r="G35" s="251"/>
      <c r="H35" s="251"/>
      <c r="K35" s="251"/>
      <c r="L35" s="251"/>
    </row>
    <row r="36" spans="1:12" ht="12.75" customHeight="1">
      <c r="A36" s="2">
        <f>A35+1</f>
        <v>16</v>
      </c>
      <c r="B36" s="408" t="s">
        <v>2942</v>
      </c>
      <c r="C36" s="211">
        <v>0</v>
      </c>
      <c r="D36" s="211">
        <v>0</v>
      </c>
      <c r="E36" s="211">
        <v>0</v>
      </c>
      <c r="F36" s="192">
        <f>SUM(C36:E36)</f>
        <v>0</v>
      </c>
      <c r="G36" s="251"/>
      <c r="H36" s="251"/>
      <c r="K36" s="251"/>
      <c r="L36" s="251"/>
    </row>
    <row r="37" spans="1:12" ht="12.75" customHeight="1">
      <c r="A37" s="2">
        <f>A36+1</f>
        <v>17</v>
      </c>
      <c r="B37" s="593" t="s">
        <v>649</v>
      </c>
      <c r="C37" s="119">
        <f>AVERAGE(C35:C36)</f>
        <v>0</v>
      </c>
      <c r="D37" s="119">
        <f>AVERAGE(D35:D36)</f>
        <v>0</v>
      </c>
      <c r="E37" s="119">
        <f>AVERAGE(E35:E36)</f>
        <v>0</v>
      </c>
      <c r="F37" s="119">
        <f>AVERAGE(F35:F36)</f>
        <v>0</v>
      </c>
      <c r="G37" s="251"/>
      <c r="H37" s="251"/>
      <c r="K37" s="251"/>
      <c r="L37" s="251"/>
    </row>
    <row r="38" spans="1:12" ht="12.75" customHeight="1">
      <c r="A38" s="251"/>
      <c r="B38" s="251"/>
      <c r="C38" s="251"/>
      <c r="D38" s="251"/>
      <c r="E38" s="251"/>
      <c r="F38" s="251"/>
      <c r="G38" s="251"/>
      <c r="H38" s="251"/>
      <c r="K38" s="251"/>
      <c r="L38" s="251"/>
    </row>
    <row r="39" spans="1:12" ht="13">
      <c r="A39" s="251"/>
      <c r="B39" s="1" t="s">
        <v>650</v>
      </c>
      <c r="C39" s="354"/>
      <c r="D39" s="354"/>
      <c r="E39" s="331"/>
      <c r="F39" s="594"/>
      <c r="G39" s="595"/>
      <c r="H39" s="251"/>
      <c r="K39" s="251"/>
      <c r="L39" s="251"/>
    </row>
    <row r="40" spans="1:12" ht="13">
      <c r="A40" s="251"/>
      <c r="B40" s="251" t="s">
        <v>651</v>
      </c>
      <c r="C40" s="354"/>
      <c r="D40" s="354"/>
      <c r="E40" s="331"/>
      <c r="F40" s="594"/>
      <c r="G40" s="595"/>
      <c r="H40" s="251"/>
      <c r="K40" s="251"/>
      <c r="L40" s="251"/>
    </row>
    <row r="41" spans="1:12" ht="13">
      <c r="A41" s="251"/>
      <c r="B41" s="251"/>
      <c r="C41" s="354"/>
      <c r="D41" s="354"/>
      <c r="E41" s="331"/>
      <c r="F41" s="594"/>
      <c r="G41" s="595"/>
      <c r="H41" s="251"/>
      <c r="K41" s="251"/>
      <c r="L41" s="251"/>
    </row>
    <row r="42" spans="1:12" ht="13">
      <c r="A42" s="251"/>
      <c r="B42" s="251"/>
      <c r="C42" s="354"/>
      <c r="D42" s="596" t="s">
        <v>79</v>
      </c>
      <c r="E42" s="348" t="s">
        <v>652</v>
      </c>
      <c r="F42" s="594"/>
      <c r="G42" s="595"/>
      <c r="H42" s="251"/>
      <c r="K42" s="251"/>
      <c r="L42" s="251"/>
    </row>
    <row r="43" spans="1:12" ht="13">
      <c r="A43" s="2">
        <f>A37+1</f>
        <v>18</v>
      </c>
      <c r="B43" s="251"/>
      <c r="C43" s="331" t="s">
        <v>653</v>
      </c>
      <c r="D43" s="594">
        <f>M25+F37</f>
        <v>10104561105.203291</v>
      </c>
      <c r="E43" s="597" t="str">
        <f>"Sum of Line "&amp;A25&amp;", "&amp;M8&amp;" and Line "&amp;A37&amp;", "&amp;F31&amp;""</f>
        <v>Sum of Line 14, Col 12 and Line 17, Col 5</v>
      </c>
      <c r="F43" s="251"/>
      <c r="G43" s="251"/>
      <c r="H43" s="251"/>
      <c r="K43" s="251"/>
      <c r="L43" s="251"/>
    </row>
    <row r="44" spans="1:12" ht="13">
      <c r="A44" s="2">
        <f>A43+1</f>
        <v>19</v>
      </c>
      <c r="B44" s="251"/>
      <c r="C44" s="331" t="s">
        <v>654</v>
      </c>
      <c r="D44" s="594">
        <f>M24+F36</f>
        <v>10351699667.416618</v>
      </c>
      <c r="E44" s="597" t="str">
        <f>"Sum of Line "&amp;A24&amp;", "&amp;M8&amp;" and Line "&amp;A36&amp;", "&amp;F31&amp;""</f>
        <v>Sum of Line 13, Col 12 and Line 16, Col 5</v>
      </c>
      <c r="F44" s="251"/>
      <c r="G44" s="251"/>
      <c r="H44" s="251"/>
      <c r="I44" s="251"/>
      <c r="J44" s="251"/>
      <c r="K44" s="251"/>
      <c r="L44" s="251"/>
    </row>
    <row r="45" spans="1:12" ht="13">
      <c r="A45" s="251"/>
      <c r="B45" s="251"/>
      <c r="C45" s="354"/>
      <c r="D45" s="354"/>
      <c r="E45" s="323"/>
      <c r="F45" s="598"/>
      <c r="G45" s="599"/>
      <c r="H45" s="251"/>
      <c r="I45" s="251"/>
      <c r="J45" s="251"/>
      <c r="K45" s="251"/>
      <c r="L45" s="251"/>
    </row>
    <row r="46" spans="1:12" ht="13">
      <c r="A46" s="251"/>
      <c r="B46" s="1" t="s">
        <v>655</v>
      </c>
      <c r="C46" s="251"/>
      <c r="D46" s="251"/>
      <c r="E46" s="323"/>
      <c r="F46" s="598"/>
      <c r="G46" s="599"/>
      <c r="H46" s="251"/>
      <c r="I46" s="251"/>
      <c r="J46" s="251"/>
      <c r="K46" s="251"/>
      <c r="L46" s="251"/>
    </row>
    <row r="47" spans="1:12">
      <c r="A47" s="251"/>
      <c r="B47" s="250" t="s">
        <v>656</v>
      </c>
      <c r="C47" s="251"/>
      <c r="D47" s="251"/>
      <c r="E47" s="323"/>
      <c r="F47" s="598"/>
      <c r="G47" s="599"/>
      <c r="H47" s="251"/>
      <c r="I47" s="251"/>
      <c r="J47" s="251"/>
      <c r="K47" s="251"/>
      <c r="L47" s="251"/>
    </row>
    <row r="48" spans="1:12" ht="12.75" customHeight="1">
      <c r="A48" s="251"/>
      <c r="B48" s="250"/>
      <c r="C48" s="251"/>
      <c r="D48" s="251"/>
      <c r="E48" s="323"/>
      <c r="F48" s="598"/>
      <c r="G48" s="599"/>
      <c r="H48" s="251"/>
      <c r="I48" s="251"/>
      <c r="J48" s="251"/>
      <c r="K48" s="251"/>
      <c r="L48" s="251"/>
    </row>
    <row r="49" spans="1:12" ht="13">
      <c r="A49" s="251"/>
      <c r="B49" s="1"/>
      <c r="C49" s="131" t="s">
        <v>144</v>
      </c>
      <c r="D49" s="251"/>
      <c r="E49" s="323"/>
      <c r="F49" s="48" t="s">
        <v>336</v>
      </c>
      <c r="G49" s="48" t="s">
        <v>337</v>
      </c>
      <c r="H49" s="48" t="s">
        <v>338</v>
      </c>
      <c r="I49" s="251"/>
      <c r="J49" s="251"/>
      <c r="K49" s="251"/>
      <c r="L49" s="251"/>
    </row>
    <row r="50" spans="1:12" ht="13">
      <c r="A50" s="251"/>
      <c r="B50" s="1"/>
      <c r="C50" s="2" t="s">
        <v>414</v>
      </c>
      <c r="D50" s="323"/>
      <c r="F50" s="2" t="s">
        <v>657</v>
      </c>
      <c r="G50" s="2" t="s">
        <v>658</v>
      </c>
      <c r="H50" s="588" t="s">
        <v>249</v>
      </c>
      <c r="I50" s="599"/>
      <c r="J50" s="251"/>
      <c r="K50" s="251"/>
      <c r="L50" s="251"/>
    </row>
    <row r="51" spans="1:12" ht="13">
      <c r="A51" s="251"/>
      <c r="B51" s="251"/>
      <c r="C51" s="2" t="s">
        <v>372</v>
      </c>
      <c r="D51" s="330" t="s">
        <v>659</v>
      </c>
      <c r="F51" s="330" t="s">
        <v>660</v>
      </c>
      <c r="G51" s="330" t="s">
        <v>660</v>
      </c>
      <c r="H51" s="330" t="s">
        <v>661</v>
      </c>
      <c r="I51" s="330"/>
      <c r="J51" s="251"/>
      <c r="K51" s="251"/>
      <c r="L51" s="251"/>
    </row>
    <row r="52" spans="1:12" ht="13">
      <c r="A52" s="251"/>
      <c r="B52" s="251"/>
      <c r="C52" s="3" t="s">
        <v>371</v>
      </c>
      <c r="D52" s="348" t="s">
        <v>652</v>
      </c>
      <c r="F52" s="348" t="s">
        <v>662</v>
      </c>
      <c r="G52" s="348" t="s">
        <v>662</v>
      </c>
      <c r="H52" s="348" t="s">
        <v>662</v>
      </c>
      <c r="I52" s="348" t="s">
        <v>100</v>
      </c>
      <c r="J52" s="251"/>
      <c r="K52" s="251"/>
      <c r="L52" s="251"/>
    </row>
    <row r="53" spans="1:12" ht="13">
      <c r="A53" s="2">
        <f>A44+1</f>
        <v>20</v>
      </c>
      <c r="B53" s="251"/>
      <c r="C53" s="323" t="s">
        <v>379</v>
      </c>
      <c r="D53" s="587" t="s">
        <v>663</v>
      </c>
      <c r="F53" s="60">
        <v>3458659697</v>
      </c>
      <c r="G53" s="271">
        <v>1587005797</v>
      </c>
      <c r="H53" s="594">
        <f>SUM(F53:G53)</f>
        <v>5045665494</v>
      </c>
      <c r="I53" s="587" t="s">
        <v>664</v>
      </c>
      <c r="J53" s="251"/>
      <c r="K53" s="251"/>
      <c r="L53" s="251"/>
    </row>
    <row r="54" spans="1:12" ht="12.75" customHeight="1">
      <c r="A54" s="2">
        <f>A53+1</f>
        <v>21</v>
      </c>
      <c r="B54" s="251"/>
      <c r="C54" s="349" t="s">
        <v>379</v>
      </c>
      <c r="D54" s="587" t="s">
        <v>665</v>
      </c>
      <c r="F54" s="60">
        <v>3679239676</v>
      </c>
      <c r="G54" s="271">
        <v>2361375916</v>
      </c>
      <c r="H54" s="594">
        <f>SUM(F54:G54)</f>
        <v>6040615592</v>
      </c>
      <c r="I54" s="250" t="s">
        <v>666</v>
      </c>
      <c r="J54" s="251"/>
      <c r="K54" s="251"/>
      <c r="L54" s="251"/>
    </row>
    <row r="55" spans="1:12" ht="12.75" customHeight="1">
      <c r="A55" s="251"/>
      <c r="B55" s="251"/>
      <c r="C55" s="349"/>
      <c r="D55" s="600"/>
      <c r="E55" s="601"/>
      <c r="F55" s="594"/>
      <c r="G55" s="250"/>
      <c r="H55" s="251"/>
      <c r="I55" s="251"/>
      <c r="J55" s="251"/>
      <c r="K55" s="251"/>
      <c r="L55" s="251"/>
    </row>
    <row r="56" spans="1:12" ht="12.75" customHeight="1">
      <c r="A56" s="251"/>
      <c r="B56" s="251"/>
      <c r="C56" s="354" t="s">
        <v>667</v>
      </c>
      <c r="D56" s="354"/>
      <c r="E56" s="323"/>
      <c r="F56" s="348" t="s">
        <v>79</v>
      </c>
      <c r="G56" s="602" t="s">
        <v>652</v>
      </c>
      <c r="H56" s="251"/>
      <c r="I56" s="251"/>
      <c r="J56" s="251"/>
      <c r="K56" s="251"/>
      <c r="L56" s="251"/>
    </row>
    <row r="57" spans="1:12" ht="13">
      <c r="A57" s="2">
        <f>A54+1</f>
        <v>22</v>
      </c>
      <c r="B57" s="251"/>
      <c r="C57" s="354"/>
      <c r="D57" s="354"/>
      <c r="E57" s="331" t="s">
        <v>668</v>
      </c>
      <c r="F57" s="594">
        <f>(H53+H54)/2</f>
        <v>5543140543</v>
      </c>
      <c r="G57" s="275" t="str">
        <f>"Average of Line "&amp;A53&amp;" and "&amp;A54&amp;"."</f>
        <v>Average of Line 20 and 21.</v>
      </c>
      <c r="H57" s="251"/>
      <c r="I57" s="251"/>
      <c r="J57" s="251"/>
      <c r="K57" s="251"/>
      <c r="L57" s="251"/>
    </row>
    <row r="58" spans="1:12" ht="13">
      <c r="A58" s="2">
        <f>A57+1</f>
        <v>23</v>
      </c>
      <c r="B58" s="251"/>
      <c r="C58" s="354"/>
      <c r="D58" s="354"/>
      <c r="E58" s="331" t="s">
        <v>669</v>
      </c>
      <c r="F58" s="603">
        <f>'27-Allocators'!G15</f>
        <v>6.2174818554839952E-2</v>
      </c>
      <c r="G58" s="275" t="str">
        <f>"27-Allocators, Line "&amp;'27-Allocators'!A15&amp;""</f>
        <v>27-Allocators, Line 9</v>
      </c>
      <c r="H58" s="251"/>
      <c r="I58" s="251"/>
      <c r="J58" s="251"/>
      <c r="K58" s="251"/>
      <c r="L58" s="251"/>
    </row>
    <row r="59" spans="1:12" ht="13">
      <c r="A59" s="2">
        <f>A58+1</f>
        <v>24</v>
      </c>
      <c r="B59" s="251"/>
      <c r="C59" s="354"/>
      <c r="D59" s="354"/>
      <c r="E59" s="331" t="s">
        <v>670</v>
      </c>
      <c r="F59" s="594">
        <f>F57*F58</f>
        <v>344643757.48500198</v>
      </c>
      <c r="G59" s="275" t="str">
        <f>"Line "&amp;A57&amp;" * Line "&amp;A58&amp;"."</f>
        <v>Line 22 * Line 23.</v>
      </c>
      <c r="H59" s="251"/>
      <c r="I59" s="251"/>
      <c r="J59" s="251"/>
      <c r="K59" s="251"/>
      <c r="L59" s="251"/>
    </row>
    <row r="60" spans="1:12" ht="13">
      <c r="A60" s="251"/>
      <c r="B60" s="251"/>
      <c r="C60" s="354"/>
      <c r="D60" s="354"/>
      <c r="E60" s="331"/>
      <c r="F60" s="594"/>
      <c r="G60" s="595"/>
      <c r="H60" s="251"/>
      <c r="I60" s="251"/>
      <c r="J60" s="251"/>
      <c r="K60" s="251"/>
      <c r="L60" s="251"/>
    </row>
    <row r="61" spans="1:12" ht="13">
      <c r="A61" s="251"/>
      <c r="B61" s="251"/>
      <c r="C61" s="354" t="s">
        <v>671</v>
      </c>
      <c r="D61" s="354"/>
      <c r="E61" s="323"/>
      <c r="F61" s="348" t="s">
        <v>79</v>
      </c>
      <c r="G61" s="602" t="s">
        <v>652</v>
      </c>
      <c r="H61" s="251"/>
      <c r="I61" s="251"/>
      <c r="J61" s="251"/>
      <c r="K61" s="251"/>
      <c r="L61" s="251"/>
    </row>
    <row r="62" spans="1:12" ht="13">
      <c r="A62" s="2">
        <f>A59+1</f>
        <v>25</v>
      </c>
      <c r="B62" s="251"/>
      <c r="C62" s="354"/>
      <c r="D62" s="354"/>
      <c r="E62" s="331" t="s">
        <v>654</v>
      </c>
      <c r="F62" s="594">
        <f>H54</f>
        <v>6040615592</v>
      </c>
      <c r="G62" s="275" t="str">
        <f>"Line "&amp;A54&amp;"."</f>
        <v>Line 21.</v>
      </c>
      <c r="H62" s="251"/>
      <c r="I62" s="251"/>
      <c r="J62" s="251"/>
      <c r="K62" s="251"/>
      <c r="L62" s="251"/>
    </row>
    <row r="63" spans="1:12" ht="13">
      <c r="A63" s="2">
        <f>A62+1</f>
        <v>26</v>
      </c>
      <c r="B63" s="251"/>
      <c r="C63" s="354"/>
      <c r="D63" s="354"/>
      <c r="E63" s="331" t="s">
        <v>669</v>
      </c>
      <c r="F63" s="603">
        <f>'27-Allocators'!G15</f>
        <v>6.2174818554839952E-2</v>
      </c>
      <c r="G63" s="275" t="str">
        <f>"27-Allocators, Line "&amp;'27-Allocators'!A15&amp;""</f>
        <v>27-Allocators, Line 9</v>
      </c>
      <c r="H63" s="251"/>
      <c r="I63" s="251"/>
      <c r="J63" s="251"/>
      <c r="K63" s="251"/>
      <c r="L63" s="251"/>
    </row>
    <row r="64" spans="1:12" ht="13">
      <c r="A64" s="2">
        <f>A63+1</f>
        <v>27</v>
      </c>
      <c r="B64" s="251"/>
      <c r="C64" s="354"/>
      <c r="D64" s="354"/>
      <c r="E64" s="331" t="s">
        <v>670</v>
      </c>
      <c r="F64" s="594">
        <f>F62*F63</f>
        <v>375574178.39213711</v>
      </c>
      <c r="G64" s="275" t="str">
        <f>"Line "&amp;A62&amp;" * Line "&amp;A63&amp;"."</f>
        <v>Line 25 * Line 26.</v>
      </c>
      <c r="H64" s="251"/>
      <c r="I64" s="251"/>
      <c r="J64" s="251"/>
      <c r="K64" s="251"/>
      <c r="L64" s="251"/>
    </row>
    <row r="65" spans="1:13">
      <c r="A65" s="251"/>
      <c r="B65" s="251"/>
      <c r="C65" s="251"/>
      <c r="D65" s="251"/>
      <c r="E65" s="251"/>
      <c r="F65" s="251"/>
      <c r="G65" s="251"/>
      <c r="H65" s="251"/>
      <c r="I65" s="251"/>
      <c r="J65" s="251"/>
      <c r="K65" s="251"/>
      <c r="L65" s="251"/>
    </row>
    <row r="66" spans="1:13">
      <c r="A66" s="251"/>
      <c r="B66" s="251"/>
      <c r="C66" s="251"/>
      <c r="D66" s="251"/>
      <c r="E66" s="251"/>
      <c r="F66" s="251"/>
      <c r="G66" s="251"/>
      <c r="H66" s="251"/>
      <c r="I66" s="251"/>
      <c r="J66" s="251"/>
      <c r="K66" s="251"/>
      <c r="L66" s="251"/>
    </row>
    <row r="67" spans="1:13" ht="13">
      <c r="A67" s="251"/>
      <c r="B67" s="1" t="s">
        <v>672</v>
      </c>
      <c r="C67" s="251"/>
      <c r="D67" s="251"/>
      <c r="E67" s="251"/>
      <c r="F67" s="251"/>
      <c r="G67" s="251"/>
      <c r="H67" s="251"/>
      <c r="I67" s="251"/>
      <c r="J67" s="251"/>
      <c r="K67" s="251"/>
      <c r="L67" s="251"/>
    </row>
    <row r="68" spans="1:13">
      <c r="A68" s="251"/>
      <c r="C68" s="251"/>
      <c r="D68" s="251"/>
      <c r="E68" s="251"/>
      <c r="F68" s="251"/>
      <c r="G68" s="251"/>
      <c r="H68" s="251"/>
      <c r="I68" s="251"/>
      <c r="J68" s="251"/>
      <c r="K68" s="251"/>
      <c r="L68" s="251"/>
    </row>
    <row r="69" spans="1:13" ht="13">
      <c r="B69" s="1" t="s">
        <v>673</v>
      </c>
      <c r="C69" s="251"/>
      <c r="D69" s="251"/>
      <c r="E69" s="251"/>
      <c r="F69" s="251"/>
      <c r="G69" s="251"/>
      <c r="H69" s="251"/>
      <c r="I69" s="251"/>
      <c r="J69" s="251"/>
      <c r="K69" s="251"/>
      <c r="L69" s="251"/>
    </row>
    <row r="70" spans="1:13">
      <c r="A70" s="251"/>
      <c r="C70" s="251"/>
      <c r="D70" s="251"/>
      <c r="E70" s="251"/>
      <c r="F70" s="251"/>
      <c r="G70" s="251"/>
      <c r="H70" s="251"/>
      <c r="I70" s="251"/>
      <c r="J70" s="251"/>
      <c r="K70" s="251"/>
      <c r="L70" s="251"/>
    </row>
    <row r="71" spans="1:13" ht="13">
      <c r="A71" s="209"/>
      <c r="B71" s="48" t="s">
        <v>336</v>
      </c>
      <c r="C71" s="48" t="s">
        <v>337</v>
      </c>
      <c r="D71" s="48" t="s">
        <v>338</v>
      </c>
      <c r="E71" s="48" t="s">
        <v>339</v>
      </c>
      <c r="F71" s="48" t="s">
        <v>340</v>
      </c>
      <c r="G71" s="48" t="s">
        <v>341</v>
      </c>
      <c r="H71" s="48" t="s">
        <v>342</v>
      </c>
      <c r="I71" s="48" t="s">
        <v>343</v>
      </c>
      <c r="J71" s="48" t="s">
        <v>344</v>
      </c>
      <c r="K71" s="48" t="s">
        <v>589</v>
      </c>
      <c r="L71" s="48" t="s">
        <v>590</v>
      </c>
      <c r="M71" s="48" t="s">
        <v>591</v>
      </c>
    </row>
    <row r="72" spans="1:13">
      <c r="A72" s="117"/>
      <c r="B72" s="131"/>
      <c r="C72" s="117"/>
      <c r="D72" s="117"/>
      <c r="E72" s="117"/>
      <c r="F72" s="117"/>
      <c r="G72" s="117"/>
      <c r="H72" s="117"/>
      <c r="I72" s="117"/>
      <c r="J72" s="117"/>
      <c r="K72" s="117"/>
      <c r="M72" s="131" t="s">
        <v>642</v>
      </c>
    </row>
    <row r="73" spans="1:13" ht="13">
      <c r="A73" s="30"/>
      <c r="B73" s="3" t="s">
        <v>643</v>
      </c>
      <c r="C73" s="48">
        <v>350.1</v>
      </c>
      <c r="D73" s="48">
        <v>350.2</v>
      </c>
      <c r="E73" s="48">
        <v>352</v>
      </c>
      <c r="F73" s="48">
        <v>353</v>
      </c>
      <c r="G73" s="48">
        <v>354</v>
      </c>
      <c r="H73" s="48">
        <v>355</v>
      </c>
      <c r="I73" s="48">
        <v>356</v>
      </c>
      <c r="J73" s="48">
        <v>357</v>
      </c>
      <c r="K73" s="48">
        <v>358</v>
      </c>
      <c r="L73" s="48">
        <v>359</v>
      </c>
      <c r="M73" s="3" t="s">
        <v>249</v>
      </c>
    </row>
    <row r="74" spans="1:13" ht="13">
      <c r="A74" s="2">
        <f>A64+1</f>
        <v>28</v>
      </c>
      <c r="B74" s="532" t="s">
        <v>644</v>
      </c>
      <c r="C74" s="271">
        <v>133310684.79000001</v>
      </c>
      <c r="D74" s="271">
        <v>213721519.03000003</v>
      </c>
      <c r="E74" s="121">
        <v>1253582423.22</v>
      </c>
      <c r="F74" s="121">
        <v>6970450866.000001</v>
      </c>
      <c r="G74" s="121">
        <v>2396538520.6500001</v>
      </c>
      <c r="H74" s="121">
        <v>1828031264.9000001</v>
      </c>
      <c r="I74" s="121">
        <v>1891498739.49</v>
      </c>
      <c r="J74" s="121">
        <v>325221172.35000002</v>
      </c>
      <c r="K74" s="121">
        <v>406147583.50999999</v>
      </c>
      <c r="L74" s="121">
        <v>215837805.74000001</v>
      </c>
      <c r="M74" s="119">
        <f t="shared" ref="M74:M85" si="13">SUM(C74:L74)</f>
        <v>15634340579.68</v>
      </c>
    </row>
    <row r="75" spans="1:13" ht="13">
      <c r="A75" s="2">
        <f t="shared" ref="A75:A86" si="14">A74+1</f>
        <v>29</v>
      </c>
      <c r="B75" s="408" t="s">
        <v>2931</v>
      </c>
      <c r="C75" s="271">
        <v>133425125.48999999</v>
      </c>
      <c r="D75" s="271">
        <v>213722927.78000003</v>
      </c>
      <c r="E75" s="121">
        <v>1256087117.77</v>
      </c>
      <c r="F75" s="121">
        <v>6983341102.3099995</v>
      </c>
      <c r="G75" s="121">
        <v>2401277259.23</v>
      </c>
      <c r="H75" s="121">
        <v>1832574227.6700001</v>
      </c>
      <c r="I75" s="121">
        <v>1953750995.46</v>
      </c>
      <c r="J75" s="121">
        <v>325160327.56999999</v>
      </c>
      <c r="K75" s="121">
        <v>406018608.19</v>
      </c>
      <c r="L75" s="121">
        <v>216155385.98000002</v>
      </c>
      <c r="M75" s="119">
        <f t="shared" si="13"/>
        <v>15721513077.449999</v>
      </c>
    </row>
    <row r="76" spans="1:13" ht="13">
      <c r="A76" s="2">
        <f t="shared" si="14"/>
        <v>30</v>
      </c>
      <c r="B76" s="532" t="s">
        <v>2932</v>
      </c>
      <c r="C76" s="271">
        <v>133426755.11</v>
      </c>
      <c r="D76" s="271">
        <v>214092162.83000001</v>
      </c>
      <c r="E76" s="121">
        <v>1260081930.04</v>
      </c>
      <c r="F76" s="121">
        <v>7009858195.6899996</v>
      </c>
      <c r="G76" s="121">
        <v>2405039217.25</v>
      </c>
      <c r="H76" s="121">
        <v>1846889254.6900001</v>
      </c>
      <c r="I76" s="121">
        <v>1955011766.5600002</v>
      </c>
      <c r="J76" s="121">
        <v>324990219.58999997</v>
      </c>
      <c r="K76" s="121">
        <v>405145715.19</v>
      </c>
      <c r="L76" s="121">
        <v>215857347.78</v>
      </c>
      <c r="M76" s="119">
        <f t="shared" si="13"/>
        <v>15770392564.730001</v>
      </c>
    </row>
    <row r="77" spans="1:13" ht="13">
      <c r="A77" s="2">
        <f t="shared" si="14"/>
        <v>31</v>
      </c>
      <c r="B77" s="408" t="s">
        <v>2933</v>
      </c>
      <c r="C77" s="271">
        <v>133423692.78</v>
      </c>
      <c r="D77" s="271">
        <v>214335859.69000003</v>
      </c>
      <c r="E77" s="121">
        <v>1262524881.52</v>
      </c>
      <c r="F77" s="121">
        <v>7031665841.7600002</v>
      </c>
      <c r="G77" s="121">
        <v>2408821443.9900002</v>
      </c>
      <c r="H77" s="121">
        <v>1857777901.23</v>
      </c>
      <c r="I77" s="121">
        <v>1955415354.23</v>
      </c>
      <c r="J77" s="121">
        <v>324997509.44999999</v>
      </c>
      <c r="K77" s="121">
        <v>405044025.48000002</v>
      </c>
      <c r="L77" s="121">
        <v>215845118.47</v>
      </c>
      <c r="M77" s="119">
        <f t="shared" si="13"/>
        <v>15809851628.599998</v>
      </c>
    </row>
    <row r="78" spans="1:13" ht="13">
      <c r="A78" s="2">
        <f t="shared" si="14"/>
        <v>32</v>
      </c>
      <c r="B78" s="532" t="s">
        <v>2934</v>
      </c>
      <c r="C78" s="271">
        <v>133423692.78</v>
      </c>
      <c r="D78" s="271">
        <v>214361129.38</v>
      </c>
      <c r="E78" s="121">
        <v>1263629546.98</v>
      </c>
      <c r="F78" s="121">
        <v>7067993657.6099997</v>
      </c>
      <c r="G78" s="121">
        <v>2414759150.8000002</v>
      </c>
      <c r="H78" s="121">
        <v>1897727723.8500001</v>
      </c>
      <c r="I78" s="121">
        <v>1936783193.29</v>
      </c>
      <c r="J78" s="121">
        <v>324981130.19999999</v>
      </c>
      <c r="K78" s="121">
        <v>404686634.75999999</v>
      </c>
      <c r="L78" s="121">
        <v>214557228.22</v>
      </c>
      <c r="M78" s="119">
        <f t="shared" si="13"/>
        <v>15872903087.869999</v>
      </c>
    </row>
    <row r="79" spans="1:13" ht="13">
      <c r="A79" s="2">
        <f t="shared" si="14"/>
        <v>33</v>
      </c>
      <c r="B79" s="408" t="s">
        <v>2935</v>
      </c>
      <c r="C79" s="271">
        <v>133431655.28</v>
      </c>
      <c r="D79" s="271">
        <v>214398215.80000001</v>
      </c>
      <c r="E79" s="121">
        <v>1266115100.4099998</v>
      </c>
      <c r="F79" s="121">
        <v>7105361320.0300007</v>
      </c>
      <c r="G79" s="121">
        <v>2720919366.4200001</v>
      </c>
      <c r="H79" s="121">
        <v>1995081391.5900002</v>
      </c>
      <c r="I79" s="121">
        <v>2148578723.1900001</v>
      </c>
      <c r="J79" s="121">
        <v>325372504.75999999</v>
      </c>
      <c r="K79" s="121">
        <v>405152491.30000001</v>
      </c>
      <c r="L79" s="121">
        <v>285258104.48000002</v>
      </c>
      <c r="M79" s="119">
        <f t="shared" si="13"/>
        <v>16599668873.26</v>
      </c>
    </row>
    <row r="80" spans="1:13" ht="13">
      <c r="A80" s="2">
        <f t="shared" si="14"/>
        <v>34</v>
      </c>
      <c r="B80" s="532" t="s">
        <v>2936</v>
      </c>
      <c r="C80" s="271">
        <v>133429494.13</v>
      </c>
      <c r="D80" s="271">
        <v>214448701.74000001</v>
      </c>
      <c r="E80" s="121">
        <v>1272303315.0799999</v>
      </c>
      <c r="F80" s="121">
        <v>7121960448.1200008</v>
      </c>
      <c r="G80" s="121">
        <v>2685238261.8000002</v>
      </c>
      <c r="H80" s="121">
        <v>2014430163.3199999</v>
      </c>
      <c r="I80" s="121">
        <v>2184092162.8800001</v>
      </c>
      <c r="J80" s="121">
        <v>325436415.99000001</v>
      </c>
      <c r="K80" s="121">
        <v>403706961.94</v>
      </c>
      <c r="L80" s="121">
        <v>293585766.03000003</v>
      </c>
      <c r="M80" s="119">
        <f t="shared" si="13"/>
        <v>16648631691.030001</v>
      </c>
    </row>
    <row r="81" spans="1:13" ht="13">
      <c r="A81" s="2">
        <f t="shared" si="14"/>
        <v>35</v>
      </c>
      <c r="B81" s="408" t="s">
        <v>2937</v>
      </c>
      <c r="C81" s="271">
        <v>133428447.56</v>
      </c>
      <c r="D81" s="271">
        <v>214448701.74000001</v>
      </c>
      <c r="E81" s="121">
        <v>1274096140.6900001</v>
      </c>
      <c r="F81" s="121">
        <v>7139012117.5500002</v>
      </c>
      <c r="G81" s="121">
        <v>2517477368.1600003</v>
      </c>
      <c r="H81" s="121">
        <v>1975272765.27</v>
      </c>
      <c r="I81" s="121">
        <v>2053038434.5</v>
      </c>
      <c r="J81" s="121">
        <v>327789236.57999998</v>
      </c>
      <c r="K81" s="121">
        <v>401952899.25999999</v>
      </c>
      <c r="L81" s="121">
        <v>245835868.34999999</v>
      </c>
      <c r="M81" s="119">
        <f t="shared" si="13"/>
        <v>16282351979.660002</v>
      </c>
    </row>
    <row r="82" spans="1:13" ht="13">
      <c r="A82" s="2">
        <f t="shared" si="14"/>
        <v>36</v>
      </c>
      <c r="B82" s="532" t="s">
        <v>2938</v>
      </c>
      <c r="C82" s="271">
        <v>133428055.81999999</v>
      </c>
      <c r="D82" s="271">
        <v>227738044.16000003</v>
      </c>
      <c r="E82" s="121">
        <v>1274033410.28</v>
      </c>
      <c r="F82" s="121">
        <v>7141477957.1000004</v>
      </c>
      <c r="G82" s="121">
        <v>2517511783.2800002</v>
      </c>
      <c r="H82" s="121">
        <v>1972429743.4000001</v>
      </c>
      <c r="I82" s="121">
        <v>2058317693.95</v>
      </c>
      <c r="J82" s="121">
        <v>327799583.26999998</v>
      </c>
      <c r="K82" s="121">
        <v>401713308.11000001</v>
      </c>
      <c r="L82" s="121">
        <v>245942789.48999998</v>
      </c>
      <c r="M82" s="119">
        <f t="shared" si="13"/>
        <v>16300392368.860003</v>
      </c>
    </row>
    <row r="83" spans="1:13" ht="13">
      <c r="A83" s="2">
        <f t="shared" si="14"/>
        <v>37</v>
      </c>
      <c r="B83" s="408" t="s">
        <v>2939</v>
      </c>
      <c r="C83" s="271">
        <v>133428055.81999999</v>
      </c>
      <c r="D83" s="271">
        <v>227739550.25000003</v>
      </c>
      <c r="E83" s="121">
        <v>1277587650.9199998</v>
      </c>
      <c r="F83" s="121">
        <v>7146028922.2299995</v>
      </c>
      <c r="G83" s="121">
        <v>2519310916.0999999</v>
      </c>
      <c r="H83" s="121">
        <v>1986827877.6900001</v>
      </c>
      <c r="I83" s="121">
        <v>2060249826.6400001</v>
      </c>
      <c r="J83" s="121">
        <v>329628560.26999998</v>
      </c>
      <c r="K83" s="121">
        <v>402927972.07999998</v>
      </c>
      <c r="L83" s="121">
        <v>246338404.85999998</v>
      </c>
      <c r="M83" s="119">
        <f t="shared" si="13"/>
        <v>16330067736.860001</v>
      </c>
    </row>
    <row r="84" spans="1:13" ht="13">
      <c r="A84" s="2">
        <f t="shared" si="14"/>
        <v>38</v>
      </c>
      <c r="B84" s="532" t="s">
        <v>2940</v>
      </c>
      <c r="C84" s="271">
        <v>133445454.06999999</v>
      </c>
      <c r="D84" s="271">
        <v>228281316.30000001</v>
      </c>
      <c r="E84" s="121">
        <v>1289615384.8899999</v>
      </c>
      <c r="F84" s="121">
        <v>7153365342.1899996</v>
      </c>
      <c r="G84" s="121">
        <v>2520666694.3900003</v>
      </c>
      <c r="H84" s="121">
        <v>2002135067.3800001</v>
      </c>
      <c r="I84" s="121">
        <v>2061074110.46</v>
      </c>
      <c r="J84" s="121">
        <v>329241688.62</v>
      </c>
      <c r="K84" s="121">
        <v>403314903.17000002</v>
      </c>
      <c r="L84" s="121">
        <v>246482836.22</v>
      </c>
      <c r="M84" s="119">
        <f t="shared" si="13"/>
        <v>16367622797.690001</v>
      </c>
    </row>
    <row r="85" spans="1:13" ht="13">
      <c r="A85" s="2">
        <f t="shared" si="14"/>
        <v>39</v>
      </c>
      <c r="B85" s="408" t="s">
        <v>2941</v>
      </c>
      <c r="C85" s="271">
        <v>133444307.48</v>
      </c>
      <c r="D85" s="271">
        <v>228214672.40000004</v>
      </c>
      <c r="E85" s="121">
        <v>1308829211.1200001</v>
      </c>
      <c r="F85" s="121">
        <v>7195661311.3800001</v>
      </c>
      <c r="G85" s="121">
        <v>2523955767.3800001</v>
      </c>
      <c r="H85" s="121">
        <v>2015404458.5900002</v>
      </c>
      <c r="I85" s="121">
        <v>2062176843.5800002</v>
      </c>
      <c r="J85" s="121">
        <v>329242570.00999999</v>
      </c>
      <c r="K85" s="121">
        <v>403231437.22000003</v>
      </c>
      <c r="L85" s="121">
        <v>246623760.04999998</v>
      </c>
      <c r="M85" s="192">
        <f t="shared" si="13"/>
        <v>16446784339.210001</v>
      </c>
    </row>
    <row r="86" spans="1:13" ht="13">
      <c r="A86" s="2">
        <f t="shared" si="14"/>
        <v>40</v>
      </c>
      <c r="B86" s="532" t="s">
        <v>2942</v>
      </c>
      <c r="C86" s="271">
        <v>142939842.84999999</v>
      </c>
      <c r="D86" s="271">
        <v>238520369.92000002</v>
      </c>
      <c r="E86" s="253">
        <f>'7-PlantStudy'!C10</f>
        <v>1306459913</v>
      </c>
      <c r="F86" s="253">
        <f>'7-PlantStudy'!C11</f>
        <v>7245331489</v>
      </c>
      <c r="G86" s="253">
        <f>'7-PlantStudy'!C20</f>
        <v>2528290970</v>
      </c>
      <c r="H86" s="253">
        <f>'7-PlantStudy'!C21</f>
        <v>2024504619</v>
      </c>
      <c r="I86" s="253">
        <f>'7-PlantStudy'!C22</f>
        <v>2065980164</v>
      </c>
      <c r="J86" s="253">
        <f>'7-PlantStudy'!C23</f>
        <v>329224124</v>
      </c>
      <c r="K86" s="253">
        <f>'7-PlantStudy'!C24</f>
        <v>403637836</v>
      </c>
      <c r="L86" s="253">
        <f>'7-PlantStudy'!C25</f>
        <v>246891224</v>
      </c>
      <c r="M86" s="119">
        <f>SUM(C86:L86)</f>
        <v>16531780551.77</v>
      </c>
    </row>
    <row r="88" spans="1:13" ht="13">
      <c r="B88" s="1" t="s">
        <v>674</v>
      </c>
    </row>
    <row r="90" spans="1:13" ht="13">
      <c r="A90" s="209"/>
      <c r="B90" s="48" t="s">
        <v>336</v>
      </c>
      <c r="C90" s="48" t="s">
        <v>337</v>
      </c>
      <c r="D90" s="48" t="s">
        <v>338</v>
      </c>
      <c r="E90" s="48" t="s">
        <v>339</v>
      </c>
      <c r="F90" s="48" t="s">
        <v>340</v>
      </c>
      <c r="G90" s="48" t="s">
        <v>341</v>
      </c>
      <c r="H90" s="48" t="s">
        <v>342</v>
      </c>
      <c r="I90" s="48" t="s">
        <v>343</v>
      </c>
      <c r="J90" s="48" t="s">
        <v>344</v>
      </c>
      <c r="K90" s="48" t="s">
        <v>589</v>
      </c>
      <c r="L90" s="48" t="s">
        <v>590</v>
      </c>
      <c r="M90" s="48" t="s">
        <v>591</v>
      </c>
    </row>
    <row r="91" spans="1:13">
      <c r="A91" s="117"/>
      <c r="B91" s="131"/>
      <c r="C91" s="117"/>
      <c r="D91" s="117"/>
      <c r="E91" s="117"/>
      <c r="F91" s="117"/>
      <c r="G91" s="117"/>
      <c r="H91" s="117"/>
      <c r="I91" s="117"/>
      <c r="J91" s="117"/>
      <c r="K91" s="117"/>
      <c r="M91" s="131" t="s">
        <v>642</v>
      </c>
    </row>
    <row r="92" spans="1:13" ht="13">
      <c r="A92" s="30"/>
      <c r="B92" s="3" t="s">
        <v>643</v>
      </c>
      <c r="C92" s="48">
        <v>350.1</v>
      </c>
      <c r="D92" s="48">
        <v>350.2</v>
      </c>
      <c r="E92" s="48">
        <v>352</v>
      </c>
      <c r="F92" s="48">
        <v>353</v>
      </c>
      <c r="G92" s="48">
        <v>354</v>
      </c>
      <c r="H92" s="48">
        <v>355</v>
      </c>
      <c r="I92" s="48">
        <v>356</v>
      </c>
      <c r="J92" s="48">
        <v>357</v>
      </c>
      <c r="K92" s="48">
        <v>358</v>
      </c>
      <c r="L92" s="48">
        <v>359</v>
      </c>
      <c r="M92" s="3" t="s">
        <v>249</v>
      </c>
    </row>
    <row r="93" spans="1:13" ht="13">
      <c r="A93" s="2">
        <f>A86+1</f>
        <v>41</v>
      </c>
      <c r="B93" s="408" t="s">
        <v>2931</v>
      </c>
      <c r="C93" s="253">
        <f t="shared" ref="C93:L93" si="15">C75-C74</f>
        <v>114440.69999998808</v>
      </c>
      <c r="D93" s="253">
        <f t="shared" si="15"/>
        <v>1408.75</v>
      </c>
      <c r="E93" s="253">
        <f t="shared" si="15"/>
        <v>2504694.5499999523</v>
      </c>
      <c r="F93" s="253">
        <f t="shared" si="15"/>
        <v>12890236.309998512</v>
      </c>
      <c r="G93" s="253">
        <f t="shared" si="15"/>
        <v>4738738.5799999237</v>
      </c>
      <c r="H93" s="253">
        <f t="shared" si="15"/>
        <v>4542962.7699999809</v>
      </c>
      <c r="I93" s="253">
        <f t="shared" si="15"/>
        <v>62252255.970000029</v>
      </c>
      <c r="J93" s="253">
        <f t="shared" si="15"/>
        <v>-60844.780000030994</v>
      </c>
      <c r="K93" s="253">
        <f t="shared" si="15"/>
        <v>-128975.31999999285</v>
      </c>
      <c r="L93" s="253">
        <f t="shared" si="15"/>
        <v>317580.24000000954</v>
      </c>
      <c r="M93" s="119">
        <f t="shared" ref="M93:M105" si="16">SUM(C93:L93)</f>
        <v>87172497.769998372</v>
      </c>
    </row>
    <row r="94" spans="1:13" ht="13">
      <c r="A94" s="2">
        <f t="shared" ref="A94:A105" si="17">A93+1</f>
        <v>42</v>
      </c>
      <c r="B94" s="532" t="s">
        <v>2932</v>
      </c>
      <c r="C94" s="253">
        <f t="shared" ref="C94:L94" si="18">C76-C75</f>
        <v>1629.6200000047684</v>
      </c>
      <c r="D94" s="253">
        <f t="shared" si="18"/>
        <v>369235.04999998212</v>
      </c>
      <c r="E94" s="253">
        <f t="shared" si="18"/>
        <v>3994812.2699999809</v>
      </c>
      <c r="F94" s="253">
        <f t="shared" si="18"/>
        <v>26517093.380000114</v>
      </c>
      <c r="G94" s="253">
        <f t="shared" si="18"/>
        <v>3761958.0199999809</v>
      </c>
      <c r="H94" s="253">
        <f t="shared" si="18"/>
        <v>14315027.019999981</v>
      </c>
      <c r="I94" s="253">
        <f t="shared" si="18"/>
        <v>1260771.1000001431</v>
      </c>
      <c r="J94" s="253">
        <f t="shared" si="18"/>
        <v>-170107.98000001907</v>
      </c>
      <c r="K94" s="253">
        <f t="shared" si="18"/>
        <v>-872893</v>
      </c>
      <c r="L94" s="253">
        <f t="shared" si="18"/>
        <v>-298038.20000001788</v>
      </c>
      <c r="M94" s="119">
        <f t="shared" si="16"/>
        <v>48879487.28000015</v>
      </c>
    </row>
    <row r="95" spans="1:13" ht="13">
      <c r="A95" s="2">
        <f t="shared" si="17"/>
        <v>43</v>
      </c>
      <c r="B95" s="408" t="s">
        <v>2933</v>
      </c>
      <c r="C95" s="253">
        <f t="shared" ref="C95:L95" si="19">C77-C76</f>
        <v>-3062.3299999982119</v>
      </c>
      <c r="D95" s="253">
        <f t="shared" si="19"/>
        <v>243696.86000001431</v>
      </c>
      <c r="E95" s="253">
        <f t="shared" si="19"/>
        <v>2442951.4800000191</v>
      </c>
      <c r="F95" s="253">
        <f t="shared" si="19"/>
        <v>21807646.070000648</v>
      </c>
      <c r="G95" s="253">
        <f t="shared" si="19"/>
        <v>3782226.740000248</v>
      </c>
      <c r="H95" s="253">
        <f t="shared" si="19"/>
        <v>10888646.539999962</v>
      </c>
      <c r="I95" s="253">
        <f t="shared" si="19"/>
        <v>403587.66999983788</v>
      </c>
      <c r="J95" s="253">
        <f t="shared" si="19"/>
        <v>7289.8600000143051</v>
      </c>
      <c r="K95" s="253">
        <f t="shared" si="19"/>
        <v>-101689.70999997854</v>
      </c>
      <c r="L95" s="253">
        <f t="shared" si="19"/>
        <v>-12229.310000002384</v>
      </c>
      <c r="M95" s="119">
        <f t="shared" si="16"/>
        <v>39459063.870000765</v>
      </c>
    </row>
    <row r="96" spans="1:13" ht="13">
      <c r="A96" s="2">
        <f t="shared" si="17"/>
        <v>44</v>
      </c>
      <c r="B96" s="532" t="s">
        <v>2934</v>
      </c>
      <c r="C96" s="253">
        <f t="shared" ref="C96:L96" si="20">C78-C77</f>
        <v>0</v>
      </c>
      <c r="D96" s="253">
        <f t="shared" si="20"/>
        <v>25269.689999967813</v>
      </c>
      <c r="E96" s="253">
        <f t="shared" si="20"/>
        <v>1104665.4600000381</v>
      </c>
      <c r="F96" s="253">
        <f t="shared" si="20"/>
        <v>36327815.849999428</v>
      </c>
      <c r="G96" s="253">
        <f t="shared" si="20"/>
        <v>5937706.8099999428</v>
      </c>
      <c r="H96" s="253">
        <f t="shared" si="20"/>
        <v>39949822.620000124</v>
      </c>
      <c r="I96" s="253">
        <f t="shared" si="20"/>
        <v>-18632160.940000057</v>
      </c>
      <c r="J96" s="253">
        <f t="shared" si="20"/>
        <v>-16379.25</v>
      </c>
      <c r="K96" s="253">
        <f t="shared" si="20"/>
        <v>-357390.72000002861</v>
      </c>
      <c r="L96" s="253">
        <f t="shared" si="20"/>
        <v>-1287890.25</v>
      </c>
      <c r="M96" s="119">
        <f t="shared" si="16"/>
        <v>63051459.269999415</v>
      </c>
    </row>
    <row r="97" spans="1:13" ht="13">
      <c r="A97" s="2">
        <f t="shared" si="17"/>
        <v>45</v>
      </c>
      <c r="B97" s="408" t="s">
        <v>2935</v>
      </c>
      <c r="C97" s="253">
        <f t="shared" ref="C97:I104" si="21">C79-C78</f>
        <v>7962.5</v>
      </c>
      <c r="D97" s="253">
        <f t="shared" si="21"/>
        <v>37086.420000016689</v>
      </c>
      <c r="E97" s="253">
        <f t="shared" si="21"/>
        <v>2485553.4299998283</v>
      </c>
      <c r="F97" s="253">
        <f t="shared" si="21"/>
        <v>37367662.42000103</v>
      </c>
      <c r="G97" s="253">
        <f t="shared" si="21"/>
        <v>306160215.61999989</v>
      </c>
      <c r="H97" s="253">
        <f t="shared" si="21"/>
        <v>97353667.74000001</v>
      </c>
      <c r="I97" s="253">
        <f t="shared" si="21"/>
        <v>211795529.9000001</v>
      </c>
      <c r="J97" s="253">
        <f t="shared" ref="J97" si="22">J79-J78</f>
        <v>391374.56000000238</v>
      </c>
      <c r="K97" s="253">
        <f t="shared" ref="K97:L104" si="23">K79-K78</f>
        <v>465856.54000002146</v>
      </c>
      <c r="L97" s="253">
        <f t="shared" si="23"/>
        <v>70700876.26000002</v>
      </c>
      <c r="M97" s="119">
        <f t="shared" si="16"/>
        <v>726765785.39000082</v>
      </c>
    </row>
    <row r="98" spans="1:13" ht="13">
      <c r="A98" s="2">
        <f t="shared" si="17"/>
        <v>46</v>
      </c>
      <c r="B98" s="532" t="s">
        <v>2936</v>
      </c>
      <c r="C98" s="253">
        <f t="shared" si="21"/>
        <v>-2161.1500000059605</v>
      </c>
      <c r="D98" s="253">
        <f t="shared" si="21"/>
        <v>50485.939999997616</v>
      </c>
      <c r="E98" s="253">
        <f t="shared" si="21"/>
        <v>6188214.6700000763</v>
      </c>
      <c r="F98" s="253">
        <f t="shared" si="21"/>
        <v>16599128.090000153</v>
      </c>
      <c r="G98" s="253">
        <f t="shared" si="21"/>
        <v>-35681104.619999886</v>
      </c>
      <c r="H98" s="253">
        <f t="shared" si="21"/>
        <v>19348771.729999781</v>
      </c>
      <c r="I98" s="253">
        <f t="shared" si="21"/>
        <v>35513439.690000057</v>
      </c>
      <c r="J98" s="253">
        <f t="shared" ref="J98:J104" si="24">J80-J79</f>
        <v>63911.230000019073</v>
      </c>
      <c r="K98" s="253">
        <f t="shared" si="23"/>
        <v>-1445529.3600000143</v>
      </c>
      <c r="L98" s="253">
        <f t="shared" si="23"/>
        <v>8327661.5500000119</v>
      </c>
      <c r="M98" s="119">
        <f t="shared" si="16"/>
        <v>48962817.77000019</v>
      </c>
    </row>
    <row r="99" spans="1:13" ht="13">
      <c r="A99" s="2">
        <f t="shared" si="17"/>
        <v>47</v>
      </c>
      <c r="B99" s="408" t="s">
        <v>2937</v>
      </c>
      <c r="C99" s="253">
        <f t="shared" si="21"/>
        <v>-1046.5699999928474</v>
      </c>
      <c r="D99" s="253">
        <f t="shared" si="21"/>
        <v>0</v>
      </c>
      <c r="E99" s="253">
        <f t="shared" si="21"/>
        <v>1792825.6100001335</v>
      </c>
      <c r="F99" s="253">
        <f t="shared" si="21"/>
        <v>17051669.429999352</v>
      </c>
      <c r="G99" s="253">
        <f t="shared" si="21"/>
        <v>-167760893.63999987</v>
      </c>
      <c r="H99" s="253">
        <f t="shared" si="21"/>
        <v>-39157398.049999952</v>
      </c>
      <c r="I99" s="253">
        <f t="shared" si="21"/>
        <v>-131053728.38000011</v>
      </c>
      <c r="J99" s="253">
        <f t="shared" si="24"/>
        <v>2352820.5899999738</v>
      </c>
      <c r="K99" s="253">
        <f t="shared" si="23"/>
        <v>-1754062.6800000072</v>
      </c>
      <c r="L99" s="253">
        <f t="shared" si="23"/>
        <v>-47749897.680000037</v>
      </c>
      <c r="M99" s="119">
        <f t="shared" si="16"/>
        <v>-366279711.37000048</v>
      </c>
    </row>
    <row r="100" spans="1:13" ht="13">
      <c r="A100" s="2">
        <f t="shared" si="17"/>
        <v>48</v>
      </c>
      <c r="B100" s="532" t="s">
        <v>2938</v>
      </c>
      <c r="C100" s="253">
        <f t="shared" si="21"/>
        <v>-391.74000000953674</v>
      </c>
      <c r="D100" s="253">
        <f t="shared" si="21"/>
        <v>13289342.420000017</v>
      </c>
      <c r="E100" s="253">
        <f t="shared" si="21"/>
        <v>-62730.410000085831</v>
      </c>
      <c r="F100" s="253">
        <f t="shared" si="21"/>
        <v>2465839.5500001907</v>
      </c>
      <c r="G100" s="253">
        <f t="shared" si="21"/>
        <v>34415.119999885559</v>
      </c>
      <c r="H100" s="253">
        <f t="shared" si="21"/>
        <v>-2843021.8699998856</v>
      </c>
      <c r="I100" s="253">
        <f t="shared" si="21"/>
        <v>5279259.4500000477</v>
      </c>
      <c r="J100" s="253">
        <f t="shared" si="24"/>
        <v>10346.689999997616</v>
      </c>
      <c r="K100" s="253">
        <f t="shared" si="23"/>
        <v>-239591.14999997616</v>
      </c>
      <c r="L100" s="253">
        <f t="shared" si="23"/>
        <v>106921.13999998569</v>
      </c>
      <c r="M100" s="119">
        <f t="shared" si="16"/>
        <v>18040389.200000167</v>
      </c>
    </row>
    <row r="101" spans="1:13" ht="13">
      <c r="A101" s="2">
        <f t="shared" si="17"/>
        <v>49</v>
      </c>
      <c r="B101" s="408" t="s">
        <v>2939</v>
      </c>
      <c r="C101" s="253">
        <f t="shared" si="21"/>
        <v>0</v>
      </c>
      <c r="D101" s="253">
        <f t="shared" si="21"/>
        <v>1506.0900000035763</v>
      </c>
      <c r="E101" s="253">
        <f t="shared" si="21"/>
        <v>3554240.6399998665</v>
      </c>
      <c r="F101" s="253">
        <f t="shared" si="21"/>
        <v>4550965.1299991608</v>
      </c>
      <c r="G101" s="253">
        <f t="shared" si="21"/>
        <v>1799132.8199996948</v>
      </c>
      <c r="H101" s="253">
        <f t="shared" si="21"/>
        <v>14398134.289999962</v>
      </c>
      <c r="I101" s="253">
        <f t="shared" si="21"/>
        <v>1932132.6900000572</v>
      </c>
      <c r="J101" s="253">
        <f t="shared" si="24"/>
        <v>1828977</v>
      </c>
      <c r="K101" s="253">
        <f t="shared" si="23"/>
        <v>1214663.969999969</v>
      </c>
      <c r="L101" s="253">
        <f t="shared" si="23"/>
        <v>395615.37000000477</v>
      </c>
      <c r="M101" s="119">
        <f t="shared" si="16"/>
        <v>29675367.999998719</v>
      </c>
    </row>
    <row r="102" spans="1:13" ht="13">
      <c r="A102" s="2">
        <f t="shared" si="17"/>
        <v>50</v>
      </c>
      <c r="B102" s="532" t="s">
        <v>2940</v>
      </c>
      <c r="C102" s="253">
        <f t="shared" si="21"/>
        <v>17398.25</v>
      </c>
      <c r="D102" s="253">
        <f t="shared" si="21"/>
        <v>541766.04999998212</v>
      </c>
      <c r="E102" s="253">
        <f t="shared" si="21"/>
        <v>12027733.970000029</v>
      </c>
      <c r="F102" s="253">
        <f t="shared" si="21"/>
        <v>7336419.9600000381</v>
      </c>
      <c r="G102" s="253">
        <f t="shared" si="21"/>
        <v>1355778.2900004387</v>
      </c>
      <c r="H102" s="253">
        <f t="shared" si="21"/>
        <v>15307189.690000057</v>
      </c>
      <c r="I102" s="253">
        <f t="shared" si="21"/>
        <v>824283.81999993324</v>
      </c>
      <c r="J102" s="253">
        <f t="shared" si="24"/>
        <v>-386871.64999997616</v>
      </c>
      <c r="K102" s="253">
        <f t="shared" si="23"/>
        <v>386931.09000003338</v>
      </c>
      <c r="L102" s="253">
        <f t="shared" si="23"/>
        <v>144431.36000001431</v>
      </c>
      <c r="M102" s="119">
        <f t="shared" si="16"/>
        <v>37555060.83000055</v>
      </c>
    </row>
    <row r="103" spans="1:13" ht="13">
      <c r="A103" s="2">
        <f t="shared" si="17"/>
        <v>51</v>
      </c>
      <c r="B103" s="408" t="s">
        <v>2941</v>
      </c>
      <c r="C103" s="253">
        <f t="shared" si="21"/>
        <v>-1146.5899999886751</v>
      </c>
      <c r="D103" s="253">
        <f t="shared" si="21"/>
        <v>-66643.899999976158</v>
      </c>
      <c r="E103" s="253">
        <f t="shared" si="21"/>
        <v>19213826.230000257</v>
      </c>
      <c r="F103" s="253">
        <f t="shared" si="21"/>
        <v>42295969.190000534</v>
      </c>
      <c r="G103" s="253">
        <f t="shared" si="21"/>
        <v>3289072.9899997711</v>
      </c>
      <c r="H103" s="253">
        <f t="shared" si="21"/>
        <v>13269391.210000038</v>
      </c>
      <c r="I103" s="253">
        <f t="shared" si="21"/>
        <v>1102733.120000124</v>
      </c>
      <c r="J103" s="253">
        <f t="shared" si="24"/>
        <v>881.38999998569489</v>
      </c>
      <c r="K103" s="253">
        <f t="shared" si="23"/>
        <v>-83465.949999988079</v>
      </c>
      <c r="L103" s="253">
        <f t="shared" si="23"/>
        <v>140923.82999998331</v>
      </c>
      <c r="M103" s="119">
        <f t="shared" si="16"/>
        <v>79161541.520000741</v>
      </c>
    </row>
    <row r="104" spans="1:13" ht="13">
      <c r="A104" s="2">
        <f t="shared" si="17"/>
        <v>52</v>
      </c>
      <c r="B104" s="532" t="s">
        <v>2942</v>
      </c>
      <c r="C104" s="53">
        <f t="shared" si="21"/>
        <v>9495535.3699999899</v>
      </c>
      <c r="D104" s="53">
        <f t="shared" si="21"/>
        <v>10305697.519999981</v>
      </c>
      <c r="E104" s="53">
        <f t="shared" si="21"/>
        <v>-2369298.120000124</v>
      </c>
      <c r="F104" s="53">
        <f t="shared" si="21"/>
        <v>49670177.619999886</v>
      </c>
      <c r="G104" s="53">
        <f t="shared" si="21"/>
        <v>4335202.6199998856</v>
      </c>
      <c r="H104" s="53">
        <f t="shared" si="21"/>
        <v>9100160.4099998474</v>
      </c>
      <c r="I104" s="53">
        <f t="shared" si="21"/>
        <v>3803320.4199998379</v>
      </c>
      <c r="J104" s="53">
        <f t="shared" si="24"/>
        <v>-18446.009999990463</v>
      </c>
      <c r="K104" s="53">
        <f t="shared" si="23"/>
        <v>406398.77999997139</v>
      </c>
      <c r="L104" s="53">
        <f t="shared" si="23"/>
        <v>267463.95000001788</v>
      </c>
      <c r="M104" s="192">
        <f t="shared" si="16"/>
        <v>84996212.559999302</v>
      </c>
    </row>
    <row r="105" spans="1:13" ht="13">
      <c r="A105" s="2">
        <f t="shared" si="17"/>
        <v>53</v>
      </c>
      <c r="B105" s="593" t="s">
        <v>409</v>
      </c>
      <c r="C105" s="119">
        <f t="shared" ref="C105:L105" si="25">SUM(C93:C104)</f>
        <v>9629158.0599999875</v>
      </c>
      <c r="D105" s="119">
        <f t="shared" si="25"/>
        <v>24798850.889999986</v>
      </c>
      <c r="E105" s="119">
        <f t="shared" si="25"/>
        <v>52877489.779999971</v>
      </c>
      <c r="F105" s="119">
        <f t="shared" si="25"/>
        <v>274880622.99999905</v>
      </c>
      <c r="G105" s="119">
        <f t="shared" si="25"/>
        <v>131752449.3499999</v>
      </c>
      <c r="H105" s="119">
        <f t="shared" si="25"/>
        <v>196473354.0999999</v>
      </c>
      <c r="I105" s="119">
        <f t="shared" si="25"/>
        <v>174481424.50999999</v>
      </c>
      <c r="J105" s="119">
        <f t="shared" si="25"/>
        <v>4002951.6499999762</v>
      </c>
      <c r="K105" s="119">
        <f t="shared" si="25"/>
        <v>-2509747.5099999905</v>
      </c>
      <c r="L105" s="119">
        <f t="shared" si="25"/>
        <v>31053418.25999999</v>
      </c>
      <c r="M105" s="119">
        <f t="shared" si="16"/>
        <v>897439972.08999884</v>
      </c>
    </row>
    <row r="106" spans="1:13" ht="13">
      <c r="A106" s="2"/>
      <c r="B106" s="593"/>
      <c r="C106" s="119"/>
      <c r="D106" s="119"/>
      <c r="E106" s="119"/>
      <c r="F106" s="119"/>
      <c r="G106" s="119"/>
      <c r="H106" s="119"/>
      <c r="I106" s="119"/>
      <c r="J106" s="119"/>
      <c r="K106" s="119"/>
      <c r="L106" s="119"/>
      <c r="M106" s="119"/>
    </row>
    <row r="107" spans="1:13" ht="13">
      <c r="B107" s="1" t="s">
        <v>675</v>
      </c>
    </row>
    <row r="109" spans="1:13" ht="13">
      <c r="A109" s="209"/>
      <c r="B109" s="48" t="s">
        <v>336</v>
      </c>
      <c r="C109" s="48" t="s">
        <v>337</v>
      </c>
      <c r="D109" s="48" t="s">
        <v>338</v>
      </c>
      <c r="E109" s="48" t="s">
        <v>339</v>
      </c>
      <c r="F109" s="48" t="s">
        <v>340</v>
      </c>
      <c r="G109" s="48" t="s">
        <v>341</v>
      </c>
      <c r="H109" s="48" t="s">
        <v>342</v>
      </c>
      <c r="I109" s="48" t="s">
        <v>343</v>
      </c>
      <c r="J109" s="48" t="s">
        <v>344</v>
      </c>
      <c r="K109" s="48" t="s">
        <v>589</v>
      </c>
      <c r="L109" s="48" t="s">
        <v>590</v>
      </c>
      <c r="M109" s="48" t="s">
        <v>591</v>
      </c>
    </row>
    <row r="110" spans="1:13">
      <c r="A110" s="117"/>
      <c r="B110" s="131"/>
      <c r="C110" s="117"/>
      <c r="D110" s="117"/>
      <c r="E110" s="117"/>
      <c r="F110" s="117"/>
      <c r="G110" s="117"/>
      <c r="H110" s="117"/>
      <c r="I110" s="117"/>
      <c r="J110" s="117"/>
      <c r="K110" s="117"/>
      <c r="M110" s="131" t="s">
        <v>642</v>
      </c>
    </row>
    <row r="111" spans="1:13" ht="13">
      <c r="A111" s="30"/>
      <c r="B111" s="3" t="s">
        <v>643</v>
      </c>
      <c r="C111" s="48">
        <v>350.1</v>
      </c>
      <c r="D111" s="48">
        <v>350.2</v>
      </c>
      <c r="E111" s="48">
        <v>352</v>
      </c>
      <c r="F111" s="48">
        <v>353</v>
      </c>
      <c r="G111" s="48">
        <v>354</v>
      </c>
      <c r="H111" s="48">
        <v>355</v>
      </c>
      <c r="I111" s="48">
        <v>356</v>
      </c>
      <c r="J111" s="48">
        <v>357</v>
      </c>
      <c r="K111" s="48">
        <v>358</v>
      </c>
      <c r="L111" s="48">
        <v>359</v>
      </c>
      <c r="M111" s="3" t="s">
        <v>249</v>
      </c>
    </row>
    <row r="112" spans="1:13" ht="13">
      <c r="A112" s="2">
        <f>A105+1</f>
        <v>54</v>
      </c>
      <c r="B112" s="532" t="s">
        <v>644</v>
      </c>
      <c r="C112" s="606">
        <v>20675722.857499987</v>
      </c>
      <c r="D112" s="606">
        <v>95092826.639999971</v>
      </c>
      <c r="E112" s="606">
        <v>333843687.6868304</v>
      </c>
      <c r="F112" s="606">
        <v>1294959444.9267893</v>
      </c>
      <c r="G112" s="606">
        <v>1739540403.1518271</v>
      </c>
      <c r="H112" s="606">
        <v>168357695.07999998</v>
      </c>
      <c r="I112" s="606">
        <v>843258351.60719705</v>
      </c>
      <c r="J112" s="606">
        <v>215116562.16000009</v>
      </c>
      <c r="K112" s="606">
        <v>57162899.379999988</v>
      </c>
      <c r="L112" s="606">
        <v>162864515.90059182</v>
      </c>
      <c r="M112" s="353">
        <f t="shared" ref="M112:M124" si="26">SUM(C112:L112)</f>
        <v>4930872109.3907356</v>
      </c>
    </row>
    <row r="113" spans="1:13" ht="13">
      <c r="A113" s="2">
        <f t="shared" ref="A113:A124" si="27">A112+1</f>
        <v>55</v>
      </c>
      <c r="B113" s="408" t="s">
        <v>2931</v>
      </c>
      <c r="C113" s="606">
        <v>20680408.137499988</v>
      </c>
      <c r="D113" s="606">
        <v>95092933.35999997</v>
      </c>
      <c r="E113" s="606">
        <v>333862069.25701833</v>
      </c>
      <c r="F113" s="606">
        <v>1303624632.3419411</v>
      </c>
      <c r="G113" s="606">
        <v>1741205139.021827</v>
      </c>
      <c r="H113" s="606">
        <v>168330536.01000002</v>
      </c>
      <c r="I113" s="606">
        <v>843572659.14719677</v>
      </c>
      <c r="J113" s="606">
        <v>215105153.5200001</v>
      </c>
      <c r="K113" s="606">
        <v>57166287.86999999</v>
      </c>
      <c r="L113" s="606">
        <v>162854128.70059183</v>
      </c>
      <c r="M113" s="353">
        <f t="shared" si="26"/>
        <v>4941493947.3660755</v>
      </c>
    </row>
    <row r="114" spans="1:13" ht="13">
      <c r="A114" s="2">
        <f t="shared" si="27"/>
        <v>56</v>
      </c>
      <c r="B114" s="532" t="s">
        <v>2932</v>
      </c>
      <c r="C114" s="606">
        <v>20682037.757499989</v>
      </c>
      <c r="D114" s="606">
        <v>95093188.739999965</v>
      </c>
      <c r="E114" s="606">
        <v>333871214.15214437</v>
      </c>
      <c r="F114" s="606">
        <v>1303878780.521167</v>
      </c>
      <c r="G114" s="606">
        <v>1740901108.6018267</v>
      </c>
      <c r="H114" s="606">
        <v>168416082.30000001</v>
      </c>
      <c r="I114" s="606">
        <v>846481895.41719687</v>
      </c>
      <c r="J114" s="606">
        <v>215105162.22000009</v>
      </c>
      <c r="K114" s="606">
        <v>57166292.18999999</v>
      </c>
      <c r="L114" s="606">
        <v>162856253.29059184</v>
      </c>
      <c r="M114" s="353">
        <f t="shared" si="26"/>
        <v>4944452015.1904278</v>
      </c>
    </row>
    <row r="115" spans="1:13" ht="13">
      <c r="A115" s="2">
        <f t="shared" si="27"/>
        <v>57</v>
      </c>
      <c r="B115" s="408" t="s">
        <v>2933</v>
      </c>
      <c r="C115" s="606">
        <v>20681937.297499988</v>
      </c>
      <c r="D115" s="606">
        <v>95093289.199999958</v>
      </c>
      <c r="E115" s="606">
        <v>333885425.18823647</v>
      </c>
      <c r="F115" s="606">
        <v>1303989865.3348093</v>
      </c>
      <c r="G115" s="606">
        <v>1740940902.7618265</v>
      </c>
      <c r="H115" s="606">
        <v>168423482.81000003</v>
      </c>
      <c r="I115" s="606">
        <v>846532792.91719687</v>
      </c>
      <c r="J115" s="606">
        <v>215105170.8000001</v>
      </c>
      <c r="K115" s="606">
        <v>57166296.43999999</v>
      </c>
      <c r="L115" s="606">
        <v>162856316.58059183</v>
      </c>
      <c r="M115" s="353">
        <f t="shared" si="26"/>
        <v>4944675479.3301611</v>
      </c>
    </row>
    <row r="116" spans="1:13" ht="13">
      <c r="A116" s="2">
        <f t="shared" si="27"/>
        <v>58</v>
      </c>
      <c r="B116" s="532" t="s">
        <v>2934</v>
      </c>
      <c r="C116" s="606">
        <v>20681937.297499988</v>
      </c>
      <c r="D116" s="606">
        <v>95093289.199999958</v>
      </c>
      <c r="E116" s="606">
        <v>333895626.48232239</v>
      </c>
      <c r="F116" s="606">
        <v>1304730386.3907471</v>
      </c>
      <c r="G116" s="606">
        <v>1740947987.6418271</v>
      </c>
      <c r="H116" s="606">
        <v>168426460.01000002</v>
      </c>
      <c r="I116" s="606">
        <v>846547987.1371969</v>
      </c>
      <c r="J116" s="606">
        <v>215105175.0500001</v>
      </c>
      <c r="K116" s="606">
        <v>57166296.429999992</v>
      </c>
      <c r="L116" s="606">
        <v>162857121.79059184</v>
      </c>
      <c r="M116" s="353">
        <f t="shared" si="26"/>
        <v>4945452267.4301863</v>
      </c>
    </row>
    <row r="117" spans="1:13" ht="13">
      <c r="A117" s="2">
        <f t="shared" si="27"/>
        <v>59</v>
      </c>
      <c r="B117" s="408" t="s">
        <v>2935</v>
      </c>
      <c r="C117" s="606">
        <v>20689899.797499988</v>
      </c>
      <c r="D117" s="606">
        <v>95093289.199999958</v>
      </c>
      <c r="E117" s="606">
        <v>334537281.1955784</v>
      </c>
      <c r="F117" s="606">
        <v>1311266605.3564451</v>
      </c>
      <c r="G117" s="606">
        <v>2057895376.4018266</v>
      </c>
      <c r="H117" s="606">
        <v>238508525.15000007</v>
      </c>
      <c r="I117" s="606">
        <v>1042837792.7371969</v>
      </c>
      <c r="J117" s="606">
        <v>215105175.0500001</v>
      </c>
      <c r="K117" s="606">
        <v>57166296.429999992</v>
      </c>
      <c r="L117" s="606">
        <v>233184804.02059186</v>
      </c>
      <c r="M117" s="353">
        <f t="shared" si="26"/>
        <v>5606285045.339139</v>
      </c>
    </row>
    <row r="118" spans="1:13" ht="13">
      <c r="A118" s="2">
        <f t="shared" si="27"/>
        <v>60</v>
      </c>
      <c r="B118" s="532" t="s">
        <v>2936</v>
      </c>
      <c r="C118" s="606">
        <v>20689475.457499988</v>
      </c>
      <c r="D118" s="606">
        <v>95093713.539999962</v>
      </c>
      <c r="E118" s="606">
        <v>334533731.8615424</v>
      </c>
      <c r="F118" s="606">
        <v>1311268957.1358593</v>
      </c>
      <c r="G118" s="606">
        <v>2020309188.201827</v>
      </c>
      <c r="H118" s="606">
        <v>246746680.72000006</v>
      </c>
      <c r="I118" s="606">
        <v>1065770716.917197</v>
      </c>
      <c r="J118" s="606">
        <v>215105175.0500001</v>
      </c>
      <c r="K118" s="606">
        <v>57166296.429999992</v>
      </c>
      <c r="L118" s="606">
        <v>241452295.7605918</v>
      </c>
      <c r="M118" s="353">
        <f t="shared" si="26"/>
        <v>5608136231.0745182</v>
      </c>
    </row>
    <row r="119" spans="1:13" ht="13">
      <c r="A119" s="2">
        <f t="shared" si="27"/>
        <v>61</v>
      </c>
      <c r="B119" s="408" t="s">
        <v>2937</v>
      </c>
      <c r="C119" s="606">
        <v>20696826.157499988</v>
      </c>
      <c r="D119" s="606">
        <v>95093713.539999962</v>
      </c>
      <c r="E119" s="606">
        <v>334538036.1306684</v>
      </c>
      <c r="F119" s="606">
        <v>1311444600.4993992</v>
      </c>
      <c r="G119" s="606">
        <v>1851218926.1018271</v>
      </c>
      <c r="H119" s="606">
        <v>199184569.52000004</v>
      </c>
      <c r="I119" s="606">
        <v>933366149.15719676</v>
      </c>
      <c r="J119" s="606">
        <v>215105175.0500001</v>
      </c>
      <c r="K119" s="606">
        <v>57166296.429999992</v>
      </c>
      <c r="L119" s="606">
        <v>193718413.5105918</v>
      </c>
      <c r="M119" s="353">
        <f t="shared" si="26"/>
        <v>5211532706.0971832</v>
      </c>
    </row>
    <row r="120" spans="1:13" ht="13">
      <c r="A120" s="2">
        <f t="shared" si="27"/>
        <v>62</v>
      </c>
      <c r="B120" s="532" t="s">
        <v>2938</v>
      </c>
      <c r="C120" s="606">
        <v>20696434.417499989</v>
      </c>
      <c r="D120" s="606">
        <v>95094105.279999956</v>
      </c>
      <c r="E120" s="606">
        <v>334542984.04176837</v>
      </c>
      <c r="F120" s="606">
        <v>1311507470.1961193</v>
      </c>
      <c r="G120" s="606">
        <v>1852201758.1818271</v>
      </c>
      <c r="H120" s="606">
        <v>198832606.25000006</v>
      </c>
      <c r="I120" s="606">
        <v>933787255.9471972</v>
      </c>
      <c r="J120" s="606">
        <v>215105175.0500001</v>
      </c>
      <c r="K120" s="606">
        <v>57166296.429999992</v>
      </c>
      <c r="L120" s="606">
        <v>193860187.03059185</v>
      </c>
      <c r="M120" s="353">
        <f t="shared" si="26"/>
        <v>5212794272.8250046</v>
      </c>
    </row>
    <row r="121" spans="1:13" ht="13">
      <c r="A121" s="2">
        <f t="shared" si="27"/>
        <v>63</v>
      </c>
      <c r="B121" s="408" t="s">
        <v>2939</v>
      </c>
      <c r="C121" s="606">
        <v>20696434.417499989</v>
      </c>
      <c r="D121" s="606">
        <v>95094105.279999956</v>
      </c>
      <c r="E121" s="606">
        <v>334551749.45287836</v>
      </c>
      <c r="F121" s="606">
        <v>1311551648.2966652</v>
      </c>
      <c r="G121" s="606">
        <v>1853485188.4618268</v>
      </c>
      <c r="H121" s="606">
        <v>199216719.37000006</v>
      </c>
      <c r="I121" s="606">
        <v>934763462.89719701</v>
      </c>
      <c r="J121" s="606">
        <v>215105175.0500001</v>
      </c>
      <c r="K121" s="606">
        <v>57166296.429999992</v>
      </c>
      <c r="L121" s="606">
        <v>194221101.53059185</v>
      </c>
      <c r="M121" s="353">
        <f t="shared" si="26"/>
        <v>5215851881.1866598</v>
      </c>
    </row>
    <row r="122" spans="1:13" ht="13">
      <c r="A122" s="2">
        <f t="shared" si="27"/>
        <v>64</v>
      </c>
      <c r="B122" s="532" t="s">
        <v>2940</v>
      </c>
      <c r="C122" s="606">
        <v>20713832.667499989</v>
      </c>
      <c r="D122" s="606">
        <v>95094105.279999956</v>
      </c>
      <c r="E122" s="606">
        <v>334552700.14288837</v>
      </c>
      <c r="F122" s="606">
        <v>1311580518.9102511</v>
      </c>
      <c r="G122" s="606">
        <v>1853975798.9118271</v>
      </c>
      <c r="H122" s="606">
        <v>199359254.32000005</v>
      </c>
      <c r="I122" s="606">
        <v>935149519.48719692</v>
      </c>
      <c r="J122" s="606">
        <v>215105175.0500001</v>
      </c>
      <c r="K122" s="606">
        <v>57166296.429999992</v>
      </c>
      <c r="L122" s="606">
        <v>194365502.17059183</v>
      </c>
      <c r="M122" s="353">
        <f t="shared" si="26"/>
        <v>5217062703.3702564</v>
      </c>
    </row>
    <row r="123" spans="1:13" ht="13">
      <c r="A123" s="2">
        <f t="shared" si="27"/>
        <v>65</v>
      </c>
      <c r="B123" s="408" t="s">
        <v>2941</v>
      </c>
      <c r="C123" s="606">
        <v>20712905.46749999</v>
      </c>
      <c r="D123" s="606">
        <v>95095032.479999959</v>
      </c>
      <c r="E123" s="606">
        <v>334554767.18900836</v>
      </c>
      <c r="F123" s="606">
        <v>1335182810.3273349</v>
      </c>
      <c r="G123" s="606">
        <v>1854490917.3318272</v>
      </c>
      <c r="H123" s="606">
        <v>199500574.75000006</v>
      </c>
      <c r="I123" s="606">
        <v>935569003.76719689</v>
      </c>
      <c r="J123" s="606">
        <v>215105175.0500001</v>
      </c>
      <c r="K123" s="606">
        <v>57166296.429999992</v>
      </c>
      <c r="L123" s="606">
        <v>194506509.12059182</v>
      </c>
      <c r="M123" s="353">
        <f t="shared" si="26"/>
        <v>5241883991.9134598</v>
      </c>
    </row>
    <row r="124" spans="1:13" ht="13">
      <c r="A124" s="2">
        <f t="shared" si="27"/>
        <v>66</v>
      </c>
      <c r="B124" s="532" t="s">
        <v>2942</v>
      </c>
      <c r="C124" s="606">
        <v>24279600.040299989</v>
      </c>
      <c r="D124" s="606">
        <v>105194230.54999995</v>
      </c>
      <c r="E124" s="606">
        <v>334556751.23971039</v>
      </c>
      <c r="F124" s="606">
        <v>1335607892.1635432</v>
      </c>
      <c r="G124" s="606">
        <v>1855302739.4018271</v>
      </c>
      <c r="H124" s="606">
        <v>199719028.94000006</v>
      </c>
      <c r="I124" s="606">
        <v>936206857.51719689</v>
      </c>
      <c r="J124" s="606">
        <v>215105175.0500001</v>
      </c>
      <c r="K124" s="606">
        <v>57166296.429999992</v>
      </c>
      <c r="L124" s="606">
        <v>194733685.8905918</v>
      </c>
      <c r="M124" s="353">
        <f t="shared" si="26"/>
        <v>5257872257.2231703</v>
      </c>
    </row>
    <row r="125" spans="1:13" ht="13">
      <c r="A125" s="2"/>
      <c r="B125" s="593"/>
      <c r="C125" s="119"/>
      <c r="D125" s="119"/>
      <c r="E125" s="119"/>
      <c r="F125" s="119"/>
      <c r="G125" s="119"/>
      <c r="H125" s="119"/>
      <c r="I125" s="119"/>
      <c r="J125" s="119"/>
      <c r="K125" s="119"/>
      <c r="L125" s="119"/>
      <c r="M125" s="119"/>
    </row>
    <row r="126" spans="1:13" ht="13">
      <c r="B126" s="1" t="s">
        <v>676</v>
      </c>
    </row>
    <row r="128" spans="1:13" ht="13">
      <c r="A128" s="209"/>
      <c r="B128" s="48" t="s">
        <v>336</v>
      </c>
      <c r="C128" s="48" t="s">
        <v>337</v>
      </c>
      <c r="D128" s="48" t="s">
        <v>338</v>
      </c>
      <c r="E128" s="48" t="s">
        <v>339</v>
      </c>
      <c r="F128" s="48" t="s">
        <v>340</v>
      </c>
      <c r="G128" s="48" t="s">
        <v>341</v>
      </c>
      <c r="H128" s="48" t="s">
        <v>342</v>
      </c>
      <c r="I128" s="48" t="s">
        <v>343</v>
      </c>
      <c r="J128" s="48" t="s">
        <v>344</v>
      </c>
      <c r="K128" s="48" t="s">
        <v>589</v>
      </c>
      <c r="L128" s="48" t="s">
        <v>590</v>
      </c>
      <c r="M128" s="48" t="s">
        <v>591</v>
      </c>
    </row>
    <row r="129" spans="1:16">
      <c r="A129" s="117"/>
      <c r="B129" s="131"/>
      <c r="C129" s="117"/>
      <c r="D129" s="117"/>
      <c r="E129" s="117"/>
      <c r="F129" s="117"/>
      <c r="G129" s="117"/>
      <c r="H129" s="117"/>
      <c r="I129" s="117"/>
      <c r="J129" s="117"/>
      <c r="K129" s="117"/>
      <c r="M129" s="131" t="s">
        <v>642</v>
      </c>
    </row>
    <row r="130" spans="1:16" ht="13">
      <c r="A130" s="30"/>
      <c r="B130" s="3" t="s">
        <v>643</v>
      </c>
      <c r="C130" s="48">
        <v>350.1</v>
      </c>
      <c r="D130" s="48">
        <v>350.2</v>
      </c>
      <c r="E130" s="48">
        <v>352</v>
      </c>
      <c r="F130" s="48">
        <v>353</v>
      </c>
      <c r="G130" s="48">
        <v>354</v>
      </c>
      <c r="H130" s="48">
        <v>355</v>
      </c>
      <c r="I130" s="48">
        <v>356</v>
      </c>
      <c r="J130" s="48">
        <v>357</v>
      </c>
      <c r="K130" s="48">
        <v>358</v>
      </c>
      <c r="L130" s="48">
        <v>359</v>
      </c>
      <c r="M130" s="3" t="s">
        <v>249</v>
      </c>
    </row>
    <row r="131" spans="1:16" ht="13">
      <c r="A131" s="2">
        <f>A124+1</f>
        <v>67</v>
      </c>
      <c r="B131" s="408" t="s">
        <v>2931</v>
      </c>
      <c r="C131" s="901">
        <f t="shared" ref="C131:L131" si="28">C113-C112</f>
        <v>4685.2800000011921</v>
      </c>
      <c r="D131" s="901">
        <f t="shared" si="28"/>
        <v>106.71999999880791</v>
      </c>
      <c r="E131" s="901">
        <f t="shared" si="28"/>
        <v>18381.570187926292</v>
      </c>
      <c r="F131" s="901">
        <f t="shared" si="28"/>
        <v>8665187.4151518345</v>
      </c>
      <c r="G131" s="901">
        <f t="shared" si="28"/>
        <v>1664735.8699998856</v>
      </c>
      <c r="H131" s="901">
        <f t="shared" si="28"/>
        <v>-27159.069999963045</v>
      </c>
      <c r="I131" s="901">
        <f t="shared" si="28"/>
        <v>314307.53999972343</v>
      </c>
      <c r="J131" s="901">
        <f t="shared" si="28"/>
        <v>-11408.639999985695</v>
      </c>
      <c r="K131" s="901">
        <f t="shared" si="28"/>
        <v>3388.4900000020862</v>
      </c>
      <c r="L131" s="901">
        <f t="shared" si="28"/>
        <v>-10387.199999988079</v>
      </c>
      <c r="M131" s="901">
        <f t="shared" ref="M131:M142" si="29">SUM(C131:L131)</f>
        <v>10621837.975339435</v>
      </c>
      <c r="P131" s="6"/>
    </row>
    <row r="132" spans="1:16" ht="13">
      <c r="A132" s="2">
        <f t="shared" ref="A132:A143" si="30">A131+1</f>
        <v>68</v>
      </c>
      <c r="B132" s="532" t="s">
        <v>2932</v>
      </c>
      <c r="C132" s="901">
        <f t="shared" ref="C132:L132" si="31">C114-C113</f>
        <v>1629.6200000010431</v>
      </c>
      <c r="D132" s="901">
        <f t="shared" si="31"/>
        <v>255.37999999523163</v>
      </c>
      <c r="E132" s="901">
        <f t="shared" si="31"/>
        <v>9144.8951260447502</v>
      </c>
      <c r="F132" s="901">
        <f t="shared" si="31"/>
        <v>254148.17922592163</v>
      </c>
      <c r="G132" s="901">
        <f t="shared" si="31"/>
        <v>-304030.42000031471</v>
      </c>
      <c r="H132" s="901">
        <f t="shared" si="31"/>
        <v>85546.289999991655</v>
      </c>
      <c r="I132" s="901">
        <f t="shared" si="31"/>
        <v>2909236.2700001001</v>
      </c>
      <c r="J132" s="901">
        <f t="shared" si="31"/>
        <v>8.699999988079071</v>
      </c>
      <c r="K132" s="901">
        <f t="shared" si="31"/>
        <v>4.3200000002980232</v>
      </c>
      <c r="L132" s="901">
        <f t="shared" si="31"/>
        <v>2124.5900000035763</v>
      </c>
      <c r="M132" s="901">
        <f t="shared" si="29"/>
        <v>2958067.8243517317</v>
      </c>
      <c r="P132" s="6"/>
    </row>
    <row r="133" spans="1:16" ht="13">
      <c r="A133" s="2">
        <f t="shared" si="30"/>
        <v>69</v>
      </c>
      <c r="B133" s="408" t="s">
        <v>2933</v>
      </c>
      <c r="C133" s="901">
        <f t="shared" ref="C133:L133" si="32">C115-C114</f>
        <v>-100.46000000089407</v>
      </c>
      <c r="D133" s="901">
        <f t="shared" si="32"/>
        <v>100.45999999344349</v>
      </c>
      <c r="E133" s="901">
        <f t="shared" si="32"/>
        <v>14211.036092102528</v>
      </c>
      <c r="F133" s="901">
        <f t="shared" si="32"/>
        <v>111084.81364226341</v>
      </c>
      <c r="G133" s="901">
        <f t="shared" si="32"/>
        <v>39794.159999847412</v>
      </c>
      <c r="H133" s="901">
        <f t="shared" si="32"/>
        <v>7400.5100000202656</v>
      </c>
      <c r="I133" s="901">
        <f t="shared" si="32"/>
        <v>50897.5</v>
      </c>
      <c r="J133" s="901">
        <f t="shared" si="32"/>
        <v>8.5800000131130219</v>
      </c>
      <c r="K133" s="901">
        <f t="shared" si="32"/>
        <v>4.25</v>
      </c>
      <c r="L133" s="901">
        <f t="shared" si="32"/>
        <v>63.28999999165535</v>
      </c>
      <c r="M133" s="901">
        <f t="shared" si="29"/>
        <v>223464.13973423094</v>
      </c>
      <c r="P133" s="6"/>
    </row>
    <row r="134" spans="1:16" ht="13">
      <c r="A134" s="2">
        <f t="shared" si="30"/>
        <v>70</v>
      </c>
      <c r="B134" s="532" t="s">
        <v>2934</v>
      </c>
      <c r="C134" s="901">
        <f t="shared" ref="C134:L134" si="33">C116-C115</f>
        <v>0</v>
      </c>
      <c r="D134" s="901">
        <f t="shared" si="33"/>
        <v>0</v>
      </c>
      <c r="E134" s="901">
        <f t="shared" si="33"/>
        <v>10201.294085919857</v>
      </c>
      <c r="F134" s="901">
        <f t="shared" si="33"/>
        <v>740521.05593776703</v>
      </c>
      <c r="G134" s="901">
        <f t="shared" si="33"/>
        <v>7084.8800005912781</v>
      </c>
      <c r="H134" s="901">
        <f t="shared" si="33"/>
        <v>2977.1999999880791</v>
      </c>
      <c r="I134" s="901">
        <f t="shared" si="33"/>
        <v>15194.22000002861</v>
      </c>
      <c r="J134" s="901">
        <f t="shared" si="33"/>
        <v>4.25</v>
      </c>
      <c r="K134" s="901">
        <f t="shared" si="33"/>
        <v>-9.9999979138374329E-3</v>
      </c>
      <c r="L134" s="901">
        <f t="shared" si="33"/>
        <v>805.21000000834465</v>
      </c>
      <c r="M134" s="901">
        <f t="shared" si="29"/>
        <v>776788.10002430528</v>
      </c>
      <c r="P134" s="6"/>
    </row>
    <row r="135" spans="1:16" ht="13">
      <c r="A135" s="2">
        <f t="shared" si="30"/>
        <v>71</v>
      </c>
      <c r="B135" s="408" t="s">
        <v>2935</v>
      </c>
      <c r="C135" s="901">
        <f t="shared" ref="C135:L135" si="34">C117-C116</f>
        <v>7962.5</v>
      </c>
      <c r="D135" s="901">
        <f t="shared" si="34"/>
        <v>0</v>
      </c>
      <c r="E135" s="901">
        <f t="shared" si="34"/>
        <v>641654.71325600147</v>
      </c>
      <c r="F135" s="901">
        <f t="shared" si="34"/>
        <v>6536218.9656980038</v>
      </c>
      <c r="G135" s="901">
        <f t="shared" si="34"/>
        <v>316947388.75999951</v>
      </c>
      <c r="H135" s="901">
        <f t="shared" si="34"/>
        <v>70082065.140000045</v>
      </c>
      <c r="I135" s="901">
        <f t="shared" si="34"/>
        <v>196289805.60000002</v>
      </c>
      <c r="J135" s="901">
        <f t="shared" si="34"/>
        <v>0</v>
      </c>
      <c r="K135" s="901">
        <f t="shared" si="34"/>
        <v>0</v>
      </c>
      <c r="L135" s="901">
        <f t="shared" si="34"/>
        <v>70327682.230000019</v>
      </c>
      <c r="M135" s="901">
        <f t="shared" si="29"/>
        <v>660832777.90895367</v>
      </c>
      <c r="P135" s="6"/>
    </row>
    <row r="136" spans="1:16" ht="13">
      <c r="A136" s="2">
        <f t="shared" si="30"/>
        <v>72</v>
      </c>
      <c r="B136" s="532" t="s">
        <v>2936</v>
      </c>
      <c r="C136" s="901">
        <f t="shared" ref="C136:L136" si="35">C118-C117</f>
        <v>-424.33999999985099</v>
      </c>
      <c r="D136" s="901">
        <f t="shared" si="35"/>
        <v>424.34000000357628</v>
      </c>
      <c r="E136" s="901">
        <f t="shared" si="35"/>
        <v>-3549.3340359926224</v>
      </c>
      <c r="F136" s="901">
        <f t="shared" si="35"/>
        <v>2351.7794141769409</v>
      </c>
      <c r="G136" s="901">
        <f t="shared" si="35"/>
        <v>-37586188.199999571</v>
      </c>
      <c r="H136" s="901">
        <f t="shared" si="35"/>
        <v>8238155.5699999928</v>
      </c>
      <c r="I136" s="901">
        <f t="shared" si="35"/>
        <v>22932924.180000067</v>
      </c>
      <c r="J136" s="901">
        <f t="shared" si="35"/>
        <v>0</v>
      </c>
      <c r="K136" s="901">
        <f t="shared" si="35"/>
        <v>0</v>
      </c>
      <c r="L136" s="901">
        <f t="shared" si="35"/>
        <v>8267491.7399999499</v>
      </c>
      <c r="M136" s="901">
        <f t="shared" si="29"/>
        <v>1851185.735378623</v>
      </c>
      <c r="P136" s="6"/>
    </row>
    <row r="137" spans="1:16" ht="13">
      <c r="A137" s="2">
        <f t="shared" si="30"/>
        <v>73</v>
      </c>
      <c r="B137" s="408" t="s">
        <v>2937</v>
      </c>
      <c r="C137" s="901">
        <f t="shared" ref="C137:L137" si="36">C119-C118</f>
        <v>7350.6999999992549</v>
      </c>
      <c r="D137" s="901">
        <f t="shared" si="36"/>
        <v>0</v>
      </c>
      <c r="E137" s="901">
        <f t="shared" si="36"/>
        <v>4304.2691259980202</v>
      </c>
      <c r="F137" s="901">
        <f t="shared" si="36"/>
        <v>175643.36353993416</v>
      </c>
      <c r="G137" s="901">
        <f t="shared" si="36"/>
        <v>-169090262.0999999</v>
      </c>
      <c r="H137" s="901">
        <f t="shared" si="36"/>
        <v>-47562111.200000018</v>
      </c>
      <c r="I137" s="901">
        <f t="shared" si="36"/>
        <v>-132404567.76000023</v>
      </c>
      <c r="J137" s="901">
        <f t="shared" si="36"/>
        <v>0</v>
      </c>
      <c r="K137" s="901">
        <f t="shared" si="36"/>
        <v>0</v>
      </c>
      <c r="L137" s="901">
        <f t="shared" si="36"/>
        <v>-47733882.25</v>
      </c>
      <c r="M137" s="901">
        <f t="shared" si="29"/>
        <v>-396603524.97733426</v>
      </c>
      <c r="P137" s="6"/>
    </row>
    <row r="138" spans="1:16" ht="13">
      <c r="A138" s="2">
        <f t="shared" si="30"/>
        <v>74</v>
      </c>
      <c r="B138" s="532" t="s">
        <v>2938</v>
      </c>
      <c r="C138" s="901">
        <f t="shared" ref="C138:L138" si="37">C120-C119</f>
        <v>-391.73999999836087</v>
      </c>
      <c r="D138" s="901">
        <f t="shared" si="37"/>
        <v>391.73999999463558</v>
      </c>
      <c r="E138" s="901">
        <f t="shared" si="37"/>
        <v>4947.9110999703407</v>
      </c>
      <c r="F138" s="901">
        <f t="shared" si="37"/>
        <v>62869.696720123291</v>
      </c>
      <c r="G138" s="901">
        <f t="shared" si="37"/>
        <v>982832.07999992371</v>
      </c>
      <c r="H138" s="901">
        <f t="shared" si="37"/>
        <v>-351963.26999998093</v>
      </c>
      <c r="I138" s="901">
        <f t="shared" si="37"/>
        <v>421106.79000043869</v>
      </c>
      <c r="J138" s="901">
        <f t="shared" si="37"/>
        <v>0</v>
      </c>
      <c r="K138" s="901">
        <f t="shared" si="37"/>
        <v>0</v>
      </c>
      <c r="L138" s="901">
        <f t="shared" si="37"/>
        <v>141773.52000004053</v>
      </c>
      <c r="M138" s="901">
        <f t="shared" si="29"/>
        <v>1261566.7278205119</v>
      </c>
      <c r="P138" s="6"/>
    </row>
    <row r="139" spans="1:16" ht="13">
      <c r="A139" s="2">
        <f t="shared" si="30"/>
        <v>75</v>
      </c>
      <c r="B139" s="408" t="s">
        <v>2939</v>
      </c>
      <c r="C139" s="901">
        <f t="shared" ref="C139:L139" si="38">C121-C120</f>
        <v>0</v>
      </c>
      <c r="D139" s="901">
        <f t="shared" si="38"/>
        <v>0</v>
      </c>
      <c r="E139" s="901">
        <f t="shared" si="38"/>
        <v>8765.4111099839211</v>
      </c>
      <c r="F139" s="901">
        <f t="shared" si="38"/>
        <v>44178.100545883179</v>
      </c>
      <c r="G139" s="901">
        <f t="shared" si="38"/>
        <v>1283430.279999733</v>
      </c>
      <c r="H139" s="901">
        <f t="shared" si="38"/>
        <v>384113.12000000477</v>
      </c>
      <c r="I139" s="901">
        <f t="shared" si="38"/>
        <v>976206.94999980927</v>
      </c>
      <c r="J139" s="901">
        <f t="shared" si="38"/>
        <v>0</v>
      </c>
      <c r="K139" s="901">
        <f t="shared" si="38"/>
        <v>0</v>
      </c>
      <c r="L139" s="901">
        <f t="shared" si="38"/>
        <v>360914.5</v>
      </c>
      <c r="M139" s="901">
        <f t="shared" si="29"/>
        <v>3057608.3616554141</v>
      </c>
      <c r="P139" s="6"/>
    </row>
    <row r="140" spans="1:16" ht="13">
      <c r="A140" s="2">
        <f t="shared" si="30"/>
        <v>76</v>
      </c>
      <c r="B140" s="532" t="s">
        <v>2940</v>
      </c>
      <c r="C140" s="901">
        <f t="shared" ref="C140:L140" si="39">C122-C121</f>
        <v>17398.25</v>
      </c>
      <c r="D140" s="901">
        <f t="shared" si="39"/>
        <v>0</v>
      </c>
      <c r="E140" s="901">
        <f t="shared" si="39"/>
        <v>950.69001001119614</v>
      </c>
      <c r="F140" s="901">
        <f t="shared" si="39"/>
        <v>28870.613585948944</v>
      </c>
      <c r="G140" s="901">
        <f t="shared" si="39"/>
        <v>490610.4500002861</v>
      </c>
      <c r="H140" s="901">
        <f t="shared" si="39"/>
        <v>142534.94999998808</v>
      </c>
      <c r="I140" s="901">
        <f t="shared" si="39"/>
        <v>386056.58999991417</v>
      </c>
      <c r="J140" s="901">
        <f t="shared" si="39"/>
        <v>0</v>
      </c>
      <c r="K140" s="901">
        <f t="shared" si="39"/>
        <v>0</v>
      </c>
      <c r="L140" s="901">
        <f t="shared" si="39"/>
        <v>144400.63999998569</v>
      </c>
      <c r="M140" s="901">
        <f t="shared" si="29"/>
        <v>1210822.1835961342</v>
      </c>
      <c r="P140" s="6"/>
    </row>
    <row r="141" spans="1:16" ht="13">
      <c r="A141" s="2">
        <f t="shared" si="30"/>
        <v>77</v>
      </c>
      <c r="B141" s="408" t="s">
        <v>2941</v>
      </c>
      <c r="C141" s="901">
        <f t="shared" ref="C141:L141" si="40">C123-C122</f>
        <v>-927.19999999925494</v>
      </c>
      <c r="D141" s="901">
        <f t="shared" si="40"/>
        <v>927.20000000298023</v>
      </c>
      <c r="E141" s="901">
        <f t="shared" si="40"/>
        <v>2067.0461199879646</v>
      </c>
      <c r="F141" s="901">
        <f t="shared" si="40"/>
        <v>23602291.41708374</v>
      </c>
      <c r="G141" s="901">
        <f t="shared" si="40"/>
        <v>515118.42000007629</v>
      </c>
      <c r="H141" s="901">
        <f t="shared" si="40"/>
        <v>141320.43000000715</v>
      </c>
      <c r="I141" s="901">
        <f t="shared" si="40"/>
        <v>419484.27999997139</v>
      </c>
      <c r="J141" s="901">
        <f t="shared" si="40"/>
        <v>0</v>
      </c>
      <c r="K141" s="901">
        <f t="shared" si="40"/>
        <v>0</v>
      </c>
      <c r="L141" s="901">
        <f t="shared" si="40"/>
        <v>141006.94999998808</v>
      </c>
      <c r="M141" s="901">
        <f t="shared" si="29"/>
        <v>24821288.543203775</v>
      </c>
      <c r="P141" s="6"/>
    </row>
    <row r="142" spans="1:16" ht="13">
      <c r="A142" s="2">
        <f t="shared" si="30"/>
        <v>78</v>
      </c>
      <c r="B142" s="532" t="s">
        <v>2942</v>
      </c>
      <c r="C142" s="902">
        <f t="shared" ref="C142:L142" si="41">C124-C123</f>
        <v>3566694.5727999993</v>
      </c>
      <c r="D142" s="902">
        <f t="shared" si="41"/>
        <v>10099198.069999993</v>
      </c>
      <c r="E142" s="902">
        <f t="shared" si="41"/>
        <v>1984.0507020354271</v>
      </c>
      <c r="F142" s="902">
        <f t="shared" si="41"/>
        <v>425081.83620834351</v>
      </c>
      <c r="G142" s="902">
        <f t="shared" si="41"/>
        <v>811822.06999993324</v>
      </c>
      <c r="H142" s="902">
        <f t="shared" si="41"/>
        <v>218454.18999999762</v>
      </c>
      <c r="I142" s="902">
        <f t="shared" si="41"/>
        <v>637853.75</v>
      </c>
      <c r="J142" s="902">
        <f t="shared" si="41"/>
        <v>0</v>
      </c>
      <c r="K142" s="902">
        <f t="shared" si="41"/>
        <v>0</v>
      </c>
      <c r="L142" s="902">
        <f t="shared" si="41"/>
        <v>227176.76999998093</v>
      </c>
      <c r="M142" s="902">
        <f t="shared" si="29"/>
        <v>15988265.309710283</v>
      </c>
      <c r="P142" s="6"/>
    </row>
    <row r="143" spans="1:16" ht="13">
      <c r="A143" s="2">
        <f t="shared" si="30"/>
        <v>79</v>
      </c>
      <c r="B143" s="593" t="s">
        <v>409</v>
      </c>
      <c r="C143" s="901">
        <f t="shared" ref="C143:M143" si="42">SUM(C131:C142)</f>
        <v>3603877.1828000024</v>
      </c>
      <c r="D143" s="901">
        <f t="shared" si="42"/>
        <v>10101403.909999982</v>
      </c>
      <c r="E143" s="901">
        <f t="shared" si="42"/>
        <v>713063.55287998915</v>
      </c>
      <c r="F143" s="901">
        <f t="shared" si="42"/>
        <v>40648447.236753941</v>
      </c>
      <c r="G143" s="901">
        <f t="shared" si="42"/>
        <v>115762336.25</v>
      </c>
      <c r="H143" s="901">
        <f t="shared" si="42"/>
        <v>31361333.860000074</v>
      </c>
      <c r="I143" s="901">
        <f t="shared" si="42"/>
        <v>92948505.909999847</v>
      </c>
      <c r="J143" s="901">
        <f t="shared" si="42"/>
        <v>-11387.109999984503</v>
      </c>
      <c r="K143" s="901">
        <f t="shared" si="42"/>
        <v>3397.0500000044703</v>
      </c>
      <c r="L143" s="901">
        <f t="shared" si="42"/>
        <v>31869169.98999998</v>
      </c>
      <c r="M143" s="901">
        <f t="shared" si="42"/>
        <v>327000147.83243382</v>
      </c>
      <c r="P143" s="6"/>
    </row>
    <row r="144" spans="1:16" ht="13">
      <c r="A144" s="2"/>
      <c r="B144" s="593"/>
      <c r="C144" s="604"/>
      <c r="D144" s="604"/>
      <c r="E144" s="604"/>
      <c r="F144" s="604"/>
      <c r="G144" s="604"/>
      <c r="H144" s="604"/>
      <c r="I144" s="604"/>
      <c r="J144" s="604"/>
      <c r="K144" s="604"/>
      <c r="L144" s="604"/>
      <c r="M144" s="604"/>
    </row>
    <row r="145" spans="1:13" ht="13">
      <c r="B145" s="114" t="s">
        <v>677</v>
      </c>
    </row>
    <row r="147" spans="1:13" ht="13">
      <c r="A147" s="209"/>
      <c r="B147" s="48" t="s">
        <v>336</v>
      </c>
      <c r="C147" s="48" t="s">
        <v>337</v>
      </c>
      <c r="D147" s="48" t="s">
        <v>338</v>
      </c>
      <c r="E147" s="48" t="s">
        <v>339</v>
      </c>
      <c r="F147" s="48" t="s">
        <v>340</v>
      </c>
      <c r="G147" s="48" t="s">
        <v>341</v>
      </c>
      <c r="H147" s="48" t="s">
        <v>342</v>
      </c>
      <c r="I147" s="48" t="s">
        <v>343</v>
      </c>
      <c r="J147" s="48" t="s">
        <v>344</v>
      </c>
      <c r="K147" s="48" t="s">
        <v>589</v>
      </c>
      <c r="L147" s="48" t="s">
        <v>590</v>
      </c>
      <c r="M147" s="48" t="s">
        <v>591</v>
      </c>
    </row>
    <row r="148" spans="1:13">
      <c r="A148" s="117"/>
      <c r="B148" s="131"/>
      <c r="C148" s="117"/>
      <c r="D148" s="117"/>
      <c r="E148" s="117"/>
      <c r="F148" s="117"/>
      <c r="G148" s="117"/>
      <c r="H148" s="117"/>
      <c r="I148" s="117"/>
      <c r="J148" s="117"/>
      <c r="K148" s="117"/>
      <c r="M148" s="131" t="s">
        <v>642</v>
      </c>
    </row>
    <row r="149" spans="1:13" ht="13">
      <c r="A149" s="30"/>
      <c r="B149" s="3" t="s">
        <v>643</v>
      </c>
      <c r="C149" s="48">
        <v>350.1</v>
      </c>
      <c r="D149" s="48">
        <v>350.2</v>
      </c>
      <c r="E149" s="48">
        <v>352</v>
      </c>
      <c r="F149" s="48">
        <v>353</v>
      </c>
      <c r="G149" s="48">
        <v>354</v>
      </c>
      <c r="H149" s="48">
        <v>355</v>
      </c>
      <c r="I149" s="48">
        <v>356</v>
      </c>
      <c r="J149" s="48">
        <v>357</v>
      </c>
      <c r="K149" s="48">
        <v>358</v>
      </c>
      <c r="L149" s="48">
        <v>359</v>
      </c>
      <c r="M149" s="3" t="s">
        <v>249</v>
      </c>
    </row>
    <row r="150" spans="1:13" ht="13">
      <c r="A150" s="2">
        <f>A143+1</f>
        <v>80</v>
      </c>
      <c r="B150" s="408" t="s">
        <v>2931</v>
      </c>
      <c r="C150" s="859">
        <f>C93-C131</f>
        <v>109755.41999998689</v>
      </c>
      <c r="D150" s="859">
        <f t="shared" ref="D150:L161" si="43">D93-D131</f>
        <v>1302.0300000011921</v>
      </c>
      <c r="E150" s="859">
        <f t="shared" si="43"/>
        <v>2486312.979812026</v>
      </c>
      <c r="F150" s="859">
        <f t="shared" si="43"/>
        <v>4225048.8948466778</v>
      </c>
      <c r="G150" s="859">
        <f t="shared" si="43"/>
        <v>3074002.7100000381</v>
      </c>
      <c r="H150" s="859">
        <f t="shared" si="43"/>
        <v>4570121.839999944</v>
      </c>
      <c r="I150" s="859">
        <f t="shared" si="43"/>
        <v>61937948.430000305</v>
      </c>
      <c r="J150" s="859">
        <f t="shared" si="43"/>
        <v>-49436.1400000453</v>
      </c>
      <c r="K150" s="859">
        <f t="shared" si="43"/>
        <v>-132363.80999999493</v>
      </c>
      <c r="L150" s="859">
        <f t="shared" si="43"/>
        <v>327967.43999999762</v>
      </c>
      <c r="M150" s="859">
        <f t="shared" ref="M150:M161" si="44">SUM(C150:L150)</f>
        <v>76550659.794658929</v>
      </c>
    </row>
    <row r="151" spans="1:13" ht="13">
      <c r="A151" s="2">
        <f t="shared" ref="A151:A162" si="45">A150+1</f>
        <v>81</v>
      </c>
      <c r="B151" s="532" t="s">
        <v>2932</v>
      </c>
      <c r="C151" s="859">
        <f t="shared" ref="C151:C161" si="46">C94-C132</f>
        <v>3.7252902984619141E-9</v>
      </c>
      <c r="D151" s="859">
        <f t="shared" si="43"/>
        <v>368979.66999998689</v>
      </c>
      <c r="E151" s="859">
        <f t="shared" si="43"/>
        <v>3985667.3748739362</v>
      </c>
      <c r="F151" s="859">
        <f t="shared" si="43"/>
        <v>26262945.200774193</v>
      </c>
      <c r="G151" s="859">
        <f t="shared" si="43"/>
        <v>4065988.4400002956</v>
      </c>
      <c r="H151" s="859">
        <f t="shared" si="43"/>
        <v>14229480.729999989</v>
      </c>
      <c r="I151" s="859">
        <f t="shared" si="43"/>
        <v>-1648465.1699999571</v>
      </c>
      <c r="J151" s="859">
        <f t="shared" si="43"/>
        <v>-170116.68000000715</v>
      </c>
      <c r="K151" s="859">
        <f t="shared" si="43"/>
        <v>-872897.3200000003</v>
      </c>
      <c r="L151" s="859">
        <f t="shared" si="43"/>
        <v>-300162.79000002146</v>
      </c>
      <c r="M151" s="859">
        <f t="shared" si="44"/>
        <v>45921419.455648415</v>
      </c>
    </row>
    <row r="152" spans="1:13" ht="13">
      <c r="A152" s="2">
        <f t="shared" si="45"/>
        <v>82</v>
      </c>
      <c r="B152" s="408" t="s">
        <v>2933</v>
      </c>
      <c r="C152" s="859">
        <f t="shared" si="46"/>
        <v>-2961.8699999973178</v>
      </c>
      <c r="D152" s="859">
        <f t="shared" si="43"/>
        <v>243596.40000002086</v>
      </c>
      <c r="E152" s="859">
        <f t="shared" si="43"/>
        <v>2428740.4439079165</v>
      </c>
      <c r="F152" s="859">
        <f t="shared" si="43"/>
        <v>21696561.256358385</v>
      </c>
      <c r="G152" s="859">
        <f t="shared" si="43"/>
        <v>3742432.5800004005</v>
      </c>
      <c r="H152" s="859">
        <f t="shared" si="43"/>
        <v>10881246.029999942</v>
      </c>
      <c r="I152" s="859">
        <f t="shared" si="43"/>
        <v>352690.16999983788</v>
      </c>
      <c r="J152" s="859">
        <f t="shared" si="43"/>
        <v>7281.2800000011921</v>
      </c>
      <c r="K152" s="859">
        <f t="shared" si="43"/>
        <v>-101693.95999997854</v>
      </c>
      <c r="L152" s="859">
        <f t="shared" si="43"/>
        <v>-12292.59999999404</v>
      </c>
      <c r="M152" s="859">
        <f t="shared" si="44"/>
        <v>39235599.730266534</v>
      </c>
    </row>
    <row r="153" spans="1:13" ht="13">
      <c r="A153" s="2">
        <f t="shared" si="45"/>
        <v>83</v>
      </c>
      <c r="B153" s="532" t="s">
        <v>2934</v>
      </c>
      <c r="C153" s="859">
        <f t="shared" si="46"/>
        <v>0</v>
      </c>
      <c r="D153" s="859">
        <f t="shared" si="43"/>
        <v>25269.689999967813</v>
      </c>
      <c r="E153" s="859">
        <f t="shared" si="43"/>
        <v>1094464.1659141183</v>
      </c>
      <c r="F153" s="859">
        <f t="shared" si="43"/>
        <v>35587294.794061661</v>
      </c>
      <c r="G153" s="859">
        <f t="shared" si="43"/>
        <v>5930621.9299993515</v>
      </c>
      <c r="H153" s="859">
        <f t="shared" si="43"/>
        <v>39946845.420000136</v>
      </c>
      <c r="I153" s="859">
        <f t="shared" si="43"/>
        <v>-18647355.160000086</v>
      </c>
      <c r="J153" s="859">
        <f t="shared" si="43"/>
        <v>-16383.5</v>
      </c>
      <c r="K153" s="859">
        <f t="shared" si="43"/>
        <v>-357390.7100000307</v>
      </c>
      <c r="L153" s="859">
        <f t="shared" si="43"/>
        <v>-1288695.4600000083</v>
      </c>
      <c r="M153" s="859">
        <f t="shared" si="44"/>
        <v>62274671.169975109</v>
      </c>
    </row>
    <row r="154" spans="1:13" ht="13">
      <c r="A154" s="2">
        <f t="shared" si="45"/>
        <v>84</v>
      </c>
      <c r="B154" s="408" t="s">
        <v>2935</v>
      </c>
      <c r="C154" s="859">
        <f t="shared" si="46"/>
        <v>0</v>
      </c>
      <c r="D154" s="859">
        <f t="shared" si="43"/>
        <v>37086.420000016689</v>
      </c>
      <c r="E154" s="859">
        <f t="shared" si="43"/>
        <v>1843898.7167438269</v>
      </c>
      <c r="F154" s="859">
        <f t="shared" si="43"/>
        <v>30831443.454303026</v>
      </c>
      <c r="G154" s="859">
        <f t="shared" si="43"/>
        <v>-10787173.139999628</v>
      </c>
      <c r="H154" s="859">
        <f t="shared" si="43"/>
        <v>27271602.599999964</v>
      </c>
      <c r="I154" s="859">
        <f t="shared" si="43"/>
        <v>15505724.300000072</v>
      </c>
      <c r="J154" s="859">
        <f t="shared" si="43"/>
        <v>391374.56000000238</v>
      </c>
      <c r="K154" s="859">
        <f t="shared" si="43"/>
        <v>465856.54000002146</v>
      </c>
      <c r="L154" s="859">
        <f t="shared" si="43"/>
        <v>373194.03000000119</v>
      </c>
      <c r="M154" s="859">
        <f t="shared" si="44"/>
        <v>65933007.481047302</v>
      </c>
    </row>
    <row r="155" spans="1:13" ht="13">
      <c r="A155" s="2">
        <f t="shared" si="45"/>
        <v>85</v>
      </c>
      <c r="B155" s="532" t="s">
        <v>2936</v>
      </c>
      <c r="C155" s="859">
        <f t="shared" si="46"/>
        <v>-1736.8100000061095</v>
      </c>
      <c r="D155" s="859">
        <f t="shared" si="43"/>
        <v>50061.59999999404</v>
      </c>
      <c r="E155" s="859">
        <f t="shared" si="43"/>
        <v>6191764.0040360689</v>
      </c>
      <c r="F155" s="859">
        <f t="shared" si="43"/>
        <v>16596776.310585976</v>
      </c>
      <c r="G155" s="859">
        <f t="shared" si="43"/>
        <v>1905083.5799996853</v>
      </c>
      <c r="H155" s="859">
        <f t="shared" si="43"/>
        <v>11110616.159999788</v>
      </c>
      <c r="I155" s="859">
        <f t="shared" si="43"/>
        <v>12580515.50999999</v>
      </c>
      <c r="J155" s="859">
        <f t="shared" si="43"/>
        <v>63911.230000019073</v>
      </c>
      <c r="K155" s="859">
        <f t="shared" si="43"/>
        <v>-1445529.3600000143</v>
      </c>
      <c r="L155" s="859">
        <f t="shared" si="43"/>
        <v>60169.810000061989</v>
      </c>
      <c r="M155" s="859">
        <f t="shared" si="44"/>
        <v>47111632.034621567</v>
      </c>
    </row>
    <row r="156" spans="1:13" ht="13">
      <c r="A156" s="2">
        <f t="shared" si="45"/>
        <v>86</v>
      </c>
      <c r="B156" s="408" t="s">
        <v>2937</v>
      </c>
      <c r="C156" s="859">
        <f t="shared" si="46"/>
        <v>-8397.2699999921024</v>
      </c>
      <c r="D156" s="859">
        <f t="shared" si="43"/>
        <v>0</v>
      </c>
      <c r="E156" s="859">
        <f t="shared" si="43"/>
        <v>1788521.3408741355</v>
      </c>
      <c r="F156" s="859">
        <f t="shared" si="43"/>
        <v>16876026.066459417</v>
      </c>
      <c r="G156" s="859">
        <f t="shared" si="43"/>
        <v>1329368.4600000381</v>
      </c>
      <c r="H156" s="859">
        <f t="shared" si="43"/>
        <v>8404713.1500000656</v>
      </c>
      <c r="I156" s="859">
        <f t="shared" si="43"/>
        <v>1350839.3800001144</v>
      </c>
      <c r="J156" s="859">
        <f t="shared" si="43"/>
        <v>2352820.5899999738</v>
      </c>
      <c r="K156" s="859">
        <f t="shared" si="43"/>
        <v>-1754062.6800000072</v>
      </c>
      <c r="L156" s="859">
        <f t="shared" si="43"/>
        <v>-16015.430000036955</v>
      </c>
      <c r="M156" s="859">
        <f t="shared" si="44"/>
        <v>30323813.607333709</v>
      </c>
    </row>
    <row r="157" spans="1:13" ht="13">
      <c r="A157" s="2">
        <f t="shared" si="45"/>
        <v>87</v>
      </c>
      <c r="B157" s="532" t="s">
        <v>2938</v>
      </c>
      <c r="C157" s="859">
        <f t="shared" si="46"/>
        <v>-1.1175870895385742E-8</v>
      </c>
      <c r="D157" s="859">
        <f t="shared" si="43"/>
        <v>13288950.680000022</v>
      </c>
      <c r="E157" s="859">
        <f t="shared" si="43"/>
        <v>-67678.321100056171</v>
      </c>
      <c r="F157" s="859">
        <f t="shared" si="43"/>
        <v>2402969.8532800674</v>
      </c>
      <c r="G157" s="859">
        <f t="shared" si="43"/>
        <v>-948416.96000003815</v>
      </c>
      <c r="H157" s="859">
        <f t="shared" si="43"/>
        <v>-2491058.5999999046</v>
      </c>
      <c r="I157" s="859">
        <f t="shared" si="43"/>
        <v>4858152.659999609</v>
      </c>
      <c r="J157" s="859">
        <f t="shared" si="43"/>
        <v>10346.689999997616</v>
      </c>
      <c r="K157" s="859">
        <f t="shared" si="43"/>
        <v>-239591.14999997616</v>
      </c>
      <c r="L157" s="859">
        <f t="shared" si="43"/>
        <v>-34852.380000054836</v>
      </c>
      <c r="M157" s="859">
        <f t="shared" si="44"/>
        <v>16778822.472179655</v>
      </c>
    </row>
    <row r="158" spans="1:13" ht="13">
      <c r="A158" s="2">
        <f t="shared" si="45"/>
        <v>88</v>
      </c>
      <c r="B158" s="408" t="s">
        <v>2939</v>
      </c>
      <c r="C158" s="859">
        <f t="shared" si="46"/>
        <v>0</v>
      </c>
      <c r="D158" s="859">
        <f t="shared" si="43"/>
        <v>1506.0900000035763</v>
      </c>
      <c r="E158" s="859">
        <f t="shared" si="43"/>
        <v>3545475.2288898826</v>
      </c>
      <c r="F158" s="859">
        <f t="shared" si="43"/>
        <v>4506787.0294532776</v>
      </c>
      <c r="G158" s="859">
        <f t="shared" si="43"/>
        <v>515702.53999996185</v>
      </c>
      <c r="H158" s="859">
        <f t="shared" si="43"/>
        <v>14014021.169999957</v>
      </c>
      <c r="I158" s="859">
        <f t="shared" si="43"/>
        <v>955925.74000024796</v>
      </c>
      <c r="J158" s="859">
        <f t="shared" si="43"/>
        <v>1828977</v>
      </c>
      <c r="K158" s="859">
        <f t="shared" si="43"/>
        <v>1214663.969999969</v>
      </c>
      <c r="L158" s="859">
        <f t="shared" si="43"/>
        <v>34700.870000004768</v>
      </c>
      <c r="M158" s="859">
        <f t="shared" si="44"/>
        <v>26617759.638343304</v>
      </c>
    </row>
    <row r="159" spans="1:13" ht="13">
      <c r="A159" s="2">
        <f t="shared" si="45"/>
        <v>89</v>
      </c>
      <c r="B159" s="532" t="s">
        <v>2940</v>
      </c>
      <c r="C159" s="859">
        <f t="shared" si="46"/>
        <v>0</v>
      </c>
      <c r="D159" s="859">
        <f t="shared" si="43"/>
        <v>541766.04999998212</v>
      </c>
      <c r="E159" s="859">
        <f t="shared" si="43"/>
        <v>12026783.279990017</v>
      </c>
      <c r="F159" s="859">
        <f t="shared" si="43"/>
        <v>7307549.3464140892</v>
      </c>
      <c r="G159" s="859">
        <f t="shared" si="43"/>
        <v>865167.84000015259</v>
      </c>
      <c r="H159" s="859">
        <f t="shared" si="43"/>
        <v>15164654.740000069</v>
      </c>
      <c r="I159" s="859">
        <f t="shared" si="43"/>
        <v>438227.23000001907</v>
      </c>
      <c r="J159" s="859">
        <f t="shared" si="43"/>
        <v>-386871.64999997616</v>
      </c>
      <c r="K159" s="859">
        <f t="shared" si="43"/>
        <v>386931.09000003338</v>
      </c>
      <c r="L159" s="859">
        <f t="shared" si="43"/>
        <v>30.720000028610229</v>
      </c>
      <c r="M159" s="859">
        <f t="shared" si="44"/>
        <v>36344238.646404415</v>
      </c>
    </row>
    <row r="160" spans="1:13" ht="13">
      <c r="A160" s="2">
        <f t="shared" si="45"/>
        <v>90</v>
      </c>
      <c r="B160" s="408" t="s">
        <v>2941</v>
      </c>
      <c r="C160" s="859">
        <f t="shared" si="46"/>
        <v>-219.38999998942018</v>
      </c>
      <c r="D160" s="859">
        <f t="shared" si="43"/>
        <v>-67571.099999979138</v>
      </c>
      <c r="E160" s="859">
        <f t="shared" si="43"/>
        <v>19211759.18388027</v>
      </c>
      <c r="F160" s="859">
        <f t="shared" si="43"/>
        <v>18693677.772916794</v>
      </c>
      <c r="G160" s="859">
        <f t="shared" si="43"/>
        <v>2773954.5699996948</v>
      </c>
      <c r="H160" s="859">
        <f t="shared" si="43"/>
        <v>13128070.780000031</v>
      </c>
      <c r="I160" s="859">
        <f t="shared" si="43"/>
        <v>683248.84000015259</v>
      </c>
      <c r="J160" s="859">
        <f t="shared" si="43"/>
        <v>881.38999998569489</v>
      </c>
      <c r="K160" s="859">
        <f t="shared" si="43"/>
        <v>-83465.949999988079</v>
      </c>
      <c r="L160" s="859">
        <f t="shared" si="43"/>
        <v>-83.120000004768372</v>
      </c>
      <c r="M160" s="859">
        <f t="shared" si="44"/>
        <v>54340252.97679697</v>
      </c>
    </row>
    <row r="161" spans="1:13" ht="13">
      <c r="A161" s="2">
        <f t="shared" si="45"/>
        <v>91</v>
      </c>
      <c r="B161" s="532" t="s">
        <v>2942</v>
      </c>
      <c r="C161" s="860">
        <f t="shared" si="46"/>
        <v>5928840.7971999906</v>
      </c>
      <c r="D161" s="860">
        <f t="shared" si="43"/>
        <v>206499.44999998808</v>
      </c>
      <c r="E161" s="860">
        <f t="shared" si="43"/>
        <v>-2371282.1707021594</v>
      </c>
      <c r="F161" s="860">
        <f t="shared" si="43"/>
        <v>49245095.783791542</v>
      </c>
      <c r="G161" s="860">
        <f t="shared" si="43"/>
        <v>3523380.5499999523</v>
      </c>
      <c r="H161" s="860">
        <f t="shared" si="43"/>
        <v>8881706.2199998498</v>
      </c>
      <c r="I161" s="860">
        <f t="shared" si="43"/>
        <v>3165466.6699998379</v>
      </c>
      <c r="J161" s="860">
        <f t="shared" si="43"/>
        <v>-18446.009999990463</v>
      </c>
      <c r="K161" s="860">
        <f t="shared" si="43"/>
        <v>406398.77999997139</v>
      </c>
      <c r="L161" s="860">
        <f t="shared" si="43"/>
        <v>40287.180000036955</v>
      </c>
      <c r="M161" s="860">
        <f t="shared" si="44"/>
        <v>69007947.250289023</v>
      </c>
    </row>
    <row r="162" spans="1:13" ht="13">
      <c r="A162" s="2">
        <f t="shared" si="45"/>
        <v>92</v>
      </c>
      <c r="B162" s="593" t="s">
        <v>409</v>
      </c>
      <c r="C162" s="859">
        <f t="shared" ref="C162:M162" si="47">SUM(C150:C161)</f>
        <v>6025280.8771999851</v>
      </c>
      <c r="D162" s="859">
        <f t="shared" si="47"/>
        <v>14697446.980000004</v>
      </c>
      <c r="E162" s="859">
        <f t="shared" si="47"/>
        <v>52164426.227119982</v>
      </c>
      <c r="F162" s="859">
        <f t="shared" si="47"/>
        <v>234232175.76324511</v>
      </c>
      <c r="G162" s="859">
        <f t="shared" si="47"/>
        <v>15990113.099999905</v>
      </c>
      <c r="H162" s="859">
        <f t="shared" si="47"/>
        <v>165112020.23999983</v>
      </c>
      <c r="I162" s="859">
        <f t="shared" si="47"/>
        <v>81532918.600000143</v>
      </c>
      <c r="J162" s="859">
        <f t="shared" si="47"/>
        <v>4014338.7599999607</v>
      </c>
      <c r="K162" s="859">
        <f t="shared" si="47"/>
        <v>-2513144.5599999949</v>
      </c>
      <c r="L162" s="859">
        <f t="shared" si="47"/>
        <v>-815751.72999998927</v>
      </c>
      <c r="M162" s="859">
        <f t="shared" si="47"/>
        <v>570439824.25756502</v>
      </c>
    </row>
    <row r="163" spans="1:13" ht="13">
      <c r="A163" s="2"/>
      <c r="B163" s="593"/>
      <c r="C163" s="604"/>
      <c r="D163" s="604"/>
      <c r="E163" s="604"/>
      <c r="F163" s="604"/>
      <c r="G163" s="604"/>
      <c r="H163" s="604"/>
      <c r="I163" s="604"/>
      <c r="J163" s="604"/>
      <c r="K163" s="604"/>
      <c r="L163" s="604"/>
      <c r="M163" s="604"/>
    </row>
    <row r="164" spans="1:13" s="251" customFormat="1" ht="13">
      <c r="B164" s="1" t="s">
        <v>678</v>
      </c>
      <c r="M164" s="604"/>
    </row>
    <row r="165" spans="1:13" s="251" customFormat="1">
      <c r="M165" s="604"/>
    </row>
    <row r="166" spans="1:13" s="251" customFormat="1" ht="13">
      <c r="B166" s="3" t="s">
        <v>643</v>
      </c>
      <c r="C166" s="48">
        <v>350.1</v>
      </c>
      <c r="D166" s="48">
        <v>350.2</v>
      </c>
      <c r="E166" s="48">
        <v>352</v>
      </c>
      <c r="F166" s="48">
        <v>353</v>
      </c>
      <c r="G166" s="48">
        <v>354</v>
      </c>
      <c r="H166" s="48">
        <v>355</v>
      </c>
      <c r="I166" s="48">
        <v>356</v>
      </c>
      <c r="J166" s="48">
        <v>357</v>
      </c>
      <c r="K166" s="48">
        <v>358</v>
      </c>
      <c r="L166" s="48">
        <v>359</v>
      </c>
      <c r="M166" s="604"/>
    </row>
    <row r="167" spans="1:13" s="251" customFormat="1" ht="13">
      <c r="A167" s="2">
        <f>A162+1</f>
        <v>93</v>
      </c>
      <c r="B167" s="408" t="s">
        <v>2931</v>
      </c>
      <c r="C167" s="607">
        <f>C150/C$162</f>
        <v>1.8215818023572611E-2</v>
      </c>
      <c r="D167" s="607">
        <f t="shared" ref="D167:L167" si="48">D150/D$162</f>
        <v>8.8588855042169486E-5</v>
      </c>
      <c r="E167" s="607">
        <f t="shared" si="48"/>
        <v>4.7662998706950337E-2</v>
      </c>
      <c r="F167" s="607">
        <f t="shared" si="48"/>
        <v>1.8037867261743029E-2</v>
      </c>
      <c r="G167" s="607">
        <f>G150/G$162</f>
        <v>0.19224396292732016</v>
      </c>
      <c r="H167" s="607">
        <f t="shared" si="48"/>
        <v>2.7678916612836599E-2</v>
      </c>
      <c r="I167" s="607">
        <f t="shared" si="48"/>
        <v>0.75966799046980515</v>
      </c>
      <c r="J167" s="607">
        <f t="shared" si="48"/>
        <v>-1.2314889937202455E-2</v>
      </c>
      <c r="K167" s="607">
        <f t="shared" si="48"/>
        <v>5.2668601761609445E-2</v>
      </c>
      <c r="L167" s="607">
        <f t="shared" si="48"/>
        <v>-0.40204320498345975</v>
      </c>
      <c r="M167" s="604"/>
    </row>
    <row r="168" spans="1:13" s="251" customFormat="1" ht="13">
      <c r="A168" s="2">
        <f t="shared" ref="A168:A178" si="49">A167+1</f>
        <v>94</v>
      </c>
      <c r="B168" s="532" t="s">
        <v>2932</v>
      </c>
      <c r="C168" s="607">
        <f>C151/C$162</f>
        <v>6.18276620523805E-16</v>
      </c>
      <c r="D168" s="607">
        <f t="shared" ref="C168:L178" si="50">D151/D$162</f>
        <v>2.5105017932848278E-2</v>
      </c>
      <c r="E168" s="607">
        <f t="shared" si="50"/>
        <v>7.6405850943718628E-2</v>
      </c>
      <c r="F168" s="607">
        <f t="shared" si="50"/>
        <v>0.11212355909343553</v>
      </c>
      <c r="G168" s="607">
        <f t="shared" si="50"/>
        <v>0.25428140592703624</v>
      </c>
      <c r="H168" s="607">
        <f t="shared" si="50"/>
        <v>8.6180768119223664E-2</v>
      </c>
      <c r="I168" s="607">
        <f t="shared" si="50"/>
        <v>-2.0218400105205533E-2</v>
      </c>
      <c r="J168" s="607">
        <f t="shared" si="50"/>
        <v>-4.2377260657495884E-2</v>
      </c>
      <c r="K168" s="607">
        <f t="shared" si="50"/>
        <v>0.34733271372180918</v>
      </c>
      <c r="L168" s="607">
        <f t="shared" si="50"/>
        <v>0.36795850865069624</v>
      </c>
      <c r="M168" s="604"/>
    </row>
    <row r="169" spans="1:13" s="251" customFormat="1" ht="13">
      <c r="A169" s="2">
        <f t="shared" si="49"/>
        <v>95</v>
      </c>
      <c r="B169" s="408" t="s">
        <v>2933</v>
      </c>
      <c r="C169" s="607">
        <f t="shared" si="50"/>
        <v>-4.9157376400579215E-4</v>
      </c>
      <c r="D169" s="607">
        <f t="shared" si="50"/>
        <v>1.6574062170899614E-2</v>
      </c>
      <c r="E169" s="607">
        <f t="shared" si="50"/>
        <v>4.6559324420312104E-2</v>
      </c>
      <c r="F169" s="607">
        <f t="shared" si="50"/>
        <v>9.2628440929006364E-2</v>
      </c>
      <c r="G169" s="607">
        <f t="shared" si="50"/>
        <v>0.23404666099581389</v>
      </c>
      <c r="H169" s="607">
        <f t="shared" si="50"/>
        <v>6.5902203935143081E-2</v>
      </c>
      <c r="I169" s="607">
        <f t="shared" si="50"/>
        <v>4.3257395424556441E-3</v>
      </c>
      <c r="J169" s="607">
        <f t="shared" si="50"/>
        <v>1.8138180246654778E-3</v>
      </c>
      <c r="K169" s="607">
        <f t="shared" si="50"/>
        <v>4.0464827061113727E-2</v>
      </c>
      <c r="L169" s="607">
        <f t="shared" si="50"/>
        <v>1.5069045578357769E-2</v>
      </c>
      <c r="M169" s="604"/>
    </row>
    <row r="170" spans="1:13" s="251" customFormat="1" ht="13">
      <c r="A170" s="2">
        <f t="shared" si="49"/>
        <v>96</v>
      </c>
      <c r="B170" s="532" t="s">
        <v>2934</v>
      </c>
      <c r="C170" s="607">
        <f t="shared" si="50"/>
        <v>0</v>
      </c>
      <c r="D170" s="607">
        <f t="shared" si="50"/>
        <v>1.7193251341103193E-3</v>
      </c>
      <c r="E170" s="607">
        <f t="shared" si="50"/>
        <v>2.0981044843643132E-2</v>
      </c>
      <c r="F170" s="607">
        <f t="shared" si="50"/>
        <v>0.15193170911767578</v>
      </c>
      <c r="G170" s="607">
        <f t="shared" si="50"/>
        <v>0.37089305703531184</v>
      </c>
      <c r="H170" s="607">
        <f t="shared" si="50"/>
        <v>0.24193783930409848</v>
      </c>
      <c r="I170" s="607">
        <f t="shared" si="50"/>
        <v>-0.22870952592147306</v>
      </c>
      <c r="J170" s="607">
        <f t="shared" si="50"/>
        <v>-4.0812450018543429E-3</v>
      </c>
      <c r="K170" s="607">
        <f t="shared" si="50"/>
        <v>0.14220857633435596</v>
      </c>
      <c r="L170" s="607">
        <f t="shared" si="50"/>
        <v>1.5797642991207941</v>
      </c>
      <c r="M170" s="604"/>
    </row>
    <row r="171" spans="1:13" s="251" customFormat="1" ht="13">
      <c r="A171" s="2">
        <f t="shared" si="49"/>
        <v>97</v>
      </c>
      <c r="B171" s="408" t="s">
        <v>2935</v>
      </c>
      <c r="C171" s="607">
        <f t="shared" si="50"/>
        <v>0</v>
      </c>
      <c r="D171" s="607">
        <f t="shared" si="50"/>
        <v>2.5233239521451011E-3</v>
      </c>
      <c r="E171" s="607">
        <f t="shared" si="50"/>
        <v>3.5347819387787971E-2</v>
      </c>
      <c r="F171" s="607">
        <f t="shared" si="50"/>
        <v>0.13162770381071184</v>
      </c>
      <c r="G171" s="607">
        <f t="shared" si="50"/>
        <v>-0.67461518705578716</v>
      </c>
      <c r="H171" s="607">
        <f t="shared" si="50"/>
        <v>0.16517030413872424</v>
      </c>
      <c r="I171" s="607">
        <f t="shared" si="50"/>
        <v>0.19017747145874947</v>
      </c>
      <c r="J171" s="607">
        <f t="shared" si="50"/>
        <v>9.7494153682238377E-2</v>
      </c>
      <c r="K171" s="607">
        <f t="shared" si="50"/>
        <v>-0.18536798376613178</v>
      </c>
      <c r="L171" s="607">
        <f t="shared" si="50"/>
        <v>-0.45748481587652423</v>
      </c>
      <c r="M171" s="604"/>
    </row>
    <row r="172" spans="1:13" s="251" customFormat="1" ht="13">
      <c r="A172" s="2">
        <f t="shared" si="49"/>
        <v>98</v>
      </c>
      <c r="B172" s="532" t="s">
        <v>2936</v>
      </c>
      <c r="C172" s="607">
        <f t="shared" si="50"/>
        <v>-2.882537819238104E-4</v>
      </c>
      <c r="D172" s="607">
        <f t="shared" si="50"/>
        <v>3.4061425816413475E-3</v>
      </c>
      <c r="E172" s="607">
        <f t="shared" si="50"/>
        <v>0.11869705950713605</v>
      </c>
      <c r="F172" s="607">
        <f t="shared" si="50"/>
        <v>7.0856090784732761E-2</v>
      </c>
      <c r="G172" s="607">
        <f t="shared" si="50"/>
        <v>0.11914134491016806</v>
      </c>
      <c r="H172" s="607">
        <f t="shared" si="50"/>
        <v>6.7291382806956554E-2</v>
      </c>
      <c r="I172" s="607">
        <f t="shared" si="50"/>
        <v>0.15429983037550637</v>
      </c>
      <c r="J172" s="607">
        <f t="shared" si="50"/>
        <v>1.5920736594741122E-2</v>
      </c>
      <c r="K172" s="607">
        <f t="shared" si="50"/>
        <v>0.57518750930906148</v>
      </c>
      <c r="L172" s="607">
        <f t="shared" si="50"/>
        <v>-7.3759953901737701E-2</v>
      </c>
      <c r="M172" s="604"/>
    </row>
    <row r="173" spans="1:13" s="251" customFormat="1" ht="13">
      <c r="A173" s="2">
        <f t="shared" si="49"/>
        <v>99</v>
      </c>
      <c r="B173" s="408" t="s">
        <v>2937</v>
      </c>
      <c r="C173" s="607">
        <f t="shared" si="50"/>
        <v>-1.3936727882293194E-3</v>
      </c>
      <c r="D173" s="607">
        <f t="shared" si="50"/>
        <v>0</v>
      </c>
      <c r="E173" s="607">
        <f t="shared" si="50"/>
        <v>3.4286226653525306E-2</v>
      </c>
      <c r="F173" s="607">
        <f t="shared" si="50"/>
        <v>7.2048282911896785E-2</v>
      </c>
      <c r="G173" s="607">
        <f t="shared" si="50"/>
        <v>8.3136901639554131E-2</v>
      </c>
      <c r="H173" s="607">
        <f t="shared" si="50"/>
        <v>5.0903096805328472E-2</v>
      </c>
      <c r="I173" s="607">
        <f t="shared" si="50"/>
        <v>1.6568024341521759E-2</v>
      </c>
      <c r="J173" s="607">
        <f t="shared" si="50"/>
        <v>0.58610414582948567</v>
      </c>
      <c r="K173" s="607">
        <f t="shared" si="50"/>
        <v>0.69795534563280781</v>
      </c>
      <c r="L173" s="607">
        <f t="shared" si="50"/>
        <v>1.9632725755956613E-2</v>
      </c>
      <c r="M173" s="604"/>
    </row>
    <row r="174" spans="1:13" s="251" customFormat="1" ht="13">
      <c r="A174" s="2">
        <f t="shared" si="49"/>
        <v>100</v>
      </c>
      <c r="B174" s="532" t="s">
        <v>2938</v>
      </c>
      <c r="C174" s="607">
        <f t="shared" si="50"/>
        <v>-1.8548298615714151E-15</v>
      </c>
      <c r="D174" s="607">
        <f t="shared" si="50"/>
        <v>0.90416728143897129</v>
      </c>
      <c r="E174" s="607">
        <f t="shared" si="50"/>
        <v>-1.2974037288436733E-3</v>
      </c>
      <c r="F174" s="607">
        <f t="shared" si="50"/>
        <v>1.0258922991472007E-2</v>
      </c>
      <c r="G174" s="607">
        <f t="shared" si="50"/>
        <v>-5.9312711177761698E-2</v>
      </c>
      <c r="H174" s="607">
        <f t="shared" si="50"/>
        <v>-1.5087082069367255E-2</v>
      </c>
      <c r="I174" s="607">
        <f t="shared" si="50"/>
        <v>5.9585168094296585E-2</v>
      </c>
      <c r="J174" s="607">
        <f t="shared" si="50"/>
        <v>2.5774332009782146E-3</v>
      </c>
      <c r="K174" s="607">
        <f t="shared" si="50"/>
        <v>9.533520427490913E-2</v>
      </c>
      <c r="L174" s="607">
        <f t="shared" si="50"/>
        <v>4.2724248957529389E-2</v>
      </c>
      <c r="M174" s="604"/>
    </row>
    <row r="175" spans="1:13" s="251" customFormat="1" ht="13">
      <c r="A175" s="2">
        <f t="shared" si="49"/>
        <v>101</v>
      </c>
      <c r="B175" s="408" t="s">
        <v>2939</v>
      </c>
      <c r="C175" s="607">
        <f t="shared" si="50"/>
        <v>0</v>
      </c>
      <c r="D175" s="607">
        <f t="shared" si="50"/>
        <v>1.024728990043668E-4</v>
      </c>
      <c r="E175" s="607">
        <f t="shared" si="50"/>
        <v>6.7967300425258212E-2</v>
      </c>
      <c r="F175" s="607">
        <f t="shared" si="50"/>
        <v>1.92406829453209E-2</v>
      </c>
      <c r="G175" s="607">
        <f t="shared" si="50"/>
        <v>3.2251337859515512E-2</v>
      </c>
      <c r="H175" s="607">
        <f t="shared" si="50"/>
        <v>8.487583853452807E-2</v>
      </c>
      <c r="I175" s="607">
        <f t="shared" si="50"/>
        <v>1.1724414585107791E-2</v>
      </c>
      <c r="J175" s="607">
        <f t="shared" si="50"/>
        <v>0.45561102571224404</v>
      </c>
      <c r="K175" s="607">
        <f t="shared" si="50"/>
        <v>-0.48332435361377357</v>
      </c>
      <c r="L175" s="607">
        <f t="shared" si="50"/>
        <v>-4.2538518428891628E-2</v>
      </c>
      <c r="M175" s="604"/>
    </row>
    <row r="176" spans="1:13" s="251" customFormat="1" ht="13">
      <c r="A176" s="2">
        <f t="shared" si="49"/>
        <v>102</v>
      </c>
      <c r="B176" s="532" t="s">
        <v>2940</v>
      </c>
      <c r="C176" s="607">
        <f t="shared" si="50"/>
        <v>0</v>
      </c>
      <c r="D176" s="607">
        <f t="shared" si="50"/>
        <v>3.6861235202086909E-2</v>
      </c>
      <c r="E176" s="607">
        <f t="shared" si="50"/>
        <v>0.2305552682133665</v>
      </c>
      <c r="F176" s="607">
        <f t="shared" si="50"/>
        <v>3.1197888687164575E-2</v>
      </c>
      <c r="G176" s="607">
        <f t="shared" si="50"/>
        <v>5.4106424050256265E-2</v>
      </c>
      <c r="H176" s="607">
        <f t="shared" si="50"/>
        <v>9.1844644126801739E-2</v>
      </c>
      <c r="I176" s="607">
        <f t="shared" si="50"/>
        <v>5.3748502755060004E-3</v>
      </c>
      <c r="J176" s="607">
        <f t="shared" si="50"/>
        <v>-9.6372447152412208E-2</v>
      </c>
      <c r="K176" s="607">
        <f t="shared" si="50"/>
        <v>-0.15396292603241024</v>
      </c>
      <c r="L176" s="607">
        <f t="shared" si="50"/>
        <v>-3.7658516554553469E-5</v>
      </c>
      <c r="M176" s="604"/>
    </row>
    <row r="177" spans="1:13" s="251" customFormat="1" ht="13">
      <c r="A177" s="2">
        <f t="shared" si="49"/>
        <v>103</v>
      </c>
      <c r="B177" s="408" t="s">
        <v>2941</v>
      </c>
      <c r="C177" s="607">
        <f t="shared" si="50"/>
        <v>-3.6411580548818024E-5</v>
      </c>
      <c r="D177" s="607">
        <f t="shared" si="50"/>
        <v>-4.5974719345426834E-3</v>
      </c>
      <c r="E177" s="607">
        <f t="shared" si="50"/>
        <v>0.36829235119415898</v>
      </c>
      <c r="F177" s="607">
        <f t="shared" si="50"/>
        <v>7.9808325700785901E-2</v>
      </c>
      <c r="G177" s="607">
        <f t="shared" si="50"/>
        <v>0.17347935894210226</v>
      </c>
      <c r="H177" s="607">
        <f t="shared" si="50"/>
        <v>7.9510085098090516E-2</v>
      </c>
      <c r="I177" s="607">
        <f t="shared" si="50"/>
        <v>8.3800365758052407E-3</v>
      </c>
      <c r="J177" s="607">
        <f t="shared" si="50"/>
        <v>2.1956044386889351E-4</v>
      </c>
      <c r="K177" s="607">
        <f t="shared" si="50"/>
        <v>3.3211758419495079E-2</v>
      </c>
      <c r="L177" s="607">
        <f t="shared" si="50"/>
        <v>1.0189374652600426E-4</v>
      </c>
      <c r="M177" s="604"/>
    </row>
    <row r="178" spans="1:13" s="251" customFormat="1" ht="13">
      <c r="A178" s="2">
        <f t="shared" si="49"/>
        <v>104</v>
      </c>
      <c r="B178" s="532" t="s">
        <v>2942</v>
      </c>
      <c r="C178" s="607">
        <f t="shared" si="50"/>
        <v>0.98399409389113635</v>
      </c>
      <c r="D178" s="607">
        <f t="shared" si="50"/>
        <v>1.4050021767793307E-2</v>
      </c>
      <c r="E178" s="607">
        <f t="shared" si="50"/>
        <v>-4.5457840567013533E-2</v>
      </c>
      <c r="F178" s="607">
        <f t="shared" si="50"/>
        <v>0.21024052576605451</v>
      </c>
      <c r="G178" s="607">
        <f t="shared" si="50"/>
        <v>0.22034744394647049</v>
      </c>
      <c r="H178" s="607">
        <f t="shared" si="50"/>
        <v>5.3792002587635827E-2</v>
      </c>
      <c r="I178" s="607">
        <f t="shared" si="50"/>
        <v>3.8824400307924611E-2</v>
      </c>
      <c r="J178" s="607">
        <f t="shared" si="50"/>
        <v>-4.5950307392569542E-3</v>
      </c>
      <c r="K178" s="607">
        <f t="shared" si="50"/>
        <v>-0.16170927310284619</v>
      </c>
      <c r="L178" s="607">
        <f t="shared" si="50"/>
        <v>-4.9386570102692255E-2</v>
      </c>
      <c r="M178" s="604"/>
    </row>
    <row r="180" spans="1:13" ht="13">
      <c r="B180" s="1" t="s">
        <v>679</v>
      </c>
    </row>
    <row r="181" spans="1:13">
      <c r="B181" s="250" t="s">
        <v>680</v>
      </c>
    </row>
    <row r="182" spans="1:13" ht="13">
      <c r="B182" s="12"/>
      <c r="C182" s="48">
        <v>350.1</v>
      </c>
      <c r="D182" s="48">
        <v>350.2</v>
      </c>
      <c r="E182" s="48">
        <v>352</v>
      </c>
      <c r="F182" s="48">
        <v>353</v>
      </c>
      <c r="G182" s="48">
        <v>354</v>
      </c>
      <c r="H182" s="48">
        <v>355</v>
      </c>
      <c r="I182" s="48">
        <v>356</v>
      </c>
      <c r="J182" s="48">
        <v>357</v>
      </c>
      <c r="K182" s="48">
        <v>358</v>
      </c>
      <c r="L182" s="48">
        <v>359</v>
      </c>
      <c r="M182" s="3" t="s">
        <v>249</v>
      </c>
    </row>
    <row r="183" spans="1:13" ht="13">
      <c r="A183" s="2">
        <f>A178+1</f>
        <v>105</v>
      </c>
      <c r="B183" s="12"/>
      <c r="C183" s="6">
        <f t="shared" ref="C183:L183" si="51">C24-C12</f>
        <v>7123715.6278310418</v>
      </c>
      <c r="D183" s="6">
        <f t="shared" si="51"/>
        <v>18861391.939641774</v>
      </c>
      <c r="E183" s="6">
        <f t="shared" si="51"/>
        <v>39638333.397598863</v>
      </c>
      <c r="F183" s="6">
        <f t="shared" si="51"/>
        <v>164078806.08175755</v>
      </c>
      <c r="G183" s="6">
        <f t="shared" si="51"/>
        <v>148851951.19267178</v>
      </c>
      <c r="H183" s="6">
        <f t="shared" si="51"/>
        <v>110782638.33576715</v>
      </c>
      <c r="I183" s="6">
        <f t="shared" si="51"/>
        <v>169343066.9128077</v>
      </c>
      <c r="J183" s="6">
        <f t="shared" si="51"/>
        <v>-104180.36705651879</v>
      </c>
      <c r="K183" s="6">
        <f t="shared" si="51"/>
        <v>-508709.99575080723</v>
      </c>
      <c r="L183" s="6">
        <f t="shared" si="51"/>
        <v>31084663.396302253</v>
      </c>
      <c r="M183" s="6">
        <f>M24-M12</f>
        <v>689151676.52157211</v>
      </c>
    </row>
    <row r="184" spans="1:13">
      <c r="B184" s="12"/>
      <c r="C184" s="6"/>
      <c r="D184" s="6"/>
      <c r="E184" s="6"/>
      <c r="F184" s="6"/>
      <c r="G184" s="6"/>
      <c r="H184" s="6"/>
      <c r="I184" s="6"/>
      <c r="J184" s="6"/>
      <c r="K184" s="6"/>
      <c r="L184" s="6"/>
      <c r="M184" s="6"/>
    </row>
    <row r="185" spans="1:13">
      <c r="B185" s="250" t="s">
        <v>681</v>
      </c>
      <c r="C185" s="6"/>
      <c r="D185" s="6"/>
      <c r="E185" s="6"/>
      <c r="F185" s="6"/>
      <c r="G185" s="6"/>
      <c r="H185" s="6"/>
      <c r="I185" s="6"/>
      <c r="J185" s="6"/>
      <c r="K185" s="6"/>
      <c r="L185" s="6"/>
      <c r="M185" s="6"/>
    </row>
    <row r="186" spans="1:13" ht="13">
      <c r="B186" s="12"/>
      <c r="C186" s="48">
        <v>350.1</v>
      </c>
      <c r="D186" s="48">
        <v>350.2</v>
      </c>
      <c r="E186" s="48">
        <v>352</v>
      </c>
      <c r="F186" s="48">
        <v>353</v>
      </c>
      <c r="G186" s="48">
        <v>354</v>
      </c>
      <c r="H186" s="48">
        <v>355</v>
      </c>
      <c r="I186" s="48">
        <v>356</v>
      </c>
      <c r="J186" s="48">
        <v>357</v>
      </c>
      <c r="K186" s="48">
        <v>358</v>
      </c>
      <c r="L186" s="48">
        <v>359</v>
      </c>
      <c r="M186" s="3" t="s">
        <v>249</v>
      </c>
    </row>
    <row r="187" spans="1:13" ht="13">
      <c r="A187" s="2">
        <f>A183+1</f>
        <v>106</v>
      </c>
      <c r="B187" s="12"/>
      <c r="C187" s="6">
        <f>C143</f>
        <v>3603877.1828000024</v>
      </c>
      <c r="D187" s="6">
        <f t="shared" ref="D187:M187" si="52">D143</f>
        <v>10101403.909999982</v>
      </c>
      <c r="E187" s="6">
        <f t="shared" si="52"/>
        <v>713063.55287998915</v>
      </c>
      <c r="F187" s="6">
        <f t="shared" si="52"/>
        <v>40648447.236753941</v>
      </c>
      <c r="G187" s="6">
        <f t="shared" si="52"/>
        <v>115762336.25</v>
      </c>
      <c r="H187" s="6">
        <f t="shared" si="52"/>
        <v>31361333.860000074</v>
      </c>
      <c r="I187" s="6">
        <f t="shared" si="52"/>
        <v>92948505.909999847</v>
      </c>
      <c r="J187" s="6">
        <f t="shared" si="52"/>
        <v>-11387.109999984503</v>
      </c>
      <c r="K187" s="6">
        <f t="shared" si="52"/>
        <v>3397.0500000044703</v>
      </c>
      <c r="L187" s="6">
        <f t="shared" si="52"/>
        <v>31869169.98999998</v>
      </c>
      <c r="M187" s="6">
        <f t="shared" si="52"/>
        <v>327000147.83243382</v>
      </c>
    </row>
    <row r="188" spans="1:13">
      <c r="B188" s="12"/>
      <c r="C188" s="6"/>
      <c r="D188" s="6"/>
      <c r="E188" s="6"/>
      <c r="F188" s="6"/>
      <c r="G188" s="6"/>
      <c r="H188" s="6"/>
      <c r="I188" s="6"/>
      <c r="J188" s="6"/>
      <c r="K188" s="6"/>
      <c r="L188" s="6"/>
      <c r="M188" s="6"/>
    </row>
    <row r="189" spans="1:13">
      <c r="B189" s="250" t="s">
        <v>682</v>
      </c>
      <c r="C189" s="6"/>
      <c r="D189" s="6"/>
      <c r="E189" s="6"/>
      <c r="F189" s="6"/>
      <c r="G189" s="6"/>
      <c r="H189" s="6"/>
      <c r="I189" s="6"/>
      <c r="J189" s="6"/>
      <c r="K189" s="6"/>
      <c r="L189" s="6"/>
      <c r="M189" s="6"/>
    </row>
    <row r="190" spans="1:13" ht="13">
      <c r="C190" s="48">
        <v>350.1</v>
      </c>
      <c r="D190" s="48">
        <v>350.2</v>
      </c>
      <c r="E190" s="48">
        <v>352</v>
      </c>
      <c r="F190" s="48">
        <v>353</v>
      </c>
      <c r="G190" s="48">
        <v>354</v>
      </c>
      <c r="H190" s="48">
        <v>355</v>
      </c>
      <c r="I190" s="48">
        <v>356</v>
      </c>
      <c r="J190" s="48">
        <v>357</v>
      </c>
      <c r="K190" s="48">
        <v>358</v>
      </c>
      <c r="L190" s="48">
        <v>359</v>
      </c>
      <c r="M190" s="3" t="s">
        <v>249</v>
      </c>
    </row>
    <row r="191" spans="1:13" ht="13">
      <c r="A191" s="2">
        <f>A187+1</f>
        <v>107</v>
      </c>
      <c r="C191" s="6">
        <f>C183-C187</f>
        <v>3519838.4450310394</v>
      </c>
      <c r="D191" s="6">
        <f t="shared" ref="D191:M191" si="53">D183-D187</f>
        <v>8759988.0296417922</v>
      </c>
      <c r="E191" s="6">
        <f t="shared" si="53"/>
        <v>38925269.844718874</v>
      </c>
      <c r="F191" s="6">
        <f t="shared" si="53"/>
        <v>123430358.8450036</v>
      </c>
      <c r="G191" s="6">
        <f t="shared" si="53"/>
        <v>33089614.942671776</v>
      </c>
      <c r="H191" s="6">
        <f t="shared" si="53"/>
        <v>79421304.475767076</v>
      </c>
      <c r="I191" s="6">
        <f t="shared" si="53"/>
        <v>76394561.002807856</v>
      </c>
      <c r="J191" s="6">
        <f t="shared" si="53"/>
        <v>-92793.25705653429</v>
      </c>
      <c r="K191" s="6">
        <f t="shared" si="53"/>
        <v>-512107.0457508117</v>
      </c>
      <c r="L191" s="6">
        <f t="shared" si="53"/>
        <v>-784506.59369772673</v>
      </c>
      <c r="M191" s="6">
        <f t="shared" si="53"/>
        <v>362151528.68913829</v>
      </c>
    </row>
    <row r="193" spans="1:13" ht="13">
      <c r="B193" s="1" t="s">
        <v>683</v>
      </c>
    </row>
    <row r="194" spans="1:13" ht="13">
      <c r="A194" s="209"/>
      <c r="B194" s="48" t="s">
        <v>336</v>
      </c>
      <c r="C194" s="48" t="s">
        <v>337</v>
      </c>
      <c r="D194" s="48" t="s">
        <v>338</v>
      </c>
      <c r="E194" s="48" t="s">
        <v>339</v>
      </c>
      <c r="F194" s="48" t="s">
        <v>340</v>
      </c>
      <c r="G194" s="48" t="s">
        <v>341</v>
      </c>
      <c r="H194" s="48" t="s">
        <v>342</v>
      </c>
      <c r="I194" s="48" t="s">
        <v>343</v>
      </c>
      <c r="J194" s="48" t="s">
        <v>344</v>
      </c>
      <c r="K194" s="48" t="s">
        <v>589</v>
      </c>
      <c r="L194" s="48" t="s">
        <v>590</v>
      </c>
      <c r="M194" s="48" t="s">
        <v>591</v>
      </c>
    </row>
    <row r="195" spans="1:13" ht="13">
      <c r="A195" s="117"/>
      <c r="B195" s="120"/>
      <c r="C195" s="117"/>
      <c r="D195" s="117"/>
      <c r="E195" s="117"/>
      <c r="F195" s="276"/>
      <c r="G195" s="117"/>
      <c r="H195" s="117"/>
      <c r="I195" s="117"/>
      <c r="J195" s="117"/>
      <c r="K195" s="117"/>
      <c r="L195" s="117"/>
      <c r="M195" s="131" t="s">
        <v>642</v>
      </c>
    </row>
    <row r="196" spans="1:13" ht="13">
      <c r="A196" s="117"/>
      <c r="B196" s="2"/>
      <c r="C196" s="48"/>
      <c r="D196" s="48"/>
      <c r="E196" s="117"/>
      <c r="F196" s="117"/>
      <c r="G196" s="117"/>
      <c r="H196" s="117"/>
      <c r="I196" s="117"/>
      <c r="J196" s="117"/>
      <c r="K196" s="117"/>
      <c r="L196" s="117"/>
    </row>
    <row r="197" spans="1:13" ht="13">
      <c r="A197" s="30"/>
      <c r="B197" s="3" t="s">
        <v>643</v>
      </c>
      <c r="C197" s="48">
        <v>350.1</v>
      </c>
      <c r="D197" s="48">
        <v>350.2</v>
      </c>
      <c r="E197" s="48">
        <v>352</v>
      </c>
      <c r="F197" s="48">
        <v>353</v>
      </c>
      <c r="G197" s="48">
        <v>354</v>
      </c>
      <c r="H197" s="48">
        <v>355</v>
      </c>
      <c r="I197" s="48">
        <v>356</v>
      </c>
      <c r="J197" s="48">
        <v>357</v>
      </c>
      <c r="K197" s="48">
        <v>358</v>
      </c>
      <c r="L197" s="48">
        <v>359</v>
      </c>
      <c r="M197" s="3" t="s">
        <v>249</v>
      </c>
    </row>
    <row r="198" spans="1:13" ht="13">
      <c r="A198" s="2">
        <f>A191+1</f>
        <v>108</v>
      </c>
      <c r="B198" s="408" t="s">
        <v>2931</v>
      </c>
      <c r="C198" s="253">
        <f>C$191*C167</f>
        <v>64116.736587060201</v>
      </c>
      <c r="D198" s="253">
        <f t="shared" ref="D198:L198" si="54">D$191*D167</f>
        <v>776.03730972907658</v>
      </c>
      <c r="E198" s="253">
        <f t="shared" si="54"/>
        <v>1855295.0862765287</v>
      </c>
      <c r="F198" s="253">
        <f t="shared" si="54"/>
        <v>2226420.4289154848</v>
      </c>
      <c r="G198" s="253">
        <f t="shared" si="54"/>
        <v>6361278.7083182922</v>
      </c>
      <c r="H198" s="253">
        <f t="shared" si="54"/>
        <v>2198295.6638674629</v>
      </c>
      <c r="I198" s="253">
        <f t="shared" si="54"/>
        <v>58034502.639825985</v>
      </c>
      <c r="J198" s="253">
        <f t="shared" si="54"/>
        <v>1142.7387475657549</v>
      </c>
      <c r="K198" s="253">
        <f t="shared" si="54"/>
        <v>-26971.962051963808</v>
      </c>
      <c r="L198" s="253">
        <f t="shared" si="54"/>
        <v>315405.54526089091</v>
      </c>
      <c r="M198" s="253">
        <f t="shared" ref="M198:M210" si="55">SUM(C198:L198)</f>
        <v>71030261.623057038</v>
      </c>
    </row>
    <row r="199" spans="1:13" ht="13">
      <c r="A199" s="2">
        <f t="shared" ref="A199:A210" si="56">A198+1</f>
        <v>109</v>
      </c>
      <c r="B199" s="532" t="s">
        <v>2932</v>
      </c>
      <c r="C199" s="253">
        <f t="shared" ref="C199:L209" si="57">C$191*C168</f>
        <v>2.1762338185835559E-9</v>
      </c>
      <c r="D199" s="253">
        <f t="shared" si="57"/>
        <v>219919.65657569346</v>
      </c>
      <c r="E199" s="253">
        <f t="shared" si="57"/>
        <v>2974118.3656996158</v>
      </c>
      <c r="F199" s="253">
        <f t="shared" si="57"/>
        <v>13839451.133881716</v>
      </c>
      <c r="G199" s="253">
        <f t="shared" si="57"/>
        <v>8414073.8092068452</v>
      </c>
      <c r="H199" s="253">
        <f t="shared" si="57"/>
        <v>6844589.0247523431</v>
      </c>
      <c r="I199" s="253">
        <f t="shared" si="57"/>
        <v>-1544575.8002163009</v>
      </c>
      <c r="J199" s="253">
        <f t="shared" si="57"/>
        <v>3932.3240415427731</v>
      </c>
      <c r="K199" s="253">
        <f t="shared" si="57"/>
        <v>-177871.52991668813</v>
      </c>
      <c r="L199" s="253">
        <f t="shared" si="57"/>
        <v>-288665.87624365324</v>
      </c>
      <c r="M199" s="253">
        <f t="shared" si="55"/>
        <v>30284971.107781112</v>
      </c>
    </row>
    <row r="200" spans="1:13" ht="13">
      <c r="A200" s="2">
        <f t="shared" si="56"/>
        <v>110</v>
      </c>
      <c r="B200" s="408" t="s">
        <v>2933</v>
      </c>
      <c r="C200" s="253">
        <f t="shared" si="57"/>
        <v>-1730.2602331162025</v>
      </c>
      <c r="D200" s="253">
        <f t="shared" si="57"/>
        <v>145188.58621961946</v>
      </c>
      <c r="E200" s="253">
        <f t="shared" si="57"/>
        <v>1812334.2668484577</v>
      </c>
      <c r="F200" s="253">
        <f t="shared" si="57"/>
        <v>11433161.703120474</v>
      </c>
      <c r="G200" s="253">
        <f t="shared" si="57"/>
        <v>7744513.8909695186</v>
      </c>
      <c r="H200" s="253">
        <f t="shared" si="57"/>
        <v>5234039.0043570939</v>
      </c>
      <c r="I200" s="253">
        <f t="shared" si="57"/>
        <v>330462.97335838585</v>
      </c>
      <c r="J200" s="253">
        <f t="shared" si="57"/>
        <v>-168.31008221655892</v>
      </c>
      <c r="K200" s="253">
        <f t="shared" si="57"/>
        <v>-20722.323043084452</v>
      </c>
      <c r="L200" s="253">
        <f t="shared" si="57"/>
        <v>-11821.765616953244</v>
      </c>
      <c r="M200" s="253">
        <f t="shared" si="55"/>
        <v>26665257.765898179</v>
      </c>
    </row>
    <row r="201" spans="1:13" ht="13">
      <c r="A201" s="2">
        <f t="shared" si="56"/>
        <v>111</v>
      </c>
      <c r="B201" s="532" t="s">
        <v>2934</v>
      </c>
      <c r="C201" s="253">
        <f t="shared" si="57"/>
        <v>0</v>
      </c>
      <c r="D201" s="253">
        <f t="shared" si="57"/>
        <v>15061.267593868666</v>
      </c>
      <c r="E201" s="253">
        <f t="shared" si="57"/>
        <v>816692.83216295636</v>
      </c>
      <c r="F201" s="253">
        <f t="shared" si="57"/>
        <v>18752985.376329429</v>
      </c>
      <c r="G201" s="253">
        <f t="shared" si="57"/>
        <v>12272708.442208869</v>
      </c>
      <c r="H201" s="253">
        <f t="shared" si="57"/>
        <v>19215018.799580012</v>
      </c>
      <c r="I201" s="253">
        <f t="shared" si="57"/>
        <v>-17472163.829931237</v>
      </c>
      <c r="J201" s="253">
        <f t="shared" si="57"/>
        <v>378.71201656776583</v>
      </c>
      <c r="K201" s="253">
        <f t="shared" si="57"/>
        <v>-72826.013907015833</v>
      </c>
      <c r="L201" s="253">
        <f t="shared" si="57"/>
        <v>-1239335.5091485309</v>
      </c>
      <c r="M201" s="253">
        <f t="shared" si="55"/>
        <v>32288520.076904923</v>
      </c>
    </row>
    <row r="202" spans="1:13" ht="13">
      <c r="A202" s="2">
        <f t="shared" si="56"/>
        <v>112</v>
      </c>
      <c r="B202" s="408" t="s">
        <v>2935</v>
      </c>
      <c r="C202" s="253">
        <f t="shared" si="57"/>
        <v>0</v>
      </c>
      <c r="D202" s="253">
        <f t="shared" si="57"/>
        <v>22104.287615699504</v>
      </c>
      <c r="E202" s="253">
        <f t="shared" si="57"/>
        <v>1375923.4080920322</v>
      </c>
      <c r="F202" s="253">
        <f t="shared" si="57"/>
        <v>16246854.715300011</v>
      </c>
      <c r="G202" s="253">
        <f t="shared" si="57"/>
        <v>-22322756.774154492</v>
      </c>
      <c r="H202" s="253">
        <f t="shared" si="57"/>
        <v>13118041.015356669</v>
      </c>
      <c r="I202" s="253">
        <f t="shared" si="57"/>
        <v>14528524.444715187</v>
      </c>
      <c r="J202" s="253">
        <f t="shared" si="57"/>
        <v>-9046.8000641452054</v>
      </c>
      <c r="K202" s="253">
        <f t="shared" si="57"/>
        <v>94928.250543258167</v>
      </c>
      <c r="L202" s="253">
        <f t="shared" si="57"/>
        <v>358899.85457172373</v>
      </c>
      <c r="M202" s="253">
        <f t="shared" si="55"/>
        <v>23413472.401975945</v>
      </c>
    </row>
    <row r="203" spans="1:13" ht="13">
      <c r="A203" s="2">
        <f t="shared" si="56"/>
        <v>113</v>
      </c>
      <c r="B203" s="532" t="s">
        <v>2936</v>
      </c>
      <c r="C203" s="253">
        <f t="shared" si="57"/>
        <v>-1014.6067435410212</v>
      </c>
      <c r="D203" s="253">
        <f t="shared" si="57"/>
        <v>29837.768242431393</v>
      </c>
      <c r="E203" s="253">
        <f t="shared" si="57"/>
        <v>4620315.0710899243</v>
      </c>
      <c r="F203" s="253">
        <f t="shared" si="57"/>
        <v>8745792.7119137179</v>
      </c>
      <c r="G203" s="253">
        <f t="shared" si="57"/>
        <v>3942341.2268295093</v>
      </c>
      <c r="H203" s="253">
        <f t="shared" si="57"/>
        <v>5344369.4025066942</v>
      </c>
      <c r="I203" s="253">
        <f t="shared" si="57"/>
        <v>11787667.804344526</v>
      </c>
      <c r="J203" s="253">
        <f t="shared" si="57"/>
        <v>-1477.3370033651854</v>
      </c>
      <c r="K203" s="253">
        <f t="shared" si="57"/>
        <v>-294557.57614503097</v>
      </c>
      <c r="L203" s="253">
        <f t="shared" si="57"/>
        <v>57865.170186753596</v>
      </c>
      <c r="M203" s="253">
        <f t="shared" si="55"/>
        <v>34231139.635221615</v>
      </c>
    </row>
    <row r="204" spans="1:13" ht="13">
      <c r="A204" s="2">
        <f t="shared" si="56"/>
        <v>114</v>
      </c>
      <c r="B204" s="408" t="s">
        <v>2937</v>
      </c>
      <c r="C204" s="253">
        <f t="shared" si="57"/>
        <v>-4905.5030598031608</v>
      </c>
      <c r="D204" s="253">
        <f t="shared" si="57"/>
        <v>0</v>
      </c>
      <c r="E204" s="253">
        <f t="shared" si="57"/>
        <v>1334600.6244456652</v>
      </c>
      <c r="F204" s="253">
        <f t="shared" si="57"/>
        <v>8892945.4139817618</v>
      </c>
      <c r="G204" s="253">
        <f t="shared" si="57"/>
        <v>2750968.062779624</v>
      </c>
      <c r="H204" s="253">
        <f t="shared" si="57"/>
        <v>4042790.3501354391</v>
      </c>
      <c r="I204" s="253">
        <f t="shared" si="57"/>
        <v>1265706.9462543896</v>
      </c>
      <c r="J204" s="253">
        <f t="shared" si="57"/>
        <v>-54386.512665855924</v>
      </c>
      <c r="K204" s="253">
        <f t="shared" si="57"/>
        <v>-357427.8501180039</v>
      </c>
      <c r="L204" s="253">
        <f t="shared" si="57"/>
        <v>-15402.00280780715</v>
      </c>
      <c r="M204" s="253">
        <f t="shared" si="55"/>
        <v>17854889.528945409</v>
      </c>
    </row>
    <row r="205" spans="1:13" ht="13">
      <c r="A205" s="2">
        <f t="shared" si="56"/>
        <v>115</v>
      </c>
      <c r="B205" s="532" t="s">
        <v>2938</v>
      </c>
      <c r="C205" s="253">
        <f t="shared" si="57"/>
        <v>-6.528701455750668E-9</v>
      </c>
      <c r="D205" s="253">
        <f t="shared" si="57"/>
        <v>7920494.5621991502</v>
      </c>
      <c r="E205" s="253">
        <f t="shared" si="57"/>
        <v>-50501.79024278446</v>
      </c>
      <c r="F205" s="253">
        <f t="shared" si="57"/>
        <v>1266262.5462006477</v>
      </c>
      <c r="G205" s="253">
        <f t="shared" si="57"/>
        <v>-1962634.7740780388</v>
      </c>
      <c r="H205" s="253">
        <f t="shared" si="57"/>
        <v>-1198235.7386821029</v>
      </c>
      <c r="I205" s="253">
        <f t="shared" si="57"/>
        <v>4551982.7588423006</v>
      </c>
      <c r="J205" s="253">
        <f t="shared" si="57"/>
        <v>-239.16842156441749</v>
      </c>
      <c r="K205" s="253">
        <f t="shared" si="57"/>
        <v>-48821.829817273865</v>
      </c>
      <c r="L205" s="253">
        <f t="shared" si="57"/>
        <v>-33517.455017965032</v>
      </c>
      <c r="M205" s="253">
        <f t="shared" si="55"/>
        <v>10444789.11098236</v>
      </c>
    </row>
    <row r="206" spans="1:13" ht="13">
      <c r="A206" s="2">
        <f t="shared" si="56"/>
        <v>116</v>
      </c>
      <c r="B206" s="408" t="s">
        <v>2939</v>
      </c>
      <c r="C206" s="253">
        <f t="shared" si="57"/>
        <v>0</v>
      </c>
      <c r="D206" s="253">
        <f t="shared" si="57"/>
        <v>897.66136864094551</v>
      </c>
      <c r="E206" s="253">
        <f t="shared" si="57"/>
        <v>2645645.5096702515</v>
      </c>
      <c r="F206" s="253">
        <f t="shared" si="57"/>
        <v>2374884.4003638998</v>
      </c>
      <c r="G206" s="253">
        <f t="shared" si="57"/>
        <v>1067184.3511573805</v>
      </c>
      <c r="H206" s="253">
        <f t="shared" si="57"/>
        <v>6740949.8148867982</v>
      </c>
      <c r="I206" s="253">
        <f t="shared" si="57"/>
        <v>895681.50524422724</v>
      </c>
      <c r="J206" s="253">
        <f t="shared" si="57"/>
        <v>-42277.631026707517</v>
      </c>
      <c r="K206" s="253">
        <f t="shared" si="57"/>
        <v>247513.80686857025</v>
      </c>
      <c r="L206" s="253">
        <f t="shared" si="57"/>
        <v>33371.748193597748</v>
      </c>
      <c r="M206" s="253">
        <f t="shared" si="55"/>
        <v>13963851.166726658</v>
      </c>
    </row>
    <row r="207" spans="1:13" ht="13">
      <c r="A207" s="2">
        <f t="shared" si="56"/>
        <v>117</v>
      </c>
      <c r="B207" s="532" t="s">
        <v>2940</v>
      </c>
      <c r="C207" s="253">
        <f t="shared" si="57"/>
        <v>0</v>
      </c>
      <c r="D207" s="253">
        <f t="shared" si="57"/>
        <v>322903.97912809195</v>
      </c>
      <c r="E207" s="253">
        <f t="shared" si="57"/>
        <v>8974426.0293268263</v>
      </c>
      <c r="F207" s="253">
        <f t="shared" si="57"/>
        <v>3850766.5958632021</v>
      </c>
      <c r="G207" s="253">
        <f t="shared" si="57"/>
        <v>1790360.7377478953</v>
      </c>
      <c r="H207" s="253">
        <f t="shared" si="57"/>
        <v>7294421.4456631932</v>
      </c>
      <c r="I207" s="253">
        <f t="shared" si="57"/>
        <v>410609.32725310174</v>
      </c>
      <c r="J207" s="253">
        <f t="shared" si="57"/>
        <v>8942.7132617810512</v>
      </c>
      <c r="K207" s="253">
        <f t="shared" si="57"/>
        <v>78845.499205608343</v>
      </c>
      <c r="L207" s="253">
        <f t="shared" si="57"/>
        <v>29.543354545922195</v>
      </c>
      <c r="M207" s="253">
        <f t="shared" si="55"/>
        <v>22731305.870804247</v>
      </c>
    </row>
    <row r="208" spans="1:13" ht="13">
      <c r="A208" s="2">
        <f t="shared" si="56"/>
        <v>118</v>
      </c>
      <c r="B208" s="408" t="s">
        <v>2941</v>
      </c>
      <c r="C208" s="253">
        <f t="shared" si="57"/>
        <v>-128.16288106007408</v>
      </c>
      <c r="D208" s="253">
        <f t="shared" si="57"/>
        <v>-40273.799113207999</v>
      </c>
      <c r="E208" s="253">
        <f t="shared" si="57"/>
        <v>14335879.15197861</v>
      </c>
      <c r="F208" s="253">
        <f t="shared" si="57"/>
        <v>9850770.2800669279</v>
      </c>
      <c r="G208" s="253">
        <f t="shared" si="57"/>
        <v>5740365.1878957078</v>
      </c>
      <c r="H208" s="253">
        <f t="shared" si="57"/>
        <v>6314794.6774695972</v>
      </c>
      <c r="I208" s="253">
        <f t="shared" si="57"/>
        <v>640189.21539611451</v>
      </c>
      <c r="J208" s="253">
        <f t="shared" si="57"/>
        <v>-20.373728707373004</v>
      </c>
      <c r="K208" s="253">
        <f t="shared" si="57"/>
        <v>-17007.975488397271</v>
      </c>
      <c r="L208" s="253">
        <f t="shared" si="57"/>
        <v>-79.936316006215179</v>
      </c>
      <c r="M208" s="253">
        <f t="shared" si="55"/>
        <v>36824488.265279584</v>
      </c>
    </row>
    <row r="209" spans="1:44" ht="13">
      <c r="A209" s="2">
        <f t="shared" si="56"/>
        <v>119</v>
      </c>
      <c r="B209" s="532" t="s">
        <v>2942</v>
      </c>
      <c r="C209" s="53">
        <f t="shared" si="57"/>
        <v>3463500.241361504</v>
      </c>
      <c r="D209" s="53">
        <f t="shared" si="57"/>
        <v>123078.02250207598</v>
      </c>
      <c r="E209" s="53">
        <f t="shared" si="57"/>
        <v>-1769458.7106292101</v>
      </c>
      <c r="F209" s="53">
        <f t="shared" si="57"/>
        <v>25950063.539066333</v>
      </c>
      <c r="G209" s="53">
        <f t="shared" si="57"/>
        <v>7291212.0737906611</v>
      </c>
      <c r="H209" s="53">
        <f t="shared" si="57"/>
        <v>4272231.0158738755</v>
      </c>
      <c r="I209" s="53">
        <f t="shared" si="57"/>
        <v>2965973.0177211789</v>
      </c>
      <c r="J209" s="53">
        <f t="shared" si="57"/>
        <v>426.38786857054737</v>
      </c>
      <c r="K209" s="53">
        <f t="shared" si="57"/>
        <v>82812.458119209754</v>
      </c>
      <c r="L209" s="53">
        <f t="shared" si="57"/>
        <v>38744.089885677095</v>
      </c>
      <c r="M209" s="53">
        <f t="shared" si="55"/>
        <v>42418582.135559857</v>
      </c>
    </row>
    <row r="210" spans="1:44" ht="13">
      <c r="A210" s="2">
        <f t="shared" si="56"/>
        <v>120</v>
      </c>
      <c r="B210" s="593" t="s">
        <v>409</v>
      </c>
      <c r="C210" s="119">
        <f t="shared" ref="C210:L210" si="58">SUM(C198:C209)</f>
        <v>3519838.4450310394</v>
      </c>
      <c r="D210" s="119">
        <f t="shared" si="58"/>
        <v>8759988.0296417922</v>
      </c>
      <c r="E210" s="119">
        <f t="shared" si="58"/>
        <v>38925269.844718874</v>
      </c>
      <c r="F210" s="119">
        <f t="shared" si="58"/>
        <v>123430358.84500359</v>
      </c>
      <c r="G210" s="119">
        <f t="shared" si="58"/>
        <v>33089614.942671776</v>
      </c>
      <c r="H210" s="119">
        <f t="shared" si="58"/>
        <v>79421304.475767076</v>
      </c>
      <c r="I210" s="119">
        <f t="shared" si="58"/>
        <v>76394561.002807856</v>
      </c>
      <c r="J210" s="119">
        <f t="shared" si="58"/>
        <v>-92793.25705653429</v>
      </c>
      <c r="K210" s="119">
        <f t="shared" si="58"/>
        <v>-512107.0457508117</v>
      </c>
      <c r="L210" s="119">
        <f t="shared" si="58"/>
        <v>-784506.59369772673</v>
      </c>
      <c r="M210" s="253">
        <f t="shared" si="55"/>
        <v>362151528.68913692</v>
      </c>
    </row>
    <row r="212" spans="1:44" ht="13">
      <c r="B212" s="212" t="s">
        <v>228</v>
      </c>
    </row>
    <row r="213" spans="1:44">
      <c r="B213" s="251" t="s">
        <v>684</v>
      </c>
    </row>
    <row r="214" spans="1:44">
      <c r="B214" s="507" t="s">
        <v>685</v>
      </c>
      <c r="C214" s="251"/>
      <c r="D214" s="251"/>
      <c r="E214" s="251"/>
      <c r="F214" s="251"/>
      <c r="G214" s="251"/>
      <c r="H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251"/>
      <c r="AP214" s="251"/>
      <c r="AQ214" s="251"/>
      <c r="AR214" s="251"/>
    </row>
    <row r="215" spans="1:44">
      <c r="B215" t="s">
        <v>686</v>
      </c>
    </row>
    <row r="216" spans="1:44">
      <c r="B216" s="250" t="s">
        <v>687</v>
      </c>
    </row>
    <row r="217" spans="1:44">
      <c r="B217" s="250" t="s">
        <v>688</v>
      </c>
    </row>
    <row r="218" spans="1:44">
      <c r="B218" s="12" t="s">
        <v>689</v>
      </c>
    </row>
    <row r="219" spans="1:44">
      <c r="B219" s="251" t="s">
        <v>690</v>
      </c>
    </row>
    <row r="220" spans="1:44">
      <c r="B220" s="250" t="s">
        <v>691</v>
      </c>
    </row>
    <row r="221" spans="1:44">
      <c r="B221" s="250" t="s">
        <v>692</v>
      </c>
    </row>
    <row r="222" spans="1:44">
      <c r="B222" s="250" t="s">
        <v>693</v>
      </c>
    </row>
    <row r="223" spans="1:44">
      <c r="B223" s="251" t="str">
        <f>"2) Amounts on Line "&amp;A35&amp;" must match 6-Plant Study amounts for Distribution Plant - ISO for previous year."</f>
        <v>2) Amounts on Line 15 must match 6-Plant Study amounts for Distribution Plant - ISO for previous year.</v>
      </c>
    </row>
    <row r="224" spans="1:44">
      <c r="B224" s="250" t="str">
        <f>"Amounts on Line "&amp;A36&amp;" must match amounts on 6-PlantStudy for Distribution Plant - ISO."</f>
        <v>Amounts on Line 16 must match amounts on 6-PlantStudy for Distribution Plant - ISO.</v>
      </c>
    </row>
    <row r="225" spans="2:9">
      <c r="B225" s="605" t="s">
        <v>694</v>
      </c>
      <c r="H225" s="258" t="s">
        <v>637</v>
      </c>
      <c r="I225" s="713"/>
    </row>
    <row r="226" spans="2:9">
      <c r="B226" s="251" t="s">
        <v>695</v>
      </c>
    </row>
    <row r="227" spans="2:9">
      <c r="B227" s="251" t="s">
        <v>696</v>
      </c>
    </row>
    <row r="228" spans="2:9">
      <c r="B228" s="251" t="s">
        <v>697</v>
      </c>
    </row>
    <row r="229" spans="2:9">
      <c r="B229" s="251" t="s">
        <v>698</v>
      </c>
    </row>
    <row r="230" spans="2:9">
      <c r="B230" s="251" t="s">
        <v>699</v>
      </c>
    </row>
    <row r="231" spans="2:9">
      <c r="B231" t="str">
        <f>"9) Amount on Line "&amp;A24&amp;" less amount on Line "&amp;A12&amp;" for each account."</f>
        <v>9) Amount on Line 13 less amount on Line 1 for each account.</v>
      </c>
    </row>
    <row r="232" spans="2:9">
      <c r="B232" t="str">
        <f>"10) Line "&amp;A143&amp;""</f>
        <v>10) Line 79</v>
      </c>
    </row>
    <row r="233" spans="2:9">
      <c r="B233" t="str">
        <f>"11) Amount on Line "&amp;A183&amp;" less amount on Line "&amp;A187&amp;" for each account."</f>
        <v>11) Amount on Line 105 less amount on Line 106 for each account.</v>
      </c>
    </row>
    <row r="234" spans="2:9">
      <c r="B234" s="251" t="str">
        <f>"12) For each column (FERC Account) divide Line "&amp;A191&amp;" by Line "&amp;A162&amp;" to arrive at a ratio for each column."</f>
        <v>12) For each column (FERC Account) divide Line 107 by Line 92 to arrive at a ratio for each column.</v>
      </c>
    </row>
    <row r="235" spans="2:9">
      <c r="B235" s="250" t="str">
        <f>"Apply the ratio of each column to each monthly value from Lines "&amp;A150&amp;"-"&amp;A161&amp;" to calculate the values for"</f>
        <v>Apply the ratio of each column to each monthly value from Lines 80-91 to calculate the values for</v>
      </c>
    </row>
    <row r="236" spans="2:9">
      <c r="B236" s="250"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&amp;RTO2023 Draft Annual Update 
Attachment 1</oddHeader>
    <oddFooter>&amp;R&amp;A</oddFooter>
  </headerFooter>
  <rowBreaks count="4" manualBreakCount="4">
    <brk id="38" max="16383" man="1"/>
    <brk id="87" max="12" man="1"/>
    <brk id="125" max="12" man="1"/>
    <brk id="17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election activeCell="E38" sqref="E38:E39"/>
    </sheetView>
  </sheetViews>
  <sheetFormatPr defaultRowHeight="13"/>
  <cols>
    <col min="1" max="1" width="4.54296875" customWidth="1"/>
    <col min="2" max="2" width="25.54296875" style="67" customWidth="1"/>
    <col min="3" max="5" width="15.54296875" style="67" customWidth="1"/>
    <col min="6" max="6" width="12.453125" style="67" customWidth="1"/>
    <col min="8" max="8" width="15.54296875" customWidth="1"/>
  </cols>
  <sheetData>
    <row r="1" spans="1:8">
      <c r="A1" s="1" t="s">
        <v>700</v>
      </c>
      <c r="B1" s="99"/>
      <c r="C1" s="99"/>
      <c r="D1" s="99"/>
      <c r="E1" s="100" t="s">
        <v>701</v>
      </c>
      <c r="F1" s="108"/>
      <c r="G1" s="251"/>
    </row>
    <row r="2" spans="1:8">
      <c r="B2" s="719" t="s">
        <v>195</v>
      </c>
      <c r="C2" s="277" t="s">
        <v>702</v>
      </c>
      <c r="G2" s="251"/>
    </row>
    <row r="3" spans="1:8">
      <c r="A3" s="92" t="s">
        <v>703</v>
      </c>
      <c r="B3" s="99"/>
      <c r="C3" s="99"/>
      <c r="D3" s="99"/>
      <c r="E3" s="508" t="s">
        <v>641</v>
      </c>
      <c r="F3" s="898">
        <v>2021</v>
      </c>
      <c r="G3" s="251"/>
    </row>
    <row r="4" spans="1:8">
      <c r="A4" s="92"/>
      <c r="B4" s="99"/>
      <c r="C4" s="99"/>
      <c r="D4" s="99"/>
      <c r="E4" s="99"/>
      <c r="F4" s="99"/>
      <c r="G4" s="251"/>
    </row>
    <row r="5" spans="1:8">
      <c r="B5" s="92"/>
      <c r="C5" s="48" t="s">
        <v>336</v>
      </c>
      <c r="E5" s="48" t="s">
        <v>337</v>
      </c>
      <c r="F5" s="48" t="s">
        <v>338</v>
      </c>
      <c r="G5" s="251"/>
    </row>
    <row r="6" spans="1:8">
      <c r="B6" s="92"/>
      <c r="C6" s="48"/>
      <c r="E6" s="48"/>
      <c r="F6" s="48"/>
      <c r="G6" s="251"/>
    </row>
    <row r="7" spans="1:8">
      <c r="A7" s="30" t="s">
        <v>273</v>
      </c>
      <c r="B7" s="92"/>
      <c r="C7" s="98" t="s">
        <v>249</v>
      </c>
      <c r="D7" s="98"/>
      <c r="E7" s="98" t="s">
        <v>704</v>
      </c>
      <c r="F7" s="98" t="s">
        <v>705</v>
      </c>
      <c r="G7" s="251"/>
    </row>
    <row r="8" spans="1:8">
      <c r="A8" s="2">
        <v>1</v>
      </c>
      <c r="B8" s="91" t="s">
        <v>706</v>
      </c>
      <c r="C8" s="91" t="s">
        <v>660</v>
      </c>
      <c r="D8" s="91" t="s">
        <v>707</v>
      </c>
      <c r="E8" s="91" t="s">
        <v>708</v>
      </c>
      <c r="F8" s="91" t="s">
        <v>709</v>
      </c>
      <c r="G8" s="91" t="s">
        <v>100</v>
      </c>
    </row>
    <row r="9" spans="1:8" ht="12.75" customHeight="1">
      <c r="A9" s="2">
        <f>A8+1</f>
        <v>2</v>
      </c>
      <c r="B9" s="92" t="s">
        <v>710</v>
      </c>
      <c r="C9" s="962"/>
      <c r="D9" s="962"/>
      <c r="E9" s="962"/>
      <c r="F9" s="963"/>
      <c r="G9" s="251"/>
    </row>
    <row r="10" spans="1:8">
      <c r="A10" s="2">
        <f t="shared" ref="A10:A28" si="0">A9+1</f>
        <v>3</v>
      </c>
      <c r="B10" s="93">
        <v>352</v>
      </c>
      <c r="C10" s="271">
        <v>1306459913</v>
      </c>
      <c r="D10" s="286" t="s">
        <v>711</v>
      </c>
      <c r="E10" s="880">
        <v>843791399.84427941</v>
      </c>
      <c r="F10" s="964">
        <f>E10/C10</f>
        <v>0.64586091884495456</v>
      </c>
      <c r="G10" s="251"/>
      <c r="H10" s="535"/>
    </row>
    <row r="11" spans="1:8">
      <c r="A11" s="2">
        <f t="shared" si="0"/>
        <v>4</v>
      </c>
      <c r="B11" s="93">
        <v>353</v>
      </c>
      <c r="C11" s="62">
        <v>7245331489</v>
      </c>
      <c r="D11" s="286" t="s">
        <v>712</v>
      </c>
      <c r="E11" s="211">
        <v>4116024360.2919512</v>
      </c>
      <c r="F11" s="88">
        <f>E11/C11</f>
        <v>0.56809331174715438</v>
      </c>
      <c r="G11" s="251"/>
      <c r="H11" s="251"/>
    </row>
    <row r="12" spans="1:8">
      <c r="A12" s="2">
        <f t="shared" si="0"/>
        <v>5</v>
      </c>
      <c r="B12" s="95" t="s">
        <v>713</v>
      </c>
      <c r="C12" s="965">
        <f>SUM(C10:C11)</f>
        <v>8551791402</v>
      </c>
      <c r="D12" s="250" t="str">
        <f>"L "&amp;A10&amp;" + L "&amp;A11&amp;""</f>
        <v>L 3 + L 4</v>
      </c>
      <c r="E12" s="965">
        <f>SUM(E10:E11)</f>
        <v>4959815760.1362305</v>
      </c>
      <c r="F12" s="964">
        <f>E12/C12</f>
        <v>0.57997389400497801</v>
      </c>
      <c r="G12" s="251"/>
    </row>
    <row r="13" spans="1:8">
      <c r="A13" s="2">
        <f t="shared" si="0"/>
        <v>6</v>
      </c>
      <c r="B13" s="101"/>
      <c r="C13" s="966"/>
      <c r="D13" s="966"/>
      <c r="E13" s="966"/>
      <c r="F13" s="964"/>
      <c r="G13" s="251"/>
    </row>
    <row r="14" spans="1:8">
      <c r="A14" s="2">
        <f t="shared" si="0"/>
        <v>7</v>
      </c>
      <c r="B14" s="94" t="s">
        <v>714</v>
      </c>
      <c r="C14" s="102"/>
      <c r="D14" s="102"/>
      <c r="E14" s="102"/>
      <c r="F14" s="103"/>
      <c r="G14" s="251"/>
    </row>
    <row r="15" spans="1:8">
      <c r="A15" s="2">
        <f t="shared" si="0"/>
        <v>8</v>
      </c>
      <c r="B15" s="93">
        <v>350</v>
      </c>
      <c r="C15" s="406">
        <v>381460213</v>
      </c>
      <c r="D15" s="286" t="s">
        <v>715</v>
      </c>
      <c r="E15" s="881">
        <v>281930573.55366737</v>
      </c>
      <c r="F15" s="964">
        <f>E15/C15</f>
        <v>0.73908251488777776</v>
      </c>
      <c r="G15" s="251"/>
      <c r="H15" s="251"/>
    </row>
    <row r="16" spans="1:8">
      <c r="A16" s="2">
        <f t="shared" si="0"/>
        <v>9</v>
      </c>
      <c r="B16" s="93"/>
      <c r="C16" s="965"/>
      <c r="D16" s="965"/>
      <c r="E16" s="965"/>
      <c r="F16" s="964"/>
      <c r="G16" s="251"/>
    </row>
    <row r="17" spans="1:8">
      <c r="A17" s="2">
        <f t="shared" si="0"/>
        <v>10</v>
      </c>
      <c r="B17" s="94" t="s">
        <v>716</v>
      </c>
      <c r="C17" s="965">
        <f>C12+C15</f>
        <v>8933251615</v>
      </c>
      <c r="D17" s="250" t="str">
        <f>"L "&amp;A12&amp;" + L "&amp;A15&amp;""</f>
        <v>L 5 + L 8</v>
      </c>
      <c r="E17" s="965">
        <f>E12+E15</f>
        <v>5241746333.6898975</v>
      </c>
      <c r="F17" s="964">
        <f>E17/C17</f>
        <v>0.58676801679786761</v>
      </c>
      <c r="G17" s="251"/>
    </row>
    <row r="18" spans="1:8">
      <c r="A18" s="2">
        <f t="shared" si="0"/>
        <v>11</v>
      </c>
      <c r="B18" s="101"/>
      <c r="C18" s="966"/>
      <c r="D18" s="966"/>
      <c r="E18" s="966"/>
      <c r="F18" s="964"/>
      <c r="G18" s="251"/>
    </row>
    <row r="19" spans="1:8">
      <c r="A19" s="2">
        <f t="shared" si="0"/>
        <v>12</v>
      </c>
      <c r="B19" s="94" t="s">
        <v>717</v>
      </c>
      <c r="C19" s="966"/>
      <c r="D19" s="966"/>
      <c r="E19" s="966"/>
      <c r="F19" s="964"/>
      <c r="G19" s="251"/>
    </row>
    <row r="20" spans="1:8">
      <c r="A20" s="2">
        <f t="shared" si="0"/>
        <v>13</v>
      </c>
      <c r="B20" s="93">
        <v>354</v>
      </c>
      <c r="C20" s="411">
        <v>2528290970</v>
      </c>
      <c r="D20" s="286" t="s">
        <v>718</v>
      </c>
      <c r="E20" s="882">
        <v>2450974770.6782684</v>
      </c>
      <c r="F20" s="967">
        <f>E20/C20</f>
        <v>0.96941958016733665</v>
      </c>
      <c r="G20" s="251"/>
      <c r="H20" s="251"/>
    </row>
    <row r="21" spans="1:8">
      <c r="A21" s="2">
        <f t="shared" si="0"/>
        <v>14</v>
      </c>
      <c r="B21" s="93">
        <v>355</v>
      </c>
      <c r="C21" s="411">
        <v>2024504619</v>
      </c>
      <c r="D21" s="286" t="s">
        <v>719</v>
      </c>
      <c r="E21" s="882">
        <v>542755367.5366329</v>
      </c>
      <c r="F21" s="967">
        <f t="shared" ref="F21:F26" si="1">E21/C21</f>
        <v>0.26809292626100595</v>
      </c>
      <c r="G21" s="251"/>
      <c r="H21" s="251"/>
    </row>
    <row r="22" spans="1:8">
      <c r="A22" s="2">
        <f t="shared" si="0"/>
        <v>15</v>
      </c>
      <c r="B22" s="93">
        <v>356</v>
      </c>
      <c r="C22" s="411">
        <v>2065980164</v>
      </c>
      <c r="D22" s="286" t="s">
        <v>720</v>
      </c>
      <c r="E22" s="882">
        <v>1618978824.7123115</v>
      </c>
      <c r="F22" s="967">
        <f t="shared" si="1"/>
        <v>0.78363715824732938</v>
      </c>
      <c r="G22" s="251"/>
      <c r="H22" s="251"/>
    </row>
    <row r="23" spans="1:8">
      <c r="A23" s="2">
        <f t="shared" si="0"/>
        <v>16</v>
      </c>
      <c r="B23" s="93">
        <v>357</v>
      </c>
      <c r="C23" s="411">
        <v>329224124</v>
      </c>
      <c r="D23" s="286" t="s">
        <v>721</v>
      </c>
      <c r="E23" s="882">
        <v>215308595.58726314</v>
      </c>
      <c r="F23" s="967">
        <f t="shared" si="1"/>
        <v>0.65398790638824245</v>
      </c>
      <c r="G23" s="251"/>
      <c r="H23" s="251"/>
    </row>
    <row r="24" spans="1:8">
      <c r="A24" s="2">
        <f t="shared" si="0"/>
        <v>17</v>
      </c>
      <c r="B24" s="93">
        <v>358</v>
      </c>
      <c r="C24" s="411">
        <v>403637836</v>
      </c>
      <c r="D24" s="286" t="s">
        <v>722</v>
      </c>
      <c r="E24" s="882">
        <v>58752899.030000001</v>
      </c>
      <c r="F24" s="967">
        <f t="shared" si="1"/>
        <v>0.14555845312281379</v>
      </c>
      <c r="G24" s="251"/>
      <c r="H24" s="251"/>
    </row>
    <row r="25" spans="1:8">
      <c r="A25" s="2">
        <f t="shared" si="0"/>
        <v>18</v>
      </c>
      <c r="B25" s="93">
        <v>359</v>
      </c>
      <c r="C25" s="104">
        <v>246891224</v>
      </c>
      <c r="D25" s="286" t="s">
        <v>723</v>
      </c>
      <c r="E25" s="883">
        <v>223182876.32139951</v>
      </c>
      <c r="F25" s="105">
        <f t="shared" si="1"/>
        <v>0.9039724973026968</v>
      </c>
      <c r="G25" s="251"/>
      <c r="H25" s="251"/>
    </row>
    <row r="26" spans="1:8">
      <c r="A26" s="2">
        <f t="shared" si="0"/>
        <v>19</v>
      </c>
      <c r="B26" s="95" t="s">
        <v>724</v>
      </c>
      <c r="C26" s="965">
        <f>SUM(C20:C25)</f>
        <v>7598528937</v>
      </c>
      <c r="D26" s="968" t="str">
        <f>"Sum L"&amp;A20&amp;" to L"&amp;A25&amp;""</f>
        <v>Sum L13 to L18</v>
      </c>
      <c r="E26" s="965">
        <f>SUM(E20:E25)</f>
        <v>5109953333.8658752</v>
      </c>
      <c r="F26" s="964">
        <f t="shared" si="1"/>
        <v>0.67249244902966077</v>
      </c>
      <c r="G26" s="251"/>
    </row>
    <row r="27" spans="1:8">
      <c r="A27" s="2">
        <f t="shared" si="0"/>
        <v>20</v>
      </c>
      <c r="B27" s="106"/>
      <c r="C27" s="965"/>
      <c r="D27" s="965"/>
      <c r="E27" s="965"/>
      <c r="F27" s="964"/>
      <c r="G27" s="251"/>
    </row>
    <row r="28" spans="1:8">
      <c r="A28" s="2">
        <f t="shared" si="0"/>
        <v>21</v>
      </c>
      <c r="B28" s="107" t="s">
        <v>725</v>
      </c>
      <c r="C28" s="89">
        <f>C17+C26</f>
        <v>16531780552</v>
      </c>
      <c r="D28" s="250" t="str">
        <f>"L "&amp;A17&amp;" + L "&amp;A26&amp;""</f>
        <v>L 10 + L 19</v>
      </c>
      <c r="E28" s="89">
        <f>E17+E26</f>
        <v>10351699667.555773</v>
      </c>
      <c r="F28" s="90">
        <f>E28/C28</f>
        <v>0.62616967573425919</v>
      </c>
      <c r="G28" s="251" t="s">
        <v>144</v>
      </c>
    </row>
    <row r="29" spans="1:8">
      <c r="A29" s="2"/>
      <c r="B29" s="71"/>
      <c r="C29" s="68"/>
      <c r="D29" s="68"/>
      <c r="E29" s="68"/>
      <c r="F29" s="70"/>
    </row>
    <row r="30" spans="1:8">
      <c r="A30" s="2"/>
      <c r="B30" s="69"/>
      <c r="E30" s="317"/>
    </row>
    <row r="31" spans="1:8">
      <c r="A31" s="92" t="s">
        <v>726</v>
      </c>
    </row>
    <row r="32" spans="1:8">
      <c r="A32" s="2"/>
      <c r="B32" s="74"/>
    </row>
    <row r="33" spans="1:9">
      <c r="A33" s="30" t="s">
        <v>273</v>
      </c>
      <c r="B33" s="92"/>
      <c r="C33" s="98" t="s">
        <v>249</v>
      </c>
      <c r="D33" s="98"/>
      <c r="E33" s="98" t="s">
        <v>418</v>
      </c>
      <c r="F33" s="98" t="s">
        <v>705</v>
      </c>
    </row>
    <row r="34" spans="1:9">
      <c r="A34" s="2">
        <f>A28+1</f>
        <v>22</v>
      </c>
      <c r="B34" s="91" t="s">
        <v>706</v>
      </c>
      <c r="C34" s="91" t="s">
        <v>660</v>
      </c>
      <c r="D34" s="91" t="s">
        <v>707</v>
      </c>
      <c r="E34" s="91" t="s">
        <v>708</v>
      </c>
      <c r="F34" s="91" t="s">
        <v>709</v>
      </c>
    </row>
    <row r="35" spans="1:9">
      <c r="A35" s="2">
        <f t="shared" ref="A35:A42" si="2">A34+1</f>
        <v>23</v>
      </c>
      <c r="B35" s="92" t="s">
        <v>727</v>
      </c>
      <c r="C35" s="68"/>
      <c r="D35" s="68"/>
      <c r="E35" s="68"/>
      <c r="F35" s="70"/>
    </row>
    <row r="36" spans="1:9">
      <c r="A36" s="2">
        <f t="shared" si="2"/>
        <v>24</v>
      </c>
      <c r="B36" s="93">
        <v>360</v>
      </c>
      <c r="C36" s="406">
        <v>130224350</v>
      </c>
      <c r="D36" s="286" t="s">
        <v>728</v>
      </c>
      <c r="E36" s="536">
        <v>0</v>
      </c>
      <c r="F36" s="964">
        <f>E36/C36</f>
        <v>0</v>
      </c>
      <c r="H36" s="251"/>
    </row>
    <row r="37" spans="1:9">
      <c r="A37" s="2">
        <f t="shared" si="2"/>
        <v>25</v>
      </c>
      <c r="B37" s="94" t="s">
        <v>729</v>
      </c>
      <c r="C37" s="965"/>
      <c r="D37" s="965"/>
      <c r="E37" s="965"/>
      <c r="F37" s="964"/>
    </row>
    <row r="38" spans="1:9">
      <c r="A38" s="2">
        <f t="shared" si="2"/>
        <v>26</v>
      </c>
      <c r="B38" s="93">
        <v>361</v>
      </c>
      <c r="C38" s="406">
        <v>903343848</v>
      </c>
      <c r="D38" s="286" t="s">
        <v>730</v>
      </c>
      <c r="E38" s="406">
        <v>0</v>
      </c>
      <c r="F38" s="964">
        <f>E38/C38</f>
        <v>0</v>
      </c>
      <c r="H38" s="251"/>
    </row>
    <row r="39" spans="1:9">
      <c r="A39" s="2">
        <f t="shared" si="2"/>
        <v>27</v>
      </c>
      <c r="B39" s="93">
        <v>362</v>
      </c>
      <c r="C39" s="87">
        <v>3278542591</v>
      </c>
      <c r="D39" s="286" t="s">
        <v>731</v>
      </c>
      <c r="E39" s="87">
        <v>0</v>
      </c>
      <c r="F39" s="88">
        <f>E39/C39</f>
        <v>0</v>
      </c>
      <c r="H39" s="251"/>
    </row>
    <row r="40" spans="1:9">
      <c r="A40" s="2">
        <f t="shared" si="2"/>
        <v>28</v>
      </c>
      <c r="B40" s="95" t="s">
        <v>732</v>
      </c>
      <c r="C40" s="965">
        <f>SUM(C38:C39)</f>
        <v>4181886439</v>
      </c>
      <c r="D40" s="250" t="str">
        <f>"L "&amp;A38&amp;" + L "&amp;A39&amp;""</f>
        <v>L 26 + L 27</v>
      </c>
      <c r="E40" s="965">
        <f>SUM(E38:E39)</f>
        <v>0</v>
      </c>
      <c r="F40" s="964">
        <f>E40/C40</f>
        <v>0</v>
      </c>
    </row>
    <row r="41" spans="1:9">
      <c r="A41" s="2">
        <f t="shared" si="2"/>
        <v>29</v>
      </c>
      <c r="B41" s="96"/>
      <c r="C41" s="78"/>
      <c r="D41" s="965"/>
      <c r="E41" s="965"/>
      <c r="F41" s="964"/>
    </row>
    <row r="42" spans="1:9">
      <c r="A42" s="2">
        <f t="shared" si="2"/>
        <v>30</v>
      </c>
      <c r="B42" s="97" t="s">
        <v>733</v>
      </c>
      <c r="C42" s="89">
        <f>C36+C40</f>
        <v>4312110789</v>
      </c>
      <c r="D42" s="250" t="str">
        <f>"L "&amp;A36&amp;" + L "&amp;A40&amp;""</f>
        <v>L 24 + L 28</v>
      </c>
      <c r="E42" s="89">
        <f>E36+E40</f>
        <v>0</v>
      </c>
      <c r="F42" s="90">
        <f>E42/C42</f>
        <v>0</v>
      </c>
      <c r="G42" s="251" t="s">
        <v>165</v>
      </c>
      <c r="H42" s="251"/>
    </row>
    <row r="43" spans="1:9">
      <c r="A43" s="2"/>
      <c r="B43" s="75"/>
      <c r="C43" s="76"/>
      <c r="D43" s="76"/>
      <c r="E43" s="76"/>
      <c r="F43" s="77"/>
      <c r="H43" s="637"/>
      <c r="I43" s="251"/>
    </row>
    <row r="44" spans="1:9">
      <c r="A44" s="37"/>
      <c r="E44" s="72"/>
    </row>
    <row r="45" spans="1:9">
      <c r="A45" s="47" t="s">
        <v>228</v>
      </c>
    </row>
    <row r="46" spans="1:9">
      <c r="A46" s="250" t="s">
        <v>734</v>
      </c>
      <c r="E46" s="72"/>
    </row>
    <row r="47" spans="1:9">
      <c r="A47" s="250" t="s">
        <v>735</v>
      </c>
    </row>
    <row r="48" spans="1:9">
      <c r="A48" s="250" t="s">
        <v>736</v>
      </c>
      <c r="C48" s="72"/>
      <c r="D48" s="72"/>
    </row>
    <row r="49" spans="1:4">
      <c r="A49" s="250" t="s">
        <v>737</v>
      </c>
      <c r="C49" s="73"/>
      <c r="D49" s="73"/>
    </row>
    <row r="50" spans="1:4">
      <c r="A50" s="37"/>
      <c r="C50" s="72"/>
      <c r="D50" s="72"/>
    </row>
    <row r="51" spans="1:4">
      <c r="A51" s="47" t="s">
        <v>433</v>
      </c>
    </row>
    <row r="52" spans="1:4">
      <c r="A52" s="250" t="s">
        <v>738</v>
      </c>
    </row>
    <row r="53" spans="1:4">
      <c r="A53" s="250" t="s">
        <v>739</v>
      </c>
    </row>
    <row r="54" spans="1:4">
      <c r="A54" s="250" t="s">
        <v>740</v>
      </c>
    </row>
  </sheetData>
  <pageMargins left="0.7" right="0.7" top="0.75" bottom="0.75" header="0.3" footer="0.3"/>
  <pageSetup scale="90" orientation="portrait" cellComments="asDisplayed" r:id="rId1"/>
  <headerFooter>
    <oddHeader>&amp;CSchedule 7
Transmission Plant Study Summary
&amp;RTO2023 Draft Annual Update 
Attachment 1</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54"/>
  <sheetViews>
    <sheetView zoomScaleNormal="100" zoomScalePageLayoutView="60" workbookViewId="0"/>
  </sheetViews>
  <sheetFormatPr defaultColWidth="8.54296875" defaultRowHeight="12.5"/>
  <cols>
    <col min="1" max="1" width="4.54296875" customWidth="1"/>
    <col min="2" max="2" width="7.54296875" customWidth="1"/>
    <col min="3" max="3" width="10.54296875" customWidth="1"/>
    <col min="4" max="4" width="13.54296875" customWidth="1"/>
    <col min="5" max="6" width="14.54296875" customWidth="1"/>
    <col min="7" max="10" width="13.54296875" customWidth="1"/>
    <col min="11" max="12" width="11.54296875" customWidth="1"/>
    <col min="13" max="13" width="13.54296875" customWidth="1"/>
    <col min="14" max="14" width="14.54296875" customWidth="1"/>
    <col min="15" max="15" width="13.54296875" customWidth="1"/>
  </cols>
  <sheetData>
    <row r="1" spans="1:18" ht="13">
      <c r="A1" s="47" t="s">
        <v>118</v>
      </c>
      <c r="B1" s="1"/>
      <c r="C1" s="117"/>
      <c r="D1" s="117"/>
      <c r="E1" s="117"/>
      <c r="F1" s="117"/>
      <c r="G1" s="117"/>
      <c r="H1" s="117"/>
      <c r="I1" s="117"/>
      <c r="J1" s="277" t="s">
        <v>701</v>
      </c>
      <c r="K1" s="108"/>
      <c r="L1" s="117"/>
      <c r="M1" s="117"/>
      <c r="N1" s="117"/>
      <c r="O1" s="117"/>
      <c r="P1" s="117"/>
      <c r="Q1" s="117"/>
      <c r="R1" s="117"/>
    </row>
    <row r="2" spans="1:18" ht="13">
      <c r="A2" s="117"/>
      <c r="B2" s="117"/>
      <c r="C2" s="719" t="s">
        <v>195</v>
      </c>
      <c r="D2" s="277" t="s">
        <v>637</v>
      </c>
      <c r="E2" s="210"/>
      <c r="F2" s="117"/>
      <c r="G2" s="117"/>
      <c r="H2" s="117"/>
      <c r="I2" s="117"/>
      <c r="L2" s="117"/>
      <c r="M2" s="117"/>
      <c r="N2" s="117"/>
      <c r="O2" s="117"/>
      <c r="P2" s="117"/>
      <c r="Q2" s="117"/>
      <c r="R2" s="117"/>
    </row>
    <row r="3" spans="1:18" ht="13">
      <c r="A3" s="117"/>
      <c r="B3" s="1" t="s">
        <v>741</v>
      </c>
      <c r="C3" s="117"/>
      <c r="D3" s="117"/>
      <c r="E3" s="117"/>
      <c r="F3" s="117"/>
      <c r="G3" s="118" t="s">
        <v>641</v>
      </c>
      <c r="H3" s="897">
        <v>2021</v>
      </c>
      <c r="I3" s="117"/>
      <c r="J3" s="117"/>
      <c r="K3" s="117"/>
      <c r="L3" s="117"/>
      <c r="M3" s="117"/>
      <c r="N3" s="117"/>
      <c r="O3" s="117"/>
      <c r="P3" s="117"/>
      <c r="Q3" s="117"/>
      <c r="R3" s="117"/>
    </row>
    <row r="4" spans="1:18">
      <c r="A4" s="117"/>
      <c r="B4" s="117"/>
      <c r="C4" s="117"/>
      <c r="D4" s="117"/>
      <c r="E4" s="117"/>
      <c r="F4" s="117"/>
      <c r="G4" s="117"/>
      <c r="H4" s="117"/>
      <c r="I4" s="117"/>
      <c r="J4" s="117"/>
      <c r="K4" s="117"/>
      <c r="L4" s="117"/>
      <c r="M4" s="117"/>
      <c r="N4" s="117"/>
      <c r="O4" s="117"/>
      <c r="P4" s="117"/>
      <c r="Q4" s="117"/>
      <c r="R4" s="117"/>
    </row>
    <row r="5" spans="1:18">
      <c r="A5" s="117"/>
      <c r="B5" s="117"/>
      <c r="C5" s="251" t="s">
        <v>742</v>
      </c>
      <c r="D5" s="117"/>
      <c r="E5" s="117"/>
      <c r="F5" s="117"/>
      <c r="G5" s="117"/>
      <c r="H5" s="117"/>
      <c r="I5" s="117"/>
      <c r="J5" s="251"/>
      <c r="K5" s="117"/>
      <c r="L5" s="117"/>
      <c r="M5" s="117"/>
      <c r="N5" s="117"/>
      <c r="O5" s="117"/>
      <c r="P5" s="117"/>
      <c r="Q5" s="117"/>
      <c r="R5" s="117"/>
    </row>
    <row r="6" spans="1:18">
      <c r="A6" s="117"/>
      <c r="B6" s="117"/>
      <c r="C6" s="117"/>
      <c r="D6" s="117"/>
      <c r="E6" s="117"/>
      <c r="F6" s="117"/>
      <c r="G6" s="117"/>
      <c r="H6" s="117"/>
      <c r="I6" s="117"/>
      <c r="J6" s="117"/>
      <c r="K6" s="117"/>
      <c r="L6" s="117"/>
      <c r="M6" s="117"/>
      <c r="N6" s="117"/>
      <c r="O6" s="117"/>
      <c r="P6" s="117"/>
      <c r="Q6" s="117"/>
      <c r="R6" s="117"/>
    </row>
    <row r="7" spans="1:18" ht="13">
      <c r="A7" s="117"/>
      <c r="B7" s="117"/>
      <c r="C7" s="48" t="s">
        <v>336</v>
      </c>
      <c r="D7" s="48" t="s">
        <v>337</v>
      </c>
      <c r="E7" s="48" t="s">
        <v>338</v>
      </c>
      <c r="F7" s="48" t="s">
        <v>339</v>
      </c>
      <c r="G7" s="48" t="s">
        <v>340</v>
      </c>
      <c r="H7" s="48" t="s">
        <v>341</v>
      </c>
      <c r="I7" s="48" t="s">
        <v>342</v>
      </c>
      <c r="J7" s="48" t="s">
        <v>343</v>
      </c>
      <c r="K7" s="48" t="s">
        <v>344</v>
      </c>
      <c r="L7" s="48" t="s">
        <v>589</v>
      </c>
      <c r="M7" s="48" t="s">
        <v>590</v>
      </c>
      <c r="N7" s="48" t="s">
        <v>591</v>
      </c>
      <c r="O7" s="117"/>
      <c r="P7" s="117"/>
      <c r="Q7" s="117"/>
      <c r="R7" s="117"/>
    </row>
    <row r="8" spans="1:18">
      <c r="A8" s="117"/>
      <c r="B8" s="117"/>
      <c r="C8" s="131"/>
      <c r="D8" s="117"/>
      <c r="E8" s="117"/>
      <c r="F8" s="117"/>
      <c r="G8" s="117"/>
      <c r="H8" s="117"/>
      <c r="I8" s="117"/>
      <c r="J8" s="117"/>
      <c r="K8" s="117"/>
      <c r="L8" s="117"/>
      <c r="M8" s="117"/>
      <c r="N8" s="243" t="s">
        <v>743</v>
      </c>
      <c r="O8" s="117"/>
      <c r="P8" s="117"/>
      <c r="Q8" s="117"/>
      <c r="R8" s="117"/>
    </row>
    <row r="9" spans="1:18" ht="13">
      <c r="A9" s="117"/>
      <c r="B9" s="117"/>
      <c r="C9" s="120"/>
      <c r="D9" s="261" t="s">
        <v>244</v>
      </c>
      <c r="E9" s="117"/>
      <c r="F9" s="117"/>
      <c r="G9" s="117"/>
      <c r="H9" s="117"/>
      <c r="I9" s="117"/>
      <c r="J9" s="117"/>
      <c r="K9" s="117"/>
      <c r="L9" s="117"/>
      <c r="M9" s="117"/>
      <c r="N9" s="117"/>
      <c r="O9" s="117"/>
      <c r="P9" s="117"/>
      <c r="Q9" s="117"/>
      <c r="R9" s="117"/>
    </row>
    <row r="10" spans="1:18" ht="13">
      <c r="A10" s="117"/>
      <c r="B10" s="117"/>
      <c r="C10" s="2"/>
      <c r="D10" s="261" t="s">
        <v>744</v>
      </c>
      <c r="E10" s="117"/>
      <c r="F10" s="117"/>
      <c r="G10" s="117"/>
      <c r="H10" s="117"/>
      <c r="I10" s="117"/>
      <c r="J10" s="117"/>
      <c r="K10" s="117"/>
      <c r="L10" s="117"/>
      <c r="M10" s="117"/>
      <c r="N10" s="117"/>
      <c r="O10" s="117"/>
      <c r="P10" s="117"/>
      <c r="Q10" s="117"/>
      <c r="R10" s="117"/>
    </row>
    <row r="11" spans="1:18" ht="12.75" customHeight="1">
      <c r="A11" s="30" t="s">
        <v>273</v>
      </c>
      <c r="B11" s="30"/>
      <c r="C11" s="3" t="s">
        <v>643</v>
      </c>
      <c r="D11" s="48">
        <v>350.1</v>
      </c>
      <c r="E11" s="48">
        <v>350.2</v>
      </c>
      <c r="F11" s="48">
        <v>352</v>
      </c>
      <c r="G11" s="48">
        <v>353</v>
      </c>
      <c r="H11" s="48">
        <v>354</v>
      </c>
      <c r="I11" s="48">
        <v>355</v>
      </c>
      <c r="J11" s="48">
        <v>356</v>
      </c>
      <c r="K11" s="48">
        <v>357</v>
      </c>
      <c r="L11" s="48">
        <v>358</v>
      </c>
      <c r="M11" s="48">
        <v>359</v>
      </c>
      <c r="N11" s="3" t="s">
        <v>249</v>
      </c>
      <c r="O11" s="117"/>
      <c r="P11" s="117"/>
      <c r="Q11" s="117"/>
      <c r="R11" s="117"/>
    </row>
    <row r="12" spans="1:18" ht="12.75" customHeight="1">
      <c r="A12" s="2">
        <v>1</v>
      </c>
      <c r="B12" s="2"/>
      <c r="C12" s="532" t="s">
        <v>644</v>
      </c>
      <c r="D12" s="271">
        <v>0</v>
      </c>
      <c r="E12" s="271">
        <v>28880389</v>
      </c>
      <c r="F12" s="271">
        <v>134475287</v>
      </c>
      <c r="G12" s="271">
        <v>653865733</v>
      </c>
      <c r="H12" s="271">
        <v>620983160</v>
      </c>
      <c r="I12" s="271">
        <v>54390209</v>
      </c>
      <c r="J12" s="271">
        <v>479315985</v>
      </c>
      <c r="K12" s="271">
        <v>13325809</v>
      </c>
      <c r="L12" s="271">
        <v>18127407</v>
      </c>
      <c r="M12" s="271">
        <v>25770801</v>
      </c>
      <c r="N12" s="119">
        <f t="shared" ref="N12:N24" si="0">SUM(D12:M12)</f>
        <v>2029134780</v>
      </c>
      <c r="O12" s="117"/>
      <c r="P12" s="117"/>
      <c r="Q12" s="117"/>
      <c r="R12" s="117"/>
    </row>
    <row r="13" spans="1:18" ht="12.75" customHeight="1">
      <c r="A13" s="2">
        <f>A12+1</f>
        <v>2</v>
      </c>
      <c r="B13" s="2"/>
      <c r="C13" s="408" t="s">
        <v>2931</v>
      </c>
      <c r="D13" s="119">
        <f>D12+D70+D119</f>
        <v>0</v>
      </c>
      <c r="E13" s="119">
        <f>E12+E70+E119</f>
        <v>29111399.434909537</v>
      </c>
      <c r="F13" s="119">
        <f t="shared" ref="F13:M23" si="1">F12+F70+F119</f>
        <v>136127549.83009663</v>
      </c>
      <c r="G13" s="119">
        <f t="shared" si="1"/>
        <v>661558925.73669016</v>
      </c>
      <c r="H13" s="119">
        <f t="shared" si="1"/>
        <v>626176625.49006641</v>
      </c>
      <c r="I13" s="119">
        <f t="shared" si="1"/>
        <v>55293348.489795528</v>
      </c>
      <c r="J13" s="119">
        <f t="shared" si="1"/>
        <v>478640862.42989236</v>
      </c>
      <c r="K13" s="119">
        <f t="shared" si="1"/>
        <v>13625488.215711519</v>
      </c>
      <c r="L13" s="119">
        <f t="shared" si="1"/>
        <v>18353977.421938978</v>
      </c>
      <c r="M13" s="119">
        <f t="shared" si="1"/>
        <v>26091798.981365953</v>
      </c>
      <c r="N13" s="119">
        <f t="shared" si="0"/>
        <v>2044979976.0304668</v>
      </c>
      <c r="O13" s="117"/>
      <c r="P13" s="117"/>
      <c r="Q13" s="117"/>
      <c r="R13" s="117"/>
    </row>
    <row r="14" spans="1:18" ht="12.75" customHeight="1">
      <c r="A14" s="2">
        <f t="shared" ref="A14:A25" si="2">A13+1</f>
        <v>3</v>
      </c>
      <c r="B14" s="2"/>
      <c r="C14" s="408" t="s">
        <v>2932</v>
      </c>
      <c r="D14" s="119">
        <f t="shared" ref="D14:E23" si="3">D13+D71+D120</f>
        <v>0</v>
      </c>
      <c r="E14" s="119">
        <f t="shared" si="3"/>
        <v>29341515.13274369</v>
      </c>
      <c r="F14" s="119">
        <f t="shared" si="1"/>
        <v>137741633.53395471</v>
      </c>
      <c r="G14" s="119">
        <f t="shared" si="1"/>
        <v>666973084.71535277</v>
      </c>
      <c r="H14" s="119">
        <f t="shared" si="1"/>
        <v>631551789.46408725</v>
      </c>
      <c r="I14" s="119">
        <f t="shared" si="1"/>
        <v>55319696.256274357</v>
      </c>
      <c r="J14" s="119">
        <f t="shared" si="1"/>
        <v>482589686.71418762</v>
      </c>
      <c r="K14" s="119">
        <f t="shared" si="1"/>
        <v>13933664.713682435</v>
      </c>
      <c r="L14" s="119">
        <f t="shared" si="1"/>
        <v>18778812.981415421</v>
      </c>
      <c r="M14" s="119">
        <f t="shared" si="1"/>
        <v>26276695.080526982</v>
      </c>
      <c r="N14" s="119">
        <f t="shared" si="0"/>
        <v>2062506578.5922256</v>
      </c>
      <c r="O14" s="117"/>
      <c r="P14" s="117"/>
      <c r="Q14" s="117"/>
      <c r="R14" s="117"/>
    </row>
    <row r="15" spans="1:18" ht="12.75" customHeight="1">
      <c r="A15" s="2">
        <f t="shared" si="2"/>
        <v>4</v>
      </c>
      <c r="B15" s="2"/>
      <c r="C15" s="408" t="s">
        <v>2933</v>
      </c>
      <c r="D15" s="119">
        <f t="shared" si="3"/>
        <v>0</v>
      </c>
      <c r="E15" s="119">
        <f t="shared" si="3"/>
        <v>29572240.940457758</v>
      </c>
      <c r="F15" s="119">
        <f t="shared" si="1"/>
        <v>139405918.40477541</v>
      </c>
      <c r="G15" s="119">
        <f t="shared" si="1"/>
        <v>672893127.70665276</v>
      </c>
      <c r="H15" s="119">
        <f t="shared" si="1"/>
        <v>636889502.23794234</v>
      </c>
      <c r="I15" s="119">
        <f t="shared" si="1"/>
        <v>55673463.663187496</v>
      </c>
      <c r="J15" s="119">
        <f t="shared" si="1"/>
        <v>486401124.60707897</v>
      </c>
      <c r="K15" s="119">
        <f t="shared" si="1"/>
        <v>14229335.047339052</v>
      </c>
      <c r="L15" s="119">
        <f t="shared" si="1"/>
        <v>18996519.248998336</v>
      </c>
      <c r="M15" s="119">
        <f t="shared" si="1"/>
        <v>26523775.483838048</v>
      </c>
      <c r="N15" s="119">
        <f t="shared" si="0"/>
        <v>2080585007.3402703</v>
      </c>
      <c r="O15" s="117"/>
      <c r="P15" s="117"/>
      <c r="Q15" s="117"/>
      <c r="R15" s="117"/>
    </row>
    <row r="16" spans="1:18" ht="12.75" customHeight="1">
      <c r="A16" s="2">
        <f t="shared" si="2"/>
        <v>5</v>
      </c>
      <c r="B16" s="2"/>
      <c r="C16" s="408" t="s">
        <v>2934</v>
      </c>
      <c r="D16" s="119">
        <f t="shared" si="3"/>
        <v>0</v>
      </c>
      <c r="E16" s="119">
        <f t="shared" si="3"/>
        <v>29803699.750680894</v>
      </c>
      <c r="F16" s="119">
        <f t="shared" si="1"/>
        <v>141111661.73635763</v>
      </c>
      <c r="G16" s="119">
        <f t="shared" si="1"/>
        <v>677386301.36323571</v>
      </c>
      <c r="H16" s="119">
        <f t="shared" si="1"/>
        <v>642607847.13644016</v>
      </c>
      <c r="I16" s="119">
        <f t="shared" si="1"/>
        <v>53384961.082547195</v>
      </c>
      <c r="J16" s="119">
        <f t="shared" si="1"/>
        <v>491550884.01798594</v>
      </c>
      <c r="K16" s="119">
        <f t="shared" si="1"/>
        <v>14526674.1989612</v>
      </c>
      <c r="L16" s="119">
        <f t="shared" si="1"/>
        <v>19282643.378493767</v>
      </c>
      <c r="M16" s="119">
        <f t="shared" si="1"/>
        <v>26493466.662493188</v>
      </c>
      <c r="N16" s="119">
        <f t="shared" si="0"/>
        <v>2096148139.3271956</v>
      </c>
      <c r="O16" s="117"/>
      <c r="P16" s="117"/>
      <c r="Q16" s="117"/>
      <c r="R16" s="117"/>
    </row>
    <row r="17" spans="1:18" ht="12.75" customHeight="1">
      <c r="A17" s="2">
        <f t="shared" si="2"/>
        <v>6</v>
      </c>
      <c r="B17" s="2"/>
      <c r="C17" s="408" t="s">
        <v>2935</v>
      </c>
      <c r="D17" s="119">
        <f t="shared" si="3"/>
        <v>0</v>
      </c>
      <c r="E17" s="119">
        <f t="shared" si="3"/>
        <v>30035150.600606486</v>
      </c>
      <c r="F17" s="119">
        <f t="shared" si="1"/>
        <v>142798086.8690798</v>
      </c>
      <c r="G17" s="119">
        <f t="shared" si="1"/>
        <v>682416260.22061348</v>
      </c>
      <c r="H17" s="119">
        <f t="shared" si="1"/>
        <v>645564053.4058491</v>
      </c>
      <c r="I17" s="119">
        <f t="shared" si="1"/>
        <v>52314493.951109953</v>
      </c>
      <c r="J17" s="119">
        <f t="shared" si="1"/>
        <v>494252347.952272</v>
      </c>
      <c r="K17" s="119">
        <f t="shared" si="1"/>
        <v>14795255.379018508</v>
      </c>
      <c r="L17" s="119">
        <f t="shared" si="1"/>
        <v>19348037.770419508</v>
      </c>
      <c r="M17" s="119">
        <f t="shared" si="1"/>
        <v>26822691.437556073</v>
      </c>
      <c r="N17" s="119">
        <f t="shared" si="0"/>
        <v>2108346377.586525</v>
      </c>
      <c r="O17" s="117"/>
      <c r="P17" s="117"/>
      <c r="Q17" s="117"/>
      <c r="R17" s="117"/>
    </row>
    <row r="18" spans="1:18" ht="12.75" customHeight="1">
      <c r="A18" s="2">
        <f t="shared" si="2"/>
        <v>7</v>
      </c>
      <c r="B18" s="2"/>
      <c r="C18" s="408" t="s">
        <v>2936</v>
      </c>
      <c r="D18" s="119">
        <f t="shared" si="3"/>
        <v>0</v>
      </c>
      <c r="E18" s="119">
        <f t="shared" si="3"/>
        <v>30266600.410163686</v>
      </c>
      <c r="F18" s="119">
        <f t="shared" si="1"/>
        <v>144366483.80767995</v>
      </c>
      <c r="G18" s="119">
        <f t="shared" si="1"/>
        <v>688979663.00979412</v>
      </c>
      <c r="H18" s="119">
        <f t="shared" si="1"/>
        <v>651235319.59528577</v>
      </c>
      <c r="I18" s="119">
        <f t="shared" si="1"/>
        <v>52976542.243874781</v>
      </c>
      <c r="J18" s="119">
        <f t="shared" si="1"/>
        <v>497695537.86959344</v>
      </c>
      <c r="K18" s="119">
        <f t="shared" si="1"/>
        <v>15086919.564033905</v>
      </c>
      <c r="L18" s="119">
        <f t="shared" si="1"/>
        <v>19925675.385005392</v>
      </c>
      <c r="M18" s="119">
        <f t="shared" si="1"/>
        <v>27175785.762242917</v>
      </c>
      <c r="N18" s="119">
        <f t="shared" si="0"/>
        <v>2127708527.6476743</v>
      </c>
      <c r="O18" s="117"/>
      <c r="P18" s="117"/>
      <c r="Q18" s="117"/>
      <c r="R18" s="117"/>
    </row>
    <row r="19" spans="1:18" ht="12.75" customHeight="1">
      <c r="A19" s="2">
        <f t="shared" si="2"/>
        <v>8</v>
      </c>
      <c r="B19" s="2"/>
      <c r="C19" s="408" t="s">
        <v>2937</v>
      </c>
      <c r="D19" s="119">
        <f t="shared" si="3"/>
        <v>0</v>
      </c>
      <c r="E19" s="119">
        <f t="shared" si="3"/>
        <v>30498214.072594628</v>
      </c>
      <c r="F19" s="119">
        <f t="shared" si="1"/>
        <v>146068675.8159731</v>
      </c>
      <c r="G19" s="119">
        <f t="shared" si="1"/>
        <v>695531909.90333796</v>
      </c>
      <c r="H19" s="119">
        <f t="shared" si="1"/>
        <v>656742196.27137148</v>
      </c>
      <c r="I19" s="119">
        <f t="shared" si="1"/>
        <v>53927608.622281268</v>
      </c>
      <c r="J19" s="119">
        <f t="shared" si="1"/>
        <v>502017396.82921159</v>
      </c>
      <c r="K19" s="119">
        <f t="shared" si="1"/>
        <v>15217148.745504988</v>
      </c>
      <c r="L19" s="119">
        <f t="shared" si="1"/>
        <v>20584999.240484968</v>
      </c>
      <c r="M19" s="119">
        <f t="shared" si="1"/>
        <v>27523147.306056023</v>
      </c>
      <c r="N19" s="119">
        <f t="shared" si="0"/>
        <v>2148111296.8068161</v>
      </c>
      <c r="O19" s="117"/>
      <c r="P19" s="117"/>
      <c r="Q19" s="117"/>
      <c r="R19" s="117"/>
    </row>
    <row r="20" spans="1:18" ht="12.75" customHeight="1">
      <c r="A20" s="2">
        <f t="shared" si="2"/>
        <v>9</v>
      </c>
      <c r="B20" s="2"/>
      <c r="C20" s="408" t="s">
        <v>2938</v>
      </c>
      <c r="D20" s="119">
        <f t="shared" si="3"/>
        <v>0</v>
      </c>
      <c r="E20" s="119">
        <f t="shared" si="3"/>
        <v>30697445.171221152</v>
      </c>
      <c r="F20" s="119">
        <f t="shared" si="1"/>
        <v>147825968.87522271</v>
      </c>
      <c r="G20" s="119">
        <f t="shared" si="1"/>
        <v>703614267.0942899</v>
      </c>
      <c r="H20" s="119">
        <f t="shared" si="1"/>
        <v>661531108.67402565</v>
      </c>
      <c r="I20" s="119">
        <f t="shared" si="1"/>
        <v>55742090.82676442</v>
      </c>
      <c r="J20" s="119">
        <f t="shared" si="1"/>
        <v>505759075.98945874</v>
      </c>
      <c r="K20" s="119">
        <f t="shared" si="1"/>
        <v>15512513.935690597</v>
      </c>
      <c r="L20" s="119">
        <f t="shared" si="1"/>
        <v>20837541.087627456</v>
      </c>
      <c r="M20" s="119">
        <f t="shared" si="1"/>
        <v>27804341.339956444</v>
      </c>
      <c r="N20" s="119">
        <f t="shared" si="0"/>
        <v>2169324352.994257</v>
      </c>
      <c r="O20" s="117"/>
      <c r="P20" s="117"/>
      <c r="Q20" s="117"/>
      <c r="R20" s="117"/>
    </row>
    <row r="21" spans="1:18" ht="12.75" customHeight="1">
      <c r="A21" s="2">
        <f t="shared" si="2"/>
        <v>10</v>
      </c>
      <c r="B21" s="2"/>
      <c r="C21" s="408" t="s">
        <v>2939</v>
      </c>
      <c r="D21" s="119">
        <f t="shared" si="3"/>
        <v>0</v>
      </c>
      <c r="E21" s="119">
        <f t="shared" si="3"/>
        <v>30940012.389657829</v>
      </c>
      <c r="F21" s="119">
        <f t="shared" si="1"/>
        <v>149481490.0289616</v>
      </c>
      <c r="G21" s="119">
        <f t="shared" si="1"/>
        <v>711479655.13200104</v>
      </c>
      <c r="H21" s="119">
        <f t="shared" si="1"/>
        <v>666562119.52316546</v>
      </c>
      <c r="I21" s="119">
        <f t="shared" si="1"/>
        <v>56042299.933330335</v>
      </c>
      <c r="J21" s="119">
        <f t="shared" si="1"/>
        <v>509788060.31776959</v>
      </c>
      <c r="K21" s="119">
        <f t="shared" si="1"/>
        <v>15679613.824444607</v>
      </c>
      <c r="L21" s="119">
        <f t="shared" si="1"/>
        <v>20700424.275675457</v>
      </c>
      <c r="M21" s="119">
        <f t="shared" si="1"/>
        <v>28100790.659914277</v>
      </c>
      <c r="N21" s="119">
        <f t="shared" si="0"/>
        <v>2188774466.0849199</v>
      </c>
      <c r="O21" s="117"/>
      <c r="P21" s="117"/>
      <c r="Q21" s="117"/>
      <c r="R21" s="117"/>
    </row>
    <row r="22" spans="1:18" ht="12.75" customHeight="1">
      <c r="A22" s="2">
        <f t="shared" si="2"/>
        <v>11</v>
      </c>
      <c r="B22" s="2"/>
      <c r="C22" s="408" t="s">
        <v>2940</v>
      </c>
      <c r="D22" s="119">
        <f t="shared" si="3"/>
        <v>0</v>
      </c>
      <c r="E22" s="119">
        <f t="shared" si="3"/>
        <v>31181264.342405427</v>
      </c>
      <c r="F22" s="119">
        <f t="shared" si="1"/>
        <v>150904031.56010637</v>
      </c>
      <c r="G22" s="119">
        <f t="shared" si="1"/>
        <v>719057534.37445664</v>
      </c>
      <c r="H22" s="119">
        <f t="shared" si="1"/>
        <v>671656171.06992447</v>
      </c>
      <c r="I22" s="119">
        <f t="shared" si="1"/>
        <v>56259064.481236547</v>
      </c>
      <c r="J22" s="119">
        <f t="shared" si="1"/>
        <v>513858241.49959081</v>
      </c>
      <c r="K22" s="119">
        <f t="shared" si="1"/>
        <v>16002935.703237629</v>
      </c>
      <c r="L22" s="119">
        <f t="shared" si="1"/>
        <v>20785801.980536729</v>
      </c>
      <c r="M22" s="119">
        <f t="shared" si="1"/>
        <v>28390218.413393218</v>
      </c>
      <c r="N22" s="119">
        <f t="shared" si="0"/>
        <v>2208095263.4248877</v>
      </c>
      <c r="O22" s="117"/>
      <c r="P22" s="117"/>
      <c r="Q22" s="117"/>
      <c r="R22" s="117"/>
    </row>
    <row r="23" spans="1:18" ht="12.75" customHeight="1">
      <c r="A23" s="2">
        <f t="shared" si="2"/>
        <v>12</v>
      </c>
      <c r="B23" s="2"/>
      <c r="C23" s="408" t="s">
        <v>2941</v>
      </c>
      <c r="D23" s="119">
        <f t="shared" si="3"/>
        <v>0</v>
      </c>
      <c r="E23" s="119">
        <f t="shared" si="3"/>
        <v>31424447.813994981</v>
      </c>
      <c r="F23" s="119">
        <f t="shared" si="1"/>
        <v>152143609.73000374</v>
      </c>
      <c r="G23" s="119">
        <f t="shared" si="1"/>
        <v>725454327.82886446</v>
      </c>
      <c r="H23" s="119">
        <f t="shared" si="1"/>
        <v>677073084.00961089</v>
      </c>
      <c r="I23" s="119">
        <f t="shared" si="1"/>
        <v>56684836.91060622</v>
      </c>
      <c r="J23" s="119">
        <f t="shared" si="1"/>
        <v>517913201.25567228</v>
      </c>
      <c r="K23" s="119">
        <f t="shared" si="1"/>
        <v>16298922.300929146</v>
      </c>
      <c r="L23" s="119">
        <f t="shared" si="1"/>
        <v>20997423.008432999</v>
      </c>
      <c r="M23" s="119">
        <f t="shared" si="1"/>
        <v>28679809.187644184</v>
      </c>
      <c r="N23" s="119">
        <f t="shared" si="0"/>
        <v>2226669662.0457582</v>
      </c>
      <c r="O23" s="117"/>
      <c r="P23" s="117"/>
      <c r="Q23" s="117"/>
      <c r="R23" s="117"/>
    </row>
    <row r="24" spans="1:18" ht="13">
      <c r="A24" s="2">
        <f t="shared" si="2"/>
        <v>13</v>
      </c>
      <c r="B24" s="2"/>
      <c r="C24" s="408" t="s">
        <v>2942</v>
      </c>
      <c r="D24" s="62">
        <v>0</v>
      </c>
      <c r="E24" s="62">
        <v>31666909</v>
      </c>
      <c r="F24" s="62">
        <v>154021243</v>
      </c>
      <c r="G24" s="62">
        <v>728729446</v>
      </c>
      <c r="H24" s="62">
        <v>682627657</v>
      </c>
      <c r="I24" s="62">
        <v>57518721</v>
      </c>
      <c r="J24" s="62">
        <v>521796139</v>
      </c>
      <c r="K24" s="62">
        <v>16596272</v>
      </c>
      <c r="L24" s="62">
        <v>21077786</v>
      </c>
      <c r="M24" s="62">
        <v>28978356</v>
      </c>
      <c r="N24" s="192">
        <f t="shared" si="0"/>
        <v>2243012529</v>
      </c>
      <c r="O24" s="117"/>
      <c r="P24" s="117"/>
      <c r="Q24" s="117"/>
      <c r="R24" s="117"/>
    </row>
    <row r="25" spans="1:18" ht="13">
      <c r="A25" s="2">
        <f t="shared" si="2"/>
        <v>14</v>
      </c>
      <c r="B25" s="117"/>
      <c r="C25" s="593" t="s">
        <v>645</v>
      </c>
      <c r="D25" s="119">
        <f t="shared" ref="D25:M25" si="4">AVERAGE(D12:D24)</f>
        <v>0</v>
      </c>
      <c r="E25" s="119">
        <f t="shared" si="4"/>
        <v>30263022.158418164</v>
      </c>
      <c r="F25" s="119">
        <f t="shared" si="4"/>
        <v>144343972.32247782</v>
      </c>
      <c r="G25" s="119">
        <f t="shared" si="4"/>
        <v>691380018.16040683</v>
      </c>
      <c r="H25" s="119">
        <f t="shared" si="4"/>
        <v>651630817.99059761</v>
      </c>
      <c r="I25" s="119">
        <f t="shared" si="4"/>
        <v>55040564.343154475</v>
      </c>
      <c r="J25" s="119">
        <f t="shared" si="4"/>
        <v>498582964.88328576</v>
      </c>
      <c r="K25" s="119">
        <f t="shared" si="4"/>
        <v>14986965.586811814</v>
      </c>
      <c r="L25" s="119">
        <f t="shared" si="4"/>
        <v>19830542.213771462</v>
      </c>
      <c r="M25" s="119">
        <f t="shared" si="4"/>
        <v>27279359.793460555</v>
      </c>
      <c r="N25" s="119">
        <f>SUM(D25:M25)</f>
        <v>2133338227.4523842</v>
      </c>
      <c r="O25" s="117"/>
      <c r="P25" s="117"/>
      <c r="Q25" s="117"/>
      <c r="R25" s="117"/>
    </row>
    <row r="26" spans="1:18">
      <c r="A26" s="117"/>
      <c r="B26" s="117"/>
      <c r="C26" s="117"/>
      <c r="D26" s="117"/>
      <c r="E26" s="117"/>
      <c r="F26" s="117"/>
      <c r="G26" s="117"/>
      <c r="H26" s="117"/>
      <c r="I26" s="117"/>
      <c r="J26" s="117"/>
      <c r="K26" s="117"/>
      <c r="L26" s="117"/>
      <c r="M26" s="117"/>
      <c r="N26" s="117"/>
      <c r="O26" s="117"/>
      <c r="P26" s="117"/>
      <c r="Q26" s="117"/>
      <c r="R26" s="117"/>
    </row>
    <row r="27" spans="1:18" ht="13">
      <c r="A27" s="117"/>
      <c r="B27" s="209" t="s">
        <v>745</v>
      </c>
      <c r="C27" s="117"/>
      <c r="D27" s="117"/>
      <c r="E27" s="117"/>
      <c r="F27" s="117"/>
      <c r="G27" s="117"/>
      <c r="H27" s="117"/>
      <c r="I27" s="117"/>
      <c r="J27" s="117"/>
      <c r="K27" s="117"/>
      <c r="L27" s="117"/>
      <c r="M27" s="117"/>
      <c r="N27" s="117"/>
      <c r="O27" s="117"/>
      <c r="P27" s="117"/>
      <c r="Q27" s="117"/>
      <c r="R27" s="117"/>
    </row>
    <row r="28" spans="1:18" ht="13">
      <c r="A28" s="117"/>
      <c r="B28" s="209"/>
      <c r="C28" s="117"/>
      <c r="D28" s="117"/>
      <c r="E28" s="117"/>
      <c r="F28" s="117"/>
      <c r="G28" s="117"/>
      <c r="H28" s="117"/>
      <c r="I28" s="117"/>
      <c r="J28" s="117"/>
      <c r="K28" s="117"/>
      <c r="L28" s="117"/>
      <c r="M28" s="117"/>
      <c r="N28" s="117"/>
      <c r="O28" s="117"/>
      <c r="P28" s="117"/>
      <c r="Q28" s="117"/>
      <c r="R28" s="117"/>
    </row>
    <row r="29" spans="1:18" ht="13">
      <c r="A29" s="117"/>
      <c r="B29" s="117"/>
      <c r="C29" s="48" t="s">
        <v>336</v>
      </c>
      <c r="D29" s="48" t="s">
        <v>337</v>
      </c>
      <c r="E29" s="48" t="s">
        <v>338</v>
      </c>
      <c r="F29" s="48" t="s">
        <v>339</v>
      </c>
      <c r="G29" s="48" t="s">
        <v>340</v>
      </c>
      <c r="H29" s="117"/>
      <c r="I29" s="117"/>
      <c r="J29" s="117"/>
      <c r="K29" s="117"/>
      <c r="L29" s="117"/>
      <c r="M29" s="117"/>
      <c r="N29" s="117"/>
      <c r="O29" s="117"/>
      <c r="P29" s="117"/>
      <c r="Q29" s="117"/>
      <c r="R29" s="117"/>
    </row>
    <row r="30" spans="1:18" ht="13">
      <c r="A30" s="117"/>
      <c r="B30" s="117"/>
      <c r="C30" s="117"/>
      <c r="D30" s="261" t="s">
        <v>244</v>
      </c>
      <c r="E30" s="117"/>
      <c r="F30" s="117"/>
      <c r="G30" s="243" t="s">
        <v>746</v>
      </c>
      <c r="H30" s="117"/>
      <c r="I30" s="117"/>
      <c r="J30" s="117"/>
      <c r="K30" s="117"/>
      <c r="L30" s="117"/>
      <c r="M30" s="117"/>
      <c r="N30" s="117"/>
      <c r="O30" s="212"/>
      <c r="P30" s="117"/>
      <c r="Q30" s="117"/>
      <c r="R30" s="117"/>
    </row>
    <row r="31" spans="1:18">
      <c r="A31" s="117"/>
      <c r="B31" s="117"/>
      <c r="C31" s="117"/>
      <c r="D31" s="261" t="s">
        <v>744</v>
      </c>
      <c r="E31" s="117"/>
      <c r="F31" s="117"/>
      <c r="G31" s="117"/>
      <c r="H31" s="117"/>
      <c r="I31" s="117"/>
      <c r="J31" s="117"/>
      <c r="K31" s="117"/>
      <c r="L31" s="117"/>
      <c r="M31" s="117"/>
      <c r="N31" s="117"/>
      <c r="O31" s="129"/>
      <c r="P31" s="117"/>
      <c r="Q31" s="117"/>
      <c r="R31" s="117"/>
    </row>
    <row r="32" spans="1:18" ht="13">
      <c r="A32" s="117"/>
      <c r="B32" s="117"/>
      <c r="C32" s="3" t="s">
        <v>643</v>
      </c>
      <c r="D32" s="48">
        <v>360</v>
      </c>
      <c r="E32" s="48">
        <v>361</v>
      </c>
      <c r="F32" s="48">
        <v>362</v>
      </c>
      <c r="G32" s="3" t="s">
        <v>249</v>
      </c>
      <c r="H32" s="509" t="s">
        <v>100</v>
      </c>
      <c r="I32" s="117"/>
      <c r="J32" s="117"/>
      <c r="K32" s="117"/>
      <c r="L32" s="117"/>
      <c r="M32" s="117"/>
      <c r="N32" s="117"/>
      <c r="O32" s="129"/>
      <c r="P32" s="117"/>
      <c r="Q32" s="117"/>
      <c r="R32" s="117"/>
    </row>
    <row r="33" spans="1:18" ht="13">
      <c r="A33" s="2">
        <f>A25+1</f>
        <v>15</v>
      </c>
      <c r="C33" s="408" t="s">
        <v>644</v>
      </c>
      <c r="D33" s="121">
        <v>0</v>
      </c>
      <c r="E33" s="121">
        <v>0</v>
      </c>
      <c r="F33" s="121">
        <v>0</v>
      </c>
      <c r="G33" s="119">
        <f>SUM(D33:F33)</f>
        <v>0</v>
      </c>
      <c r="H33" s="250" t="s">
        <v>747</v>
      </c>
      <c r="I33" s="117"/>
      <c r="J33" s="117"/>
      <c r="K33" s="117"/>
      <c r="L33" s="117"/>
      <c r="M33" s="117"/>
      <c r="N33" s="117"/>
      <c r="O33" s="129"/>
      <c r="P33" s="117"/>
      <c r="Q33" s="117"/>
      <c r="R33" s="117"/>
    </row>
    <row r="34" spans="1:18" ht="13">
      <c r="A34" s="2">
        <v>16</v>
      </c>
      <c r="C34" s="408" t="s">
        <v>2942</v>
      </c>
      <c r="D34" s="211">
        <v>0</v>
      </c>
      <c r="E34" s="211">
        <v>0</v>
      </c>
      <c r="F34" s="211">
        <v>0</v>
      </c>
      <c r="G34" s="192">
        <f>SUM(D34:F34)</f>
        <v>0</v>
      </c>
      <c r="H34" s="250" t="s">
        <v>748</v>
      </c>
      <c r="I34" s="117"/>
      <c r="J34" s="117"/>
      <c r="K34" s="117"/>
      <c r="L34" s="117"/>
      <c r="O34" s="129"/>
      <c r="P34" s="117"/>
      <c r="Q34" s="117"/>
      <c r="R34" s="117"/>
    </row>
    <row r="35" spans="1:18" ht="13">
      <c r="A35" s="2">
        <f>A34+1</f>
        <v>17</v>
      </c>
      <c r="C35" s="118" t="s">
        <v>749</v>
      </c>
      <c r="D35" s="119">
        <f>AVERAGE(D33:D34)</f>
        <v>0</v>
      </c>
      <c r="E35" s="119">
        <f>AVERAGE(E33:E34)</f>
        <v>0</v>
      </c>
      <c r="F35" s="119">
        <f>AVERAGE(F33:F34)</f>
        <v>0</v>
      </c>
      <c r="G35" s="119">
        <f>AVERAGE(G33:G34)</f>
        <v>0</v>
      </c>
      <c r="H35" s="129" t="str">
        <f>"Average of Line "&amp;A33&amp;" and Line "&amp;A34&amp;""</f>
        <v>Average of Line 15 and Line 16</v>
      </c>
      <c r="I35" s="117"/>
      <c r="J35" s="117"/>
      <c r="K35" s="117"/>
      <c r="M35" s="349"/>
      <c r="N35" s="323"/>
      <c r="O35" s="129"/>
      <c r="P35" s="117"/>
      <c r="Q35" s="117"/>
      <c r="R35" s="117"/>
    </row>
    <row r="36" spans="1:18">
      <c r="C36" s="118"/>
      <c r="I36" s="117"/>
      <c r="J36" s="117"/>
      <c r="K36" s="117"/>
      <c r="M36" s="323"/>
      <c r="N36" s="600"/>
      <c r="O36" s="129"/>
      <c r="P36" s="117"/>
      <c r="Q36" s="117"/>
      <c r="R36" s="117"/>
    </row>
    <row r="37" spans="1:18" ht="13">
      <c r="B37" s="209" t="s">
        <v>750</v>
      </c>
      <c r="I37" s="117"/>
      <c r="J37" s="117"/>
      <c r="K37" s="117"/>
      <c r="L37" s="117"/>
      <c r="M37" s="349"/>
      <c r="N37" s="600"/>
      <c r="O37" s="129"/>
      <c r="P37" s="117"/>
      <c r="Q37" s="117"/>
      <c r="R37" s="117"/>
    </row>
    <row r="38" spans="1:18" ht="14.5">
      <c r="B38" s="195"/>
      <c r="C38" s="48" t="s">
        <v>336</v>
      </c>
      <c r="D38" s="48" t="s">
        <v>337</v>
      </c>
      <c r="E38" s="48" t="s">
        <v>338</v>
      </c>
      <c r="F38" s="48" t="s">
        <v>339</v>
      </c>
      <c r="G38" s="48" t="s">
        <v>340</v>
      </c>
      <c r="J38" s="117"/>
      <c r="K38" s="120"/>
      <c r="L38" s="117"/>
      <c r="O38" s="117"/>
      <c r="P38" s="117"/>
      <c r="Q38" s="117"/>
      <c r="R38" s="117"/>
    </row>
    <row r="39" spans="1:18" ht="14.5">
      <c r="B39" s="195"/>
      <c r="C39" s="48"/>
      <c r="D39" s="48"/>
      <c r="E39" s="257" t="s">
        <v>751</v>
      </c>
      <c r="F39" s="48"/>
      <c r="G39" s="48"/>
      <c r="J39" s="117"/>
      <c r="K39" s="120"/>
      <c r="L39" s="117"/>
      <c r="O39" s="117"/>
      <c r="P39" s="117"/>
      <c r="Q39" s="117"/>
      <c r="R39" s="117"/>
    </row>
    <row r="40" spans="1:18" ht="13">
      <c r="E40" s="120" t="s">
        <v>249</v>
      </c>
      <c r="J40" s="117"/>
      <c r="K40" s="120"/>
      <c r="L40" s="117"/>
      <c r="O40" s="117"/>
      <c r="P40" s="117"/>
      <c r="Q40" s="117"/>
      <c r="R40" s="117"/>
    </row>
    <row r="41" spans="1:18" ht="13">
      <c r="B41" s="117"/>
      <c r="D41" s="117"/>
      <c r="E41" s="120" t="s">
        <v>752</v>
      </c>
      <c r="F41" s="2" t="s">
        <v>657</v>
      </c>
      <c r="G41" s="2" t="s">
        <v>658</v>
      </c>
      <c r="J41" s="117"/>
      <c r="K41" s="120"/>
      <c r="L41" s="117"/>
      <c r="O41" s="117"/>
      <c r="P41" s="117"/>
      <c r="Q41" s="117"/>
      <c r="R41" s="117"/>
    </row>
    <row r="42" spans="1:18" ht="13">
      <c r="B42" s="117"/>
      <c r="D42" s="117"/>
      <c r="E42" s="120" t="s">
        <v>753</v>
      </c>
      <c r="F42" s="120" t="s">
        <v>753</v>
      </c>
      <c r="G42" s="120" t="s">
        <v>753</v>
      </c>
      <c r="J42" s="117"/>
      <c r="K42" s="120"/>
      <c r="L42" s="117"/>
      <c r="Q42" s="117"/>
      <c r="R42" s="117"/>
    </row>
    <row r="43" spans="1:18" ht="13">
      <c r="B43" s="117"/>
      <c r="C43" s="3" t="s">
        <v>643</v>
      </c>
      <c r="D43" s="117"/>
      <c r="E43" s="193" t="s">
        <v>754</v>
      </c>
      <c r="F43" s="193" t="s">
        <v>754</v>
      </c>
      <c r="G43" s="193" t="s">
        <v>754</v>
      </c>
      <c r="H43" s="212" t="s">
        <v>652</v>
      </c>
      <c r="J43" s="117"/>
      <c r="K43" s="193"/>
      <c r="L43" s="117"/>
      <c r="O43" s="117"/>
      <c r="P43" s="117"/>
      <c r="Q43" s="117"/>
      <c r="R43" s="117"/>
    </row>
    <row r="44" spans="1:18" ht="13">
      <c r="A44" s="2">
        <f>A35+1</f>
        <v>18</v>
      </c>
      <c r="B44" s="117"/>
      <c r="C44" s="408" t="s">
        <v>644</v>
      </c>
      <c r="D44" s="331" t="s">
        <v>755</v>
      </c>
      <c r="E44" s="119">
        <f>SUM(F44:G44)</f>
        <v>1926796980</v>
      </c>
      <c r="F44" s="121">
        <v>1251064280</v>
      </c>
      <c r="G44" s="318">
        <v>675732700</v>
      </c>
      <c r="H44" s="250" t="s">
        <v>756</v>
      </c>
      <c r="J44" s="117"/>
      <c r="L44" s="117"/>
      <c r="O44" s="117"/>
      <c r="P44" s="117"/>
      <c r="Q44" s="117"/>
      <c r="R44" s="117"/>
    </row>
    <row r="45" spans="1:18" ht="13">
      <c r="A45" s="2">
        <f>A44+1</f>
        <v>19</v>
      </c>
      <c r="B45" s="117"/>
      <c r="C45" s="408" t="s">
        <v>2942</v>
      </c>
      <c r="D45" s="118" t="s">
        <v>757</v>
      </c>
      <c r="E45" s="192">
        <f>SUM(F45:G45)</f>
        <v>1987496918</v>
      </c>
      <c r="F45" s="121">
        <v>1325390156</v>
      </c>
      <c r="G45" s="318">
        <v>662106762</v>
      </c>
      <c r="H45" s="250" t="s">
        <v>758</v>
      </c>
      <c r="J45" s="117"/>
      <c r="K45" s="608"/>
      <c r="L45" s="117"/>
      <c r="O45" s="117"/>
      <c r="P45" s="117"/>
      <c r="Q45" s="117"/>
      <c r="R45" s="117"/>
    </row>
    <row r="46" spans="1:18" ht="13">
      <c r="A46" s="2">
        <f>A45+1</f>
        <v>20</v>
      </c>
      <c r="B46" s="117"/>
      <c r="D46" s="118" t="s">
        <v>749</v>
      </c>
      <c r="E46" s="119">
        <f>AVERAGE(E44:E45)</f>
        <v>1957146949</v>
      </c>
      <c r="H46" s="129" t="str">
        <f>"Average of Line "&amp;A44&amp;" and Line "&amp;A45&amp;""</f>
        <v>Average of Line 18 and Line 19</v>
      </c>
      <c r="J46" s="117"/>
      <c r="K46" s="608"/>
      <c r="L46" s="117"/>
      <c r="O46" s="117"/>
      <c r="P46" s="117"/>
      <c r="Q46" s="117"/>
      <c r="R46" s="117"/>
    </row>
    <row r="47" spans="1:18">
      <c r="I47" s="117"/>
      <c r="J47" s="117"/>
      <c r="K47" s="117"/>
      <c r="L47" s="117"/>
      <c r="O47" s="117"/>
      <c r="P47" s="117"/>
      <c r="Q47" s="117"/>
      <c r="R47" s="117"/>
    </row>
    <row r="48" spans="1:18" ht="13">
      <c r="B48" s="1" t="s">
        <v>759</v>
      </c>
      <c r="C48" s="354"/>
      <c r="D48" s="323"/>
      <c r="E48" s="117"/>
      <c r="F48" s="117"/>
      <c r="G48" s="117"/>
      <c r="H48" s="117"/>
      <c r="I48" s="117"/>
      <c r="J48" s="117"/>
      <c r="K48" s="117"/>
      <c r="L48" s="117"/>
      <c r="M48" s="117"/>
      <c r="N48" s="117"/>
      <c r="O48" s="117"/>
      <c r="P48" s="117"/>
      <c r="Q48" s="117"/>
      <c r="R48" s="117"/>
    </row>
    <row r="49" spans="1:18" ht="13">
      <c r="B49" s="1"/>
      <c r="C49" s="354"/>
      <c r="D49" s="323"/>
      <c r="E49" s="117"/>
      <c r="F49" s="117"/>
      <c r="G49" s="117"/>
      <c r="H49" s="117"/>
      <c r="I49" s="117"/>
      <c r="J49" s="117"/>
      <c r="K49" s="117"/>
      <c r="L49" s="117"/>
      <c r="M49" s="117"/>
      <c r="N49" s="117"/>
      <c r="O49" s="117"/>
      <c r="P49" s="117"/>
      <c r="Q49" s="117"/>
      <c r="R49" s="117"/>
    </row>
    <row r="50" spans="1:18" ht="13">
      <c r="B50" s="117"/>
      <c r="C50" s="1"/>
      <c r="D50" s="354"/>
      <c r="E50" s="323"/>
      <c r="F50" s="193" t="s">
        <v>79</v>
      </c>
      <c r="G50" s="212" t="s">
        <v>652</v>
      </c>
      <c r="H50" s="117"/>
      <c r="I50" s="117"/>
      <c r="J50" s="117"/>
      <c r="K50" s="117"/>
      <c r="L50" s="117"/>
      <c r="M50" s="117"/>
      <c r="N50" s="117"/>
      <c r="O50" s="117"/>
      <c r="P50" s="117"/>
      <c r="Q50" s="117"/>
      <c r="R50" s="117"/>
    </row>
    <row r="51" spans="1:18" ht="13">
      <c r="A51" s="2">
        <f>A46+1</f>
        <v>21</v>
      </c>
      <c r="B51" s="117"/>
      <c r="C51" s="354"/>
      <c r="D51" s="354"/>
      <c r="E51" s="331" t="s">
        <v>760</v>
      </c>
      <c r="F51" s="594">
        <f>E46</f>
        <v>1957146949</v>
      </c>
      <c r="G51" s="129" t="str">
        <f>"Line "&amp;A46&amp;""</f>
        <v>Line 20</v>
      </c>
      <c r="H51" s="117"/>
      <c r="I51" s="117"/>
      <c r="J51" s="117"/>
      <c r="K51" s="117"/>
      <c r="L51" s="117"/>
      <c r="M51" s="117"/>
      <c r="N51" s="117"/>
      <c r="O51" s="117"/>
      <c r="P51" s="117"/>
      <c r="Q51" s="117"/>
      <c r="R51" s="117"/>
    </row>
    <row r="52" spans="1:18" ht="13">
      <c r="A52" s="2">
        <f>A51+1</f>
        <v>22</v>
      </c>
      <c r="B52" s="117"/>
      <c r="C52" s="354"/>
      <c r="D52" s="354"/>
      <c r="E52" s="331" t="s">
        <v>669</v>
      </c>
      <c r="F52" s="608">
        <f>'27-Allocators'!G15</f>
        <v>6.2174818554839952E-2</v>
      </c>
      <c r="G52" s="129" t="str">
        <f>"27-Allocators, Line "&amp;'27-Allocators'!A15&amp;""</f>
        <v>27-Allocators, Line 9</v>
      </c>
      <c r="H52" s="117"/>
      <c r="I52" s="117"/>
      <c r="J52" s="117"/>
      <c r="K52" s="117"/>
      <c r="L52" s="117"/>
      <c r="M52" s="117"/>
      <c r="N52" s="117"/>
      <c r="O52" s="117"/>
      <c r="P52" s="117"/>
      <c r="Q52" s="117"/>
      <c r="R52" s="117"/>
    </row>
    <row r="53" spans="1:18" ht="13">
      <c r="A53" s="2">
        <f>A52+1</f>
        <v>23</v>
      </c>
      <c r="B53" s="117"/>
      <c r="C53" s="354"/>
      <c r="D53" s="354"/>
      <c r="E53" s="331" t="s">
        <v>761</v>
      </c>
      <c r="F53" s="594">
        <f>F51*F52</f>
        <v>121685256.4392336</v>
      </c>
      <c r="G53" s="129" t="str">
        <f>"Line "&amp;A51&amp;" * Line "&amp;A52&amp;""</f>
        <v>Line 21 * Line 22</v>
      </c>
      <c r="H53" s="117"/>
      <c r="I53" s="117"/>
      <c r="J53" s="117"/>
      <c r="K53" s="117"/>
      <c r="L53" s="117"/>
      <c r="M53" s="117"/>
      <c r="O53" s="117"/>
      <c r="P53" s="117"/>
      <c r="Q53" s="117"/>
      <c r="R53" s="117"/>
    </row>
    <row r="54" spans="1:18" ht="13">
      <c r="B54" s="354"/>
      <c r="C54" s="354"/>
      <c r="D54" s="331"/>
      <c r="E54" s="594"/>
      <c r="F54" s="117"/>
      <c r="G54" s="117"/>
      <c r="H54" s="117"/>
      <c r="I54" s="117"/>
      <c r="J54" s="117"/>
      <c r="K54" s="117"/>
      <c r="L54" s="117"/>
      <c r="M54" s="117"/>
      <c r="O54" s="117"/>
      <c r="P54" s="117"/>
      <c r="Q54" s="117"/>
      <c r="R54" s="117"/>
    </row>
    <row r="55" spans="1:18" ht="13">
      <c r="B55" s="1" t="s">
        <v>762</v>
      </c>
      <c r="C55" s="354"/>
      <c r="D55" s="323"/>
      <c r="E55" s="117"/>
      <c r="F55" s="117"/>
      <c r="G55" s="117"/>
      <c r="H55" s="117"/>
      <c r="I55" s="117"/>
      <c r="J55" s="117"/>
      <c r="K55" s="117"/>
      <c r="L55" s="117"/>
      <c r="M55" s="117"/>
      <c r="O55" s="117"/>
      <c r="P55" s="117"/>
      <c r="Q55" s="117"/>
      <c r="R55" s="117"/>
    </row>
    <row r="56" spans="1:18" ht="13">
      <c r="B56" s="117"/>
      <c r="C56" s="117"/>
      <c r="D56" s="117"/>
      <c r="E56" s="117"/>
      <c r="F56" s="117"/>
      <c r="G56" s="117"/>
      <c r="H56" s="117"/>
      <c r="I56" s="117"/>
      <c r="J56" s="117"/>
      <c r="K56" s="117"/>
      <c r="L56" s="117"/>
      <c r="M56" s="117"/>
      <c r="O56" s="323"/>
      <c r="P56" s="588"/>
      <c r="Q56" s="117"/>
      <c r="R56" s="117"/>
    </row>
    <row r="57" spans="1:18" ht="13">
      <c r="B57" s="117"/>
      <c r="C57" s="117"/>
      <c r="D57" s="117"/>
      <c r="E57" s="117"/>
      <c r="F57" s="193" t="s">
        <v>79</v>
      </c>
      <c r="G57" s="212" t="s">
        <v>652</v>
      </c>
      <c r="H57" s="117"/>
      <c r="I57" s="117"/>
      <c r="J57" s="117"/>
      <c r="K57" s="117"/>
      <c r="L57" s="117"/>
      <c r="M57" s="117"/>
      <c r="O57" s="330"/>
      <c r="P57" s="330"/>
      <c r="Q57" s="117"/>
      <c r="R57" s="117"/>
    </row>
    <row r="58" spans="1:18" ht="13">
      <c r="A58" s="2">
        <f>A53+1</f>
        <v>24</v>
      </c>
      <c r="B58" s="354"/>
      <c r="C58" s="354"/>
      <c r="E58" s="331" t="s">
        <v>763</v>
      </c>
      <c r="F58" s="594">
        <f>E45</f>
        <v>1987496918</v>
      </c>
      <c r="G58" s="129" t="str">
        <f>"Line "&amp;A45&amp;""</f>
        <v>Line 19</v>
      </c>
      <c r="H58" s="117"/>
      <c r="I58" s="117"/>
      <c r="J58" s="117"/>
      <c r="K58" s="117"/>
      <c r="L58" s="117"/>
      <c r="M58" s="117"/>
      <c r="O58" s="609"/>
      <c r="P58" s="348"/>
      <c r="Q58" s="117"/>
      <c r="R58" s="117"/>
    </row>
    <row r="59" spans="1:18" ht="13">
      <c r="A59" s="2">
        <f>A58+1</f>
        <v>25</v>
      </c>
      <c r="B59" s="354"/>
      <c r="C59" s="354"/>
      <c r="E59" s="331" t="s">
        <v>669</v>
      </c>
      <c r="F59" s="608">
        <f>'27-Allocators'!G15</f>
        <v>6.2174818554839952E-2</v>
      </c>
      <c r="G59" s="129" t="str">
        <f>"27-Allocators, Line "&amp;'27-Allocators'!A15&amp;""</f>
        <v>27-Allocators, Line 9</v>
      </c>
      <c r="H59" s="117"/>
      <c r="I59" s="117"/>
      <c r="J59" s="117"/>
      <c r="K59" s="117"/>
      <c r="L59" s="117"/>
      <c r="M59" s="117"/>
      <c r="O59" s="609"/>
      <c r="P59" s="348"/>
      <c r="Q59" s="117"/>
      <c r="R59" s="117"/>
    </row>
    <row r="60" spans="1:18" ht="13">
      <c r="A60" s="2">
        <f>A59+1</f>
        <v>26</v>
      </c>
      <c r="B60" s="354"/>
      <c r="C60" s="354"/>
      <c r="E60" s="331" t="s">
        <v>764</v>
      </c>
      <c r="F60" s="594">
        <f>F58*F59</f>
        <v>123572260.25495362</v>
      </c>
      <c r="G60" s="129" t="str">
        <f>"Line "&amp;A58&amp;" * Line "&amp;A59&amp;""</f>
        <v>Line 24 * Line 25</v>
      </c>
      <c r="H60" s="117"/>
      <c r="I60" s="117"/>
      <c r="J60" s="117"/>
      <c r="K60" s="117"/>
      <c r="L60" s="117"/>
      <c r="M60" s="117"/>
      <c r="Q60" s="117"/>
      <c r="R60" s="117"/>
    </row>
    <row r="61" spans="1:18">
      <c r="B61" s="117"/>
      <c r="C61" s="117"/>
      <c r="D61" s="117"/>
      <c r="E61" s="117"/>
      <c r="F61" s="117"/>
      <c r="G61" s="117"/>
      <c r="H61" s="117"/>
      <c r="I61" s="117"/>
      <c r="J61" s="117"/>
      <c r="K61" s="117"/>
      <c r="L61" s="117"/>
      <c r="M61" s="117"/>
      <c r="Q61" s="117"/>
      <c r="R61" s="117"/>
    </row>
    <row r="62" spans="1:18">
      <c r="Q62" s="117"/>
      <c r="R62" s="117"/>
    </row>
    <row r="63" spans="1:18" ht="13">
      <c r="B63" s="1" t="s">
        <v>765</v>
      </c>
      <c r="Q63" s="117"/>
      <c r="R63" s="117"/>
    </row>
    <row r="64" spans="1:18">
      <c r="Q64" s="117"/>
      <c r="R64" s="117"/>
    </row>
    <row r="65" spans="1:14" ht="13">
      <c r="C65" s="1" t="s">
        <v>766</v>
      </c>
      <c r="D65" s="251"/>
      <c r="E65" s="251"/>
      <c r="F65" s="251"/>
      <c r="G65" s="251"/>
      <c r="H65" s="251"/>
      <c r="I65" s="251"/>
      <c r="J65" s="251"/>
      <c r="K65" s="251"/>
      <c r="L65" s="251"/>
    </row>
    <row r="66" spans="1:14">
      <c r="A66" s="251"/>
      <c r="C66" s="251"/>
      <c r="D66" s="251"/>
      <c r="E66" s="251"/>
      <c r="F66" s="251"/>
      <c r="G66" s="251"/>
      <c r="H66" s="251"/>
      <c r="I66" s="251"/>
      <c r="J66" s="251"/>
      <c r="K66" s="251"/>
      <c r="L66" s="251"/>
    </row>
    <row r="67" spans="1:14" ht="13">
      <c r="A67" s="209"/>
      <c r="C67" s="48" t="s">
        <v>336</v>
      </c>
      <c r="D67" s="48" t="s">
        <v>337</v>
      </c>
      <c r="E67" s="48" t="s">
        <v>338</v>
      </c>
      <c r="F67" s="48" t="s">
        <v>339</v>
      </c>
      <c r="G67" s="48" t="s">
        <v>340</v>
      </c>
      <c r="H67" s="48" t="s">
        <v>341</v>
      </c>
      <c r="I67" s="48" t="s">
        <v>342</v>
      </c>
      <c r="J67" s="48" t="s">
        <v>343</v>
      </c>
      <c r="K67" s="48" t="s">
        <v>344</v>
      </c>
      <c r="L67" s="48" t="s">
        <v>589</v>
      </c>
      <c r="M67" s="48" t="s">
        <v>590</v>
      </c>
      <c r="N67" s="48" t="s">
        <v>591</v>
      </c>
    </row>
    <row r="68" spans="1:14">
      <c r="A68" s="117"/>
      <c r="C68" s="131"/>
      <c r="D68" s="117"/>
      <c r="E68" s="117"/>
      <c r="F68" s="117"/>
      <c r="G68" s="117"/>
      <c r="H68" s="117"/>
      <c r="I68" s="117"/>
      <c r="J68" s="117"/>
      <c r="K68" s="117"/>
      <c r="L68" s="117"/>
      <c r="N68" s="131" t="s">
        <v>642</v>
      </c>
    </row>
    <row r="69" spans="1:14" ht="13">
      <c r="A69" s="30"/>
      <c r="C69" s="3" t="s">
        <v>643</v>
      </c>
      <c r="D69" s="48">
        <v>350.1</v>
      </c>
      <c r="E69" s="48">
        <v>350.2</v>
      </c>
      <c r="F69" s="48">
        <v>352</v>
      </c>
      <c r="G69" s="48">
        <v>353</v>
      </c>
      <c r="H69" s="48">
        <v>354</v>
      </c>
      <c r="I69" s="48">
        <v>355</v>
      </c>
      <c r="J69" s="48">
        <v>356</v>
      </c>
      <c r="K69" s="48">
        <v>357</v>
      </c>
      <c r="L69" s="48">
        <v>358</v>
      </c>
      <c r="M69" s="48">
        <v>359</v>
      </c>
      <c r="N69" s="3" t="s">
        <v>249</v>
      </c>
    </row>
    <row r="70" spans="1:14" ht="13">
      <c r="A70" s="2">
        <f>A60+1</f>
        <v>27</v>
      </c>
      <c r="C70" s="408" t="s">
        <v>2931</v>
      </c>
      <c r="D70" s="253">
        <f>'17-Depreciation'!C48</f>
        <v>0</v>
      </c>
      <c r="E70" s="253">
        <f>'17-Depreciation'!D48</f>
        <v>231013.60770102078</v>
      </c>
      <c r="F70" s="253">
        <f>'17-Depreciation'!E48</f>
        <v>1722227.8173066408</v>
      </c>
      <c r="G70" s="253">
        <f>'17-Depreciation'!F48</f>
        <v>8134421.2657493157</v>
      </c>
      <c r="H70" s="253">
        <f>'17-Depreciation'!G48</f>
        <v>4680983.0662873806</v>
      </c>
      <c r="I70" s="253">
        <f>'17-Depreciation'!H48</f>
        <v>1321116.5968059811</v>
      </c>
      <c r="J70" s="253">
        <f>'17-Depreciation'!I48</f>
        <v>3684490.8844070719</v>
      </c>
      <c r="K70" s="253">
        <f>'17-Depreciation'!J48</f>
        <v>296192.56693718955</v>
      </c>
      <c r="L70" s="253">
        <f>'17-Depreciation'!K48</f>
        <v>191118.68910804635</v>
      </c>
      <c r="M70" s="253">
        <f>'17-Depreciation'!L48</f>
        <v>249727.67680262643</v>
      </c>
      <c r="N70" s="119">
        <f t="shared" ref="N70:N82" si="5">SUM(D70:M70)</f>
        <v>20511292.171105273</v>
      </c>
    </row>
    <row r="71" spans="1:14" ht="13">
      <c r="A71" s="2">
        <f t="shared" ref="A71:A82" si="6">A70+1</f>
        <v>28</v>
      </c>
      <c r="C71" s="408" t="s">
        <v>2932</v>
      </c>
      <c r="D71" s="253">
        <f>'17-Depreciation'!C49</f>
        <v>0</v>
      </c>
      <c r="E71" s="253">
        <f>'17-Depreciation'!D49</f>
        <v>231014.82884863261</v>
      </c>
      <c r="F71" s="253">
        <f>'17-Depreciation'!E49</f>
        <v>1726240.6081459022</v>
      </c>
      <c r="G71" s="253">
        <f>'17-Depreciation'!F49</f>
        <v>8156839.825228353</v>
      </c>
      <c r="H71" s="253">
        <f>'17-Depreciation'!G49</f>
        <v>4697302.6292632939</v>
      </c>
      <c r="I71" s="253">
        <f>'17-Depreciation'!H49</f>
        <v>1327756.6562222259</v>
      </c>
      <c r="J71" s="253">
        <f>'17-Depreciation'!I49</f>
        <v>3832794.1102807955</v>
      </c>
      <c r="K71" s="253">
        <f>'17-Depreciation'!J49</f>
        <v>296178.45132296748</v>
      </c>
      <c r="L71" s="253">
        <f>'17-Depreciation'!K49</f>
        <v>191042.63241067878</v>
      </c>
      <c r="M71" s="253">
        <f>'17-Depreciation'!L49</f>
        <v>250124.20065146557</v>
      </c>
      <c r="N71" s="119">
        <f t="shared" si="5"/>
        <v>20709293.942374319</v>
      </c>
    </row>
    <row r="72" spans="1:14" ht="13">
      <c r="A72" s="2">
        <f t="shared" si="6"/>
        <v>29</v>
      </c>
      <c r="C72" s="408" t="s">
        <v>2933</v>
      </c>
      <c r="D72" s="253">
        <f>'17-Depreciation'!C50</f>
        <v>0</v>
      </c>
      <c r="E72" s="253">
        <f>'17-Depreciation'!D50</f>
        <v>231319.40431589563</v>
      </c>
      <c r="F72" s="253">
        <f>'17-Depreciation'!E50</f>
        <v>1732629.7636295038</v>
      </c>
      <c r="G72" s="253">
        <f>'17-Depreciation'!F50</f>
        <v>8185849.1504811654</v>
      </c>
      <c r="H72" s="253">
        <f>'17-Depreciation'!G50</f>
        <v>4713793.0508213462</v>
      </c>
      <c r="I72" s="253">
        <f>'17-Depreciation'!H50</f>
        <v>1348951.3200598436</v>
      </c>
      <c r="J72" s="253">
        <f>'17-Depreciation'!I50</f>
        <v>3836262.622308163</v>
      </c>
      <c r="K72" s="253">
        <f>'17-Depreciation'!J50</f>
        <v>296183.87023102457</v>
      </c>
      <c r="L72" s="253">
        <f>'17-Depreciation'!K50</f>
        <v>190469.01065869746</v>
      </c>
      <c r="M72" s="253">
        <f>'17-Depreciation'!L50</f>
        <v>249751.69697934881</v>
      </c>
      <c r="N72" s="119">
        <f t="shared" si="5"/>
        <v>20785209.889484983</v>
      </c>
    </row>
    <row r="73" spans="1:14" ht="13">
      <c r="A73" s="2">
        <f t="shared" si="6"/>
        <v>30</v>
      </c>
      <c r="C73" s="408" t="s">
        <v>2934</v>
      </c>
      <c r="D73" s="253">
        <f>'17-Depreciation'!C51</f>
        <v>0</v>
      </c>
      <c r="E73" s="253">
        <f>'17-Depreciation'!D51</f>
        <v>231520.38749649943</v>
      </c>
      <c r="F73" s="253">
        <f>'17-Depreciation'!E51</f>
        <v>1736541.6148199684</v>
      </c>
      <c r="G73" s="253">
        <f>'17-Depreciation'!F51</f>
        <v>8209611.0578948362</v>
      </c>
      <c r="H73" s="253">
        <f>'17-Depreciation'!G51</f>
        <v>4729621.1438583182</v>
      </c>
      <c r="I73" s="253">
        <f>'17-Depreciation'!H51</f>
        <v>1364981.3892412523</v>
      </c>
      <c r="J73" s="253">
        <f>'17-Depreciation'!I51</f>
        <v>3837231.9135112823</v>
      </c>
      <c r="K73" s="253">
        <f>'17-Depreciation'!J51</f>
        <v>296183.65060216154</v>
      </c>
      <c r="L73" s="253">
        <f>'17-Depreciation'!K51</f>
        <v>190402.19487313347</v>
      </c>
      <c r="M73" s="253">
        <f>'17-Depreciation'!L51</f>
        <v>249736.41096104679</v>
      </c>
      <c r="N73" s="119">
        <f t="shared" si="5"/>
        <v>20845829.763258498</v>
      </c>
    </row>
    <row r="74" spans="1:14" ht="13">
      <c r="A74" s="2">
        <f t="shared" si="6"/>
        <v>31</v>
      </c>
      <c r="C74" s="408" t="s">
        <v>2935</v>
      </c>
      <c r="D74" s="253">
        <f>'17-Depreciation'!C52</f>
        <v>0</v>
      </c>
      <c r="E74" s="253">
        <f>'17-Depreciation'!D52</f>
        <v>231541.22225000427</v>
      </c>
      <c r="F74" s="253">
        <f>'17-Depreciation'!E52</f>
        <v>1738312.5464070179</v>
      </c>
      <c r="G74" s="253">
        <f>'17-Depreciation'!F52</f>
        <v>8249735.1919679195</v>
      </c>
      <c r="H74" s="253">
        <f>'17-Depreciation'!G52</f>
        <v>4754590.0569468103</v>
      </c>
      <c r="I74" s="253">
        <f>'17-Depreciation'!H52</f>
        <v>1423756.4270066347</v>
      </c>
      <c r="J74" s="253">
        <f>'17-Depreciation'!I52</f>
        <v>3792862.1157527068</v>
      </c>
      <c r="K74" s="253">
        <f>'17-Depreciation'!J52</f>
        <v>296184.17717493436</v>
      </c>
      <c r="L74" s="253">
        <f>'17-Depreciation'!K52</f>
        <v>190167.33094603338</v>
      </c>
      <c r="M74" s="253">
        <f>'17-Depreciation'!L52</f>
        <v>248126.32157215371</v>
      </c>
      <c r="N74" s="119">
        <f t="shared" si="5"/>
        <v>20925275.390024211</v>
      </c>
    </row>
    <row r="75" spans="1:14" ht="13">
      <c r="A75" s="2">
        <f t="shared" si="6"/>
        <v>32</v>
      </c>
      <c r="C75" s="408" t="s">
        <v>2936</v>
      </c>
      <c r="D75" s="253">
        <f>'17-Depreciation'!C53</f>
        <v>0</v>
      </c>
      <c r="E75" s="253">
        <f>'17-Depreciation'!D53</f>
        <v>231571.79984787261</v>
      </c>
      <c r="F75" s="253">
        <f>'17-Depreciation'!E53</f>
        <v>1742633.5262169049</v>
      </c>
      <c r="G75" s="253">
        <f>'17-Depreciation'!F53</f>
        <v>8296630.3519613072</v>
      </c>
      <c r="H75" s="253">
        <f>'17-Depreciation'!G53</f>
        <v>5353660.1419846956</v>
      </c>
      <c r="I75" s="253">
        <f>'17-Depreciation'!H53</f>
        <v>1678210.0849984337</v>
      </c>
      <c r="J75" s="253">
        <f>'17-Depreciation'!I53</f>
        <v>4328692.0379496915</v>
      </c>
      <c r="K75" s="253">
        <f>'17-Depreciation'!J53</f>
        <v>296171.73782484612</v>
      </c>
      <c r="L75" s="253">
        <f>'17-Depreciation'!K53</f>
        <v>190473.47455403538</v>
      </c>
      <c r="M75" s="253">
        <f>'17-Depreciation'!L53</f>
        <v>340018.87828209699</v>
      </c>
      <c r="N75" s="119">
        <f t="shared" si="5"/>
        <v>22458062.033619884</v>
      </c>
    </row>
    <row r="76" spans="1:14" ht="13">
      <c r="A76" s="2">
        <f t="shared" si="6"/>
        <v>33</v>
      </c>
      <c r="C76" s="408" t="s">
        <v>2937</v>
      </c>
      <c r="D76" s="253">
        <f>'17-Depreciation'!C54</f>
        <v>0</v>
      </c>
      <c r="E76" s="253">
        <f>'17-Depreciation'!D54</f>
        <v>231613.66243094133</v>
      </c>
      <c r="F76" s="253">
        <f>'17-Depreciation'!E54</f>
        <v>1752521.0995037621</v>
      </c>
      <c r="G76" s="253">
        <f>'17-Depreciation'!F54</f>
        <v>8314636.9493726231</v>
      </c>
      <c r="H76" s="253">
        <f>'17-Depreciation'!G54</f>
        <v>5285250.9864725824</v>
      </c>
      <c r="I76" s="253">
        <f>'17-Depreciation'!H54</f>
        <v>1719749.9738726832</v>
      </c>
      <c r="J76" s="253">
        <f>'17-Depreciation'!I54</f>
        <v>4416940.2092432333</v>
      </c>
      <c r="K76" s="253">
        <f>'17-Depreciation'!J54</f>
        <v>296169.70648646652</v>
      </c>
      <c r="L76" s="253">
        <f>'17-Depreciation'!K54</f>
        <v>189523.52637096765</v>
      </c>
      <c r="M76" s="253">
        <f>'17-Depreciation'!L54</f>
        <v>350841.84226533974</v>
      </c>
      <c r="N76" s="119">
        <f t="shared" si="5"/>
        <v>22557247.956018604</v>
      </c>
    </row>
    <row r="77" spans="1:14" ht="13">
      <c r="A77" s="2">
        <f t="shared" si="6"/>
        <v>34</v>
      </c>
      <c r="C77" s="408" t="s">
        <v>2938</v>
      </c>
      <c r="D77" s="253">
        <f>'17-Depreciation'!C55</f>
        <v>0</v>
      </c>
      <c r="E77" s="253">
        <f>'17-Depreciation'!D55</f>
        <v>231613.66243094133</v>
      </c>
      <c r="F77" s="253">
        <f>'17-Depreciation'!E55</f>
        <v>1755388.5874841614</v>
      </c>
      <c r="G77" s="253">
        <f>'17-Depreciation'!F55</f>
        <v>8333303.127939689</v>
      </c>
      <c r="H77" s="253">
        <f>'17-Depreciation'!G55</f>
        <v>4947027.7552635679</v>
      </c>
      <c r="I77" s="253">
        <f>'17-Depreciation'!H55</f>
        <v>1586653.3842735142</v>
      </c>
      <c r="J77" s="253">
        <f>'17-Depreciation'!I55</f>
        <v>4083628.9380082968</v>
      </c>
      <c r="K77" s="253">
        <f>'17-Depreciation'!J55</f>
        <v>296094.92503155093</v>
      </c>
      <c r="L77" s="253">
        <f>'17-Depreciation'!K55</f>
        <v>188370.82155433708</v>
      </c>
      <c r="M77" s="253">
        <f>'17-Depreciation'!L55</f>
        <v>288767.77273668954</v>
      </c>
      <c r="N77" s="119">
        <f t="shared" si="5"/>
        <v>21710848.97472275</v>
      </c>
    </row>
    <row r="78" spans="1:14" ht="13">
      <c r="A78" s="2">
        <f t="shared" si="6"/>
        <v>35</v>
      </c>
      <c r="C78" s="408" t="s">
        <v>2939</v>
      </c>
      <c r="D78" s="253">
        <f>'17-Depreciation'!C56</f>
        <v>0</v>
      </c>
      <c r="E78" s="253">
        <f>'17-Depreciation'!D56</f>
        <v>242570.88848231683</v>
      </c>
      <c r="F78" s="253">
        <f>'17-Depreciation'!E56</f>
        <v>1755291.0262596642</v>
      </c>
      <c r="G78" s="253">
        <f>'17-Depreciation'!F56</f>
        <v>8336038.9251397001</v>
      </c>
      <c r="H78" s="253">
        <f>'17-Depreciation'!G56</f>
        <v>4945035.4897856088</v>
      </c>
      <c r="I78" s="253">
        <f>'17-Depreciation'!H56</f>
        <v>1581912.3589719615</v>
      </c>
      <c r="J78" s="253">
        <f>'17-Depreciation'!I56</f>
        <v>4096268.8739449382</v>
      </c>
      <c r="K78" s="253">
        <f>'17-Depreciation'!J56</f>
        <v>296094.59617497126</v>
      </c>
      <c r="L78" s="253">
        <f>'17-Depreciation'!K56</f>
        <v>188213.37115317641</v>
      </c>
      <c r="M78" s="253">
        <f>'17-Depreciation'!L56</f>
        <v>288908.50562116626</v>
      </c>
      <c r="N78" s="119">
        <f t="shared" si="5"/>
        <v>21730334.035533499</v>
      </c>
    </row>
    <row r="79" spans="1:14" ht="13">
      <c r="A79" s="2">
        <f t="shared" si="6"/>
        <v>36</v>
      </c>
      <c r="C79" s="408" t="s">
        <v>2940</v>
      </c>
      <c r="D79" s="253">
        <f>'17-Depreciation'!C57</f>
        <v>0</v>
      </c>
      <c r="E79" s="253">
        <f>'17-Depreciation'!D57</f>
        <v>242572.13024721007</v>
      </c>
      <c r="F79" s="253">
        <f>'17-Depreciation'!E57</f>
        <v>1760975.8896483348</v>
      </c>
      <c r="G79" s="253">
        <f>'17-Depreciation'!F57</f>
        <v>8341018.1621207399</v>
      </c>
      <c r="H79" s="253">
        <f>'17-Depreciation'!G57</f>
        <v>4949815.0728689618</v>
      </c>
      <c r="I79" s="253">
        <f>'17-Depreciation'!H57</f>
        <v>1603703.1764478236</v>
      </c>
      <c r="J79" s="253">
        <f>'17-Depreciation'!I57</f>
        <v>4101026.5904353503</v>
      </c>
      <c r="K79" s="253">
        <f>'17-Depreciation'!J57</f>
        <v>296036.46443230956</v>
      </c>
      <c r="L79" s="253">
        <f>'17-Depreciation'!K57</f>
        <v>189011.60318032754</v>
      </c>
      <c r="M79" s="253">
        <f>'17-Depreciation'!L57</f>
        <v>289421.07774381794</v>
      </c>
      <c r="N79" s="119">
        <f t="shared" si="5"/>
        <v>21773580.167124875</v>
      </c>
    </row>
    <row r="80" spans="1:14" ht="13">
      <c r="A80" s="2">
        <f t="shared" si="6"/>
        <v>37</v>
      </c>
      <c r="C80" s="408" t="s">
        <v>2941</v>
      </c>
      <c r="D80" s="253">
        <f>'17-Depreciation'!C58</f>
        <v>0</v>
      </c>
      <c r="E80" s="253">
        <f>'17-Depreciation'!D58</f>
        <v>243018.81408500395</v>
      </c>
      <c r="F80" s="253">
        <f>'17-Depreciation'!E58</f>
        <v>1780198.1547889148</v>
      </c>
      <c r="G80" s="253">
        <f>'17-Depreciation'!F58</f>
        <v>8349003.748710189</v>
      </c>
      <c r="H80" s="253">
        <f>'17-Depreciation'!G58</f>
        <v>4954453.0476173824</v>
      </c>
      <c r="I80" s="253">
        <f>'17-Depreciation'!H58</f>
        <v>1626447.8680912268</v>
      </c>
      <c r="J80" s="253">
        <f>'17-Depreciation'!I58</f>
        <v>4103051.4496417022</v>
      </c>
      <c r="K80" s="253">
        <f>'17-Depreciation'!J58</f>
        <v>296048.76066304446</v>
      </c>
      <c r="L80" s="253">
        <f>'17-Depreciation'!K58</f>
        <v>189265.87991526563</v>
      </c>
      <c r="M80" s="253">
        <f>'17-Depreciation'!L58</f>
        <v>289608.83698217879</v>
      </c>
      <c r="N80" s="119">
        <f t="shared" si="5"/>
        <v>21831096.560494907</v>
      </c>
    </row>
    <row r="81" spans="1:14" ht="13">
      <c r="A81" s="2">
        <f t="shared" si="6"/>
        <v>38</v>
      </c>
      <c r="C81" s="408" t="s">
        <v>2942</v>
      </c>
      <c r="D81" s="53">
        <f>'17-Depreciation'!C59</f>
        <v>0</v>
      </c>
      <c r="E81" s="53">
        <f>'17-Depreciation'!D59</f>
        <v>242964.38462289737</v>
      </c>
      <c r="F81" s="53">
        <f>'17-Depreciation'!E59</f>
        <v>1810905.2562298423</v>
      </c>
      <c r="G81" s="53">
        <f>'17-Depreciation'!F59</f>
        <v>8417861.300703492</v>
      </c>
      <c r="H81" s="53">
        <f>'17-Depreciation'!G59</f>
        <v>4967172.5309534371</v>
      </c>
      <c r="I81" s="53">
        <f>'17-Depreciation'!H59</f>
        <v>1646192.8201282378</v>
      </c>
      <c r="J81" s="53">
        <f>'17-Depreciation'!I59</f>
        <v>4105744.7864425001</v>
      </c>
      <c r="K81" s="53">
        <f>'17-Depreciation'!J59</f>
        <v>296048.73264916753</v>
      </c>
      <c r="L81" s="53">
        <f>'17-Depreciation'!K59</f>
        <v>189211.02919431555</v>
      </c>
      <c r="M81" s="53">
        <f>'17-Depreciation'!L59</f>
        <v>289792.04209996801</v>
      </c>
      <c r="N81" s="192">
        <f t="shared" si="5"/>
        <v>21965892.883023854</v>
      </c>
    </row>
    <row r="82" spans="1:14" ht="13">
      <c r="A82" s="2">
        <f t="shared" si="6"/>
        <v>39</v>
      </c>
      <c r="C82" s="593" t="s">
        <v>409</v>
      </c>
      <c r="D82" s="119">
        <f t="shared" ref="D82:M82" si="7">SUM(D70:D81)</f>
        <v>0</v>
      </c>
      <c r="E82" s="119">
        <f t="shared" si="7"/>
        <v>2822334.7927592364</v>
      </c>
      <c r="F82" s="119">
        <f t="shared" si="7"/>
        <v>21013865.89044062</v>
      </c>
      <c r="G82" s="119">
        <f t="shared" si="7"/>
        <v>99324949.057269335</v>
      </c>
      <c r="H82" s="119">
        <f t="shared" si="7"/>
        <v>58978704.972123392</v>
      </c>
      <c r="I82" s="119">
        <f t="shared" si="7"/>
        <v>18229432.056119822</v>
      </c>
      <c r="J82" s="119">
        <f t="shared" si="7"/>
        <v>48218994.531925738</v>
      </c>
      <c r="K82" s="119">
        <f t="shared" si="7"/>
        <v>3553587.639530634</v>
      </c>
      <c r="L82" s="119">
        <f t="shared" si="7"/>
        <v>2277269.5639190148</v>
      </c>
      <c r="M82" s="119">
        <f t="shared" si="7"/>
        <v>3384825.2626978992</v>
      </c>
      <c r="N82" s="119">
        <f t="shared" si="5"/>
        <v>257803963.76678568</v>
      </c>
    </row>
    <row r="84" spans="1:14" ht="13">
      <c r="C84" s="1" t="s">
        <v>767</v>
      </c>
      <c r="D84" s="251"/>
      <c r="E84" s="251"/>
      <c r="F84" s="251"/>
      <c r="G84" s="251"/>
      <c r="H84" s="251"/>
      <c r="I84" s="251"/>
      <c r="J84" s="251"/>
      <c r="K84" s="251"/>
      <c r="L84" s="251"/>
    </row>
    <row r="85" spans="1:14">
      <c r="C85" s="251"/>
      <c r="D85" s="251"/>
      <c r="E85" s="251"/>
      <c r="F85" s="251"/>
      <c r="G85" s="251"/>
      <c r="H85" s="251"/>
      <c r="I85" s="251"/>
      <c r="J85" s="251"/>
      <c r="K85" s="251"/>
      <c r="L85" s="251"/>
    </row>
    <row r="86" spans="1:14" ht="13">
      <c r="C86" s="48" t="s">
        <v>336</v>
      </c>
      <c r="D86" s="48" t="s">
        <v>337</v>
      </c>
      <c r="E86" s="48" t="s">
        <v>338</v>
      </c>
      <c r="F86" s="48" t="s">
        <v>339</v>
      </c>
      <c r="G86" s="48" t="s">
        <v>340</v>
      </c>
      <c r="H86" s="48" t="s">
        <v>341</v>
      </c>
      <c r="I86" s="48" t="s">
        <v>342</v>
      </c>
      <c r="J86" s="48" t="s">
        <v>343</v>
      </c>
      <c r="K86" s="48" t="s">
        <v>344</v>
      </c>
      <c r="L86" s="48" t="s">
        <v>589</v>
      </c>
      <c r="M86" s="48" t="s">
        <v>590</v>
      </c>
      <c r="N86" s="48"/>
    </row>
    <row r="87" spans="1:14">
      <c r="C87" s="131"/>
      <c r="D87" s="117"/>
      <c r="E87" s="117"/>
      <c r="F87" s="117"/>
      <c r="G87" s="117"/>
      <c r="H87" s="117"/>
      <c r="I87" s="117"/>
      <c r="J87" s="117"/>
      <c r="K87" s="117"/>
      <c r="L87" s="117"/>
      <c r="N87" s="131"/>
    </row>
    <row r="88" spans="1:14" ht="13">
      <c r="C88" s="3" t="s">
        <v>643</v>
      </c>
      <c r="D88" s="48">
        <v>350.1</v>
      </c>
      <c r="E88" s="48">
        <v>350.2</v>
      </c>
      <c r="F88" s="48">
        <v>352</v>
      </c>
      <c r="G88" s="48">
        <v>353</v>
      </c>
      <c r="H88" s="48">
        <v>354</v>
      </c>
      <c r="I88" s="48">
        <v>355</v>
      </c>
      <c r="J88" s="48">
        <v>356</v>
      </c>
      <c r="K88" s="48">
        <v>357</v>
      </c>
      <c r="L88" s="48">
        <v>358</v>
      </c>
      <c r="M88" s="48">
        <v>359</v>
      </c>
      <c r="N88" s="3"/>
    </row>
    <row r="89" spans="1:14" ht="13">
      <c r="A89" s="2">
        <f>A82+1</f>
        <v>40</v>
      </c>
      <c r="C89" s="408" t="s">
        <v>2931</v>
      </c>
      <c r="D89" s="611">
        <f>'6-PlantInService'!C167</f>
        <v>1.8215818023572611E-2</v>
      </c>
      <c r="E89" s="611">
        <f>'6-PlantInService'!D167</f>
        <v>8.8588855042169486E-5</v>
      </c>
      <c r="F89" s="611">
        <f>'6-PlantInService'!E167</f>
        <v>4.7662998706950337E-2</v>
      </c>
      <c r="G89" s="611">
        <f>'6-PlantInService'!F167</f>
        <v>1.8037867261743029E-2</v>
      </c>
      <c r="H89" s="611">
        <f>'6-PlantInService'!G167</f>
        <v>0.19224396292732016</v>
      </c>
      <c r="I89" s="611">
        <f>'6-PlantInService'!H167</f>
        <v>2.7678916612836599E-2</v>
      </c>
      <c r="J89" s="611">
        <f>'6-PlantInService'!I167</f>
        <v>0.75966799046980515</v>
      </c>
      <c r="K89" s="611">
        <f>'6-PlantInService'!J167</f>
        <v>-1.2314889937202455E-2</v>
      </c>
      <c r="L89" s="611">
        <f>'6-PlantInService'!K167</f>
        <v>5.2668601761609445E-2</v>
      </c>
      <c r="M89" s="611">
        <f>'6-PlantInService'!L167</f>
        <v>-0.40204320498345975</v>
      </c>
      <c r="N89" s="119"/>
    </row>
    <row r="90" spans="1:14" ht="13">
      <c r="A90" s="2">
        <f t="shared" ref="A90:A100" si="8">A89+1</f>
        <v>41</v>
      </c>
      <c r="C90" s="408" t="s">
        <v>2932</v>
      </c>
      <c r="D90" s="611">
        <f>'6-PlantInService'!C168</f>
        <v>6.18276620523805E-16</v>
      </c>
      <c r="E90" s="611">
        <f>'6-PlantInService'!D168</f>
        <v>2.5105017932848278E-2</v>
      </c>
      <c r="F90" s="611">
        <f>'6-PlantInService'!E168</f>
        <v>7.6405850943718628E-2</v>
      </c>
      <c r="G90" s="611">
        <f>'6-PlantInService'!F168</f>
        <v>0.11212355909343553</v>
      </c>
      <c r="H90" s="611">
        <f>'6-PlantInService'!G168</f>
        <v>0.25428140592703624</v>
      </c>
      <c r="I90" s="611">
        <f>'6-PlantInService'!H168</f>
        <v>8.6180768119223664E-2</v>
      </c>
      <c r="J90" s="611">
        <f>'6-PlantInService'!I168</f>
        <v>-2.0218400105205533E-2</v>
      </c>
      <c r="K90" s="611">
        <f>'6-PlantInService'!J168</f>
        <v>-4.2377260657495884E-2</v>
      </c>
      <c r="L90" s="611">
        <f>'6-PlantInService'!K168</f>
        <v>0.34733271372180918</v>
      </c>
      <c r="M90" s="611">
        <f>'6-PlantInService'!L168</f>
        <v>0.36795850865069624</v>
      </c>
      <c r="N90" s="119"/>
    </row>
    <row r="91" spans="1:14" ht="13">
      <c r="A91" s="2">
        <f t="shared" si="8"/>
        <v>42</v>
      </c>
      <c r="C91" s="408" t="s">
        <v>2933</v>
      </c>
      <c r="D91" s="611">
        <f>'6-PlantInService'!C169</f>
        <v>-4.9157376400579215E-4</v>
      </c>
      <c r="E91" s="611">
        <f>'6-PlantInService'!D169</f>
        <v>1.6574062170899614E-2</v>
      </c>
      <c r="F91" s="611">
        <f>'6-PlantInService'!E169</f>
        <v>4.6559324420312104E-2</v>
      </c>
      <c r="G91" s="611">
        <f>'6-PlantInService'!F169</f>
        <v>9.2628440929006364E-2</v>
      </c>
      <c r="H91" s="611">
        <f>'6-PlantInService'!G169</f>
        <v>0.23404666099581389</v>
      </c>
      <c r="I91" s="611">
        <f>'6-PlantInService'!H169</f>
        <v>6.5902203935143081E-2</v>
      </c>
      <c r="J91" s="611">
        <f>'6-PlantInService'!I169</f>
        <v>4.3257395424556441E-3</v>
      </c>
      <c r="K91" s="611">
        <f>'6-PlantInService'!J169</f>
        <v>1.8138180246654778E-3</v>
      </c>
      <c r="L91" s="611">
        <f>'6-PlantInService'!K169</f>
        <v>4.0464827061113727E-2</v>
      </c>
      <c r="M91" s="611">
        <f>'6-PlantInService'!L169</f>
        <v>1.5069045578357769E-2</v>
      </c>
      <c r="N91" s="119"/>
    </row>
    <row r="92" spans="1:14" ht="13">
      <c r="A92" s="2">
        <f t="shared" si="8"/>
        <v>43</v>
      </c>
      <c r="C92" s="408" t="s">
        <v>2934</v>
      </c>
      <c r="D92" s="611">
        <f>'6-PlantInService'!C170</f>
        <v>0</v>
      </c>
      <c r="E92" s="611">
        <f>'6-PlantInService'!D170</f>
        <v>1.7193251341103193E-3</v>
      </c>
      <c r="F92" s="611">
        <f>'6-PlantInService'!E170</f>
        <v>2.0981044843643132E-2</v>
      </c>
      <c r="G92" s="611">
        <f>'6-PlantInService'!F170</f>
        <v>0.15193170911767578</v>
      </c>
      <c r="H92" s="611">
        <f>'6-PlantInService'!G170</f>
        <v>0.37089305703531184</v>
      </c>
      <c r="I92" s="611">
        <f>'6-PlantInService'!H170</f>
        <v>0.24193783930409848</v>
      </c>
      <c r="J92" s="611">
        <f>'6-PlantInService'!I170</f>
        <v>-0.22870952592147306</v>
      </c>
      <c r="K92" s="611">
        <f>'6-PlantInService'!J170</f>
        <v>-4.0812450018543429E-3</v>
      </c>
      <c r="L92" s="611">
        <f>'6-PlantInService'!K170</f>
        <v>0.14220857633435596</v>
      </c>
      <c r="M92" s="611">
        <f>'6-PlantInService'!L170</f>
        <v>1.5797642991207941</v>
      </c>
      <c r="N92" s="119"/>
    </row>
    <row r="93" spans="1:14" ht="13">
      <c r="A93" s="2">
        <f t="shared" si="8"/>
        <v>44</v>
      </c>
      <c r="C93" s="408" t="s">
        <v>2935</v>
      </c>
      <c r="D93" s="611">
        <f>'6-PlantInService'!C171</f>
        <v>0</v>
      </c>
      <c r="E93" s="611">
        <f>'6-PlantInService'!D171</f>
        <v>2.5233239521451011E-3</v>
      </c>
      <c r="F93" s="611">
        <f>'6-PlantInService'!E171</f>
        <v>3.5347819387787971E-2</v>
      </c>
      <c r="G93" s="611">
        <f>'6-PlantInService'!F171</f>
        <v>0.13162770381071184</v>
      </c>
      <c r="H93" s="611">
        <f>'6-PlantInService'!G171</f>
        <v>-0.67461518705578716</v>
      </c>
      <c r="I93" s="611">
        <f>'6-PlantInService'!H171</f>
        <v>0.16517030413872424</v>
      </c>
      <c r="J93" s="611">
        <f>'6-PlantInService'!I171</f>
        <v>0.19017747145874947</v>
      </c>
      <c r="K93" s="611">
        <f>'6-PlantInService'!J171</f>
        <v>9.7494153682238377E-2</v>
      </c>
      <c r="L93" s="611">
        <f>'6-PlantInService'!K171</f>
        <v>-0.18536798376613178</v>
      </c>
      <c r="M93" s="611">
        <f>'6-PlantInService'!L171</f>
        <v>-0.45748481587652423</v>
      </c>
      <c r="N93" s="119"/>
    </row>
    <row r="94" spans="1:14" ht="13">
      <c r="A94" s="2">
        <f t="shared" si="8"/>
        <v>45</v>
      </c>
      <c r="C94" s="408" t="s">
        <v>2936</v>
      </c>
      <c r="D94" s="611">
        <f>'6-PlantInService'!C172</f>
        <v>-2.882537819238104E-4</v>
      </c>
      <c r="E94" s="611">
        <f>'6-PlantInService'!D172</f>
        <v>3.4061425816413475E-3</v>
      </c>
      <c r="F94" s="611">
        <f>'6-PlantInService'!E172</f>
        <v>0.11869705950713605</v>
      </c>
      <c r="G94" s="611">
        <f>'6-PlantInService'!F172</f>
        <v>7.0856090784732761E-2</v>
      </c>
      <c r="H94" s="611">
        <f>'6-PlantInService'!G172</f>
        <v>0.11914134491016806</v>
      </c>
      <c r="I94" s="611">
        <f>'6-PlantInService'!H172</f>
        <v>6.7291382806956554E-2</v>
      </c>
      <c r="J94" s="611">
        <f>'6-PlantInService'!I172</f>
        <v>0.15429983037550637</v>
      </c>
      <c r="K94" s="611">
        <f>'6-PlantInService'!J172</f>
        <v>1.5920736594741122E-2</v>
      </c>
      <c r="L94" s="611">
        <f>'6-PlantInService'!K172</f>
        <v>0.57518750930906148</v>
      </c>
      <c r="M94" s="611">
        <f>'6-PlantInService'!L172</f>
        <v>-7.3759953901737701E-2</v>
      </c>
      <c r="N94" s="119"/>
    </row>
    <row r="95" spans="1:14" ht="13">
      <c r="A95" s="2">
        <f t="shared" si="8"/>
        <v>46</v>
      </c>
      <c r="C95" s="408" t="s">
        <v>2937</v>
      </c>
      <c r="D95" s="611">
        <f>'6-PlantInService'!C173</f>
        <v>-1.3936727882293194E-3</v>
      </c>
      <c r="E95" s="611">
        <f>'6-PlantInService'!D173</f>
        <v>0</v>
      </c>
      <c r="F95" s="611">
        <f>'6-PlantInService'!E173</f>
        <v>3.4286226653525306E-2</v>
      </c>
      <c r="G95" s="611">
        <f>'6-PlantInService'!F173</f>
        <v>7.2048282911896785E-2</v>
      </c>
      <c r="H95" s="611">
        <f>'6-PlantInService'!G173</f>
        <v>8.3136901639554131E-2</v>
      </c>
      <c r="I95" s="611">
        <f>'6-PlantInService'!H173</f>
        <v>5.0903096805328472E-2</v>
      </c>
      <c r="J95" s="611">
        <f>'6-PlantInService'!I173</f>
        <v>1.6568024341521759E-2</v>
      </c>
      <c r="K95" s="611">
        <f>'6-PlantInService'!J173</f>
        <v>0.58610414582948567</v>
      </c>
      <c r="L95" s="611">
        <f>'6-PlantInService'!K173</f>
        <v>0.69795534563280781</v>
      </c>
      <c r="M95" s="611">
        <f>'6-PlantInService'!L173</f>
        <v>1.9632725755956613E-2</v>
      </c>
      <c r="N95" s="119"/>
    </row>
    <row r="96" spans="1:14" ht="13">
      <c r="A96" s="2">
        <f t="shared" si="8"/>
        <v>47</v>
      </c>
      <c r="C96" s="408" t="s">
        <v>2938</v>
      </c>
      <c r="D96" s="611">
        <f>'6-PlantInService'!C174</f>
        <v>-1.8548298615714151E-15</v>
      </c>
      <c r="E96" s="611">
        <f>'6-PlantInService'!D174</f>
        <v>0.90416728143897129</v>
      </c>
      <c r="F96" s="611">
        <f>'6-PlantInService'!E174</f>
        <v>-1.2974037288436733E-3</v>
      </c>
      <c r="G96" s="611">
        <f>'6-PlantInService'!F174</f>
        <v>1.0258922991472007E-2</v>
      </c>
      <c r="H96" s="611">
        <f>'6-PlantInService'!G174</f>
        <v>-5.9312711177761698E-2</v>
      </c>
      <c r="I96" s="611">
        <f>'6-PlantInService'!H174</f>
        <v>-1.5087082069367255E-2</v>
      </c>
      <c r="J96" s="611">
        <f>'6-PlantInService'!I174</f>
        <v>5.9585168094296585E-2</v>
      </c>
      <c r="K96" s="611">
        <f>'6-PlantInService'!J174</f>
        <v>2.5774332009782146E-3</v>
      </c>
      <c r="L96" s="611">
        <f>'6-PlantInService'!K174</f>
        <v>9.533520427490913E-2</v>
      </c>
      <c r="M96" s="611">
        <f>'6-PlantInService'!L174</f>
        <v>4.2724248957529389E-2</v>
      </c>
      <c r="N96" s="119"/>
    </row>
    <row r="97" spans="1:14" ht="13">
      <c r="A97" s="2">
        <f t="shared" si="8"/>
        <v>48</v>
      </c>
      <c r="C97" s="408" t="s">
        <v>2939</v>
      </c>
      <c r="D97" s="611">
        <f>'6-PlantInService'!C175</f>
        <v>0</v>
      </c>
      <c r="E97" s="611">
        <f>'6-PlantInService'!D175</f>
        <v>1.024728990043668E-4</v>
      </c>
      <c r="F97" s="611">
        <f>'6-PlantInService'!E175</f>
        <v>6.7967300425258212E-2</v>
      </c>
      <c r="G97" s="611">
        <f>'6-PlantInService'!F175</f>
        <v>1.92406829453209E-2</v>
      </c>
      <c r="H97" s="611">
        <f>'6-PlantInService'!G175</f>
        <v>3.2251337859515512E-2</v>
      </c>
      <c r="I97" s="611">
        <f>'6-PlantInService'!H175</f>
        <v>8.487583853452807E-2</v>
      </c>
      <c r="J97" s="611">
        <f>'6-PlantInService'!I175</f>
        <v>1.1724414585107791E-2</v>
      </c>
      <c r="K97" s="611">
        <f>'6-PlantInService'!J175</f>
        <v>0.45561102571224404</v>
      </c>
      <c r="L97" s="611">
        <f>'6-PlantInService'!K175</f>
        <v>-0.48332435361377357</v>
      </c>
      <c r="M97" s="611">
        <f>'6-PlantInService'!L175</f>
        <v>-4.2538518428891628E-2</v>
      </c>
      <c r="N97" s="119"/>
    </row>
    <row r="98" spans="1:14" ht="13">
      <c r="A98" s="2">
        <f t="shared" si="8"/>
        <v>49</v>
      </c>
      <c r="C98" s="408" t="s">
        <v>2940</v>
      </c>
      <c r="D98" s="611">
        <f>'6-PlantInService'!C176</f>
        <v>0</v>
      </c>
      <c r="E98" s="611">
        <f>'6-PlantInService'!D176</f>
        <v>3.6861235202086909E-2</v>
      </c>
      <c r="F98" s="611">
        <f>'6-PlantInService'!E176</f>
        <v>0.2305552682133665</v>
      </c>
      <c r="G98" s="611">
        <f>'6-PlantInService'!F176</f>
        <v>3.1197888687164575E-2</v>
      </c>
      <c r="H98" s="611">
        <f>'6-PlantInService'!G176</f>
        <v>5.4106424050256265E-2</v>
      </c>
      <c r="I98" s="611">
        <f>'6-PlantInService'!H176</f>
        <v>9.1844644126801739E-2</v>
      </c>
      <c r="J98" s="611">
        <f>'6-PlantInService'!I176</f>
        <v>5.3748502755060004E-3</v>
      </c>
      <c r="K98" s="611">
        <f>'6-PlantInService'!J176</f>
        <v>-9.6372447152412208E-2</v>
      </c>
      <c r="L98" s="611">
        <f>'6-PlantInService'!K176</f>
        <v>-0.15396292603241024</v>
      </c>
      <c r="M98" s="611">
        <f>'6-PlantInService'!L176</f>
        <v>-3.7658516554553469E-5</v>
      </c>
      <c r="N98" s="119"/>
    </row>
    <row r="99" spans="1:14" ht="13">
      <c r="A99" s="2">
        <f t="shared" si="8"/>
        <v>50</v>
      </c>
      <c r="C99" s="408" t="s">
        <v>2941</v>
      </c>
      <c r="D99" s="611">
        <f>'6-PlantInService'!C177</f>
        <v>-3.6411580548818024E-5</v>
      </c>
      <c r="E99" s="611">
        <f>'6-PlantInService'!D177</f>
        <v>-4.5974719345426834E-3</v>
      </c>
      <c r="F99" s="611">
        <f>'6-PlantInService'!E177</f>
        <v>0.36829235119415898</v>
      </c>
      <c r="G99" s="611">
        <f>'6-PlantInService'!F177</f>
        <v>7.9808325700785901E-2</v>
      </c>
      <c r="H99" s="611">
        <f>'6-PlantInService'!G177</f>
        <v>0.17347935894210226</v>
      </c>
      <c r="I99" s="611">
        <f>'6-PlantInService'!H177</f>
        <v>7.9510085098090516E-2</v>
      </c>
      <c r="J99" s="611">
        <f>'6-PlantInService'!I177</f>
        <v>8.3800365758052407E-3</v>
      </c>
      <c r="K99" s="611">
        <f>'6-PlantInService'!J177</f>
        <v>2.1956044386889351E-4</v>
      </c>
      <c r="L99" s="611">
        <f>'6-PlantInService'!K177</f>
        <v>3.3211758419495079E-2</v>
      </c>
      <c r="M99" s="611">
        <f>'6-PlantInService'!L177</f>
        <v>1.0189374652600426E-4</v>
      </c>
      <c r="N99" s="119"/>
    </row>
    <row r="100" spans="1:14" ht="13">
      <c r="A100" s="2">
        <f t="shared" si="8"/>
        <v>51</v>
      </c>
      <c r="C100" s="408" t="s">
        <v>2942</v>
      </c>
      <c r="D100" s="611">
        <f>'6-PlantInService'!C178</f>
        <v>0.98399409389113635</v>
      </c>
      <c r="E100" s="611">
        <f>'6-PlantInService'!D178</f>
        <v>1.4050021767793307E-2</v>
      </c>
      <c r="F100" s="611">
        <f>'6-PlantInService'!E178</f>
        <v>-4.5457840567013533E-2</v>
      </c>
      <c r="G100" s="611">
        <f>'6-PlantInService'!F178</f>
        <v>0.21024052576605451</v>
      </c>
      <c r="H100" s="611">
        <f>'6-PlantInService'!G178</f>
        <v>0.22034744394647049</v>
      </c>
      <c r="I100" s="611">
        <f>'6-PlantInService'!H178</f>
        <v>5.3792002587635827E-2</v>
      </c>
      <c r="J100" s="611">
        <f>'6-PlantInService'!I178</f>
        <v>3.8824400307924611E-2</v>
      </c>
      <c r="K100" s="611">
        <f>'6-PlantInService'!J178</f>
        <v>-4.5950307392569542E-3</v>
      </c>
      <c r="L100" s="611">
        <f>'6-PlantInService'!K178</f>
        <v>-0.16170927310284619</v>
      </c>
      <c r="M100" s="611">
        <f>'6-PlantInService'!L178</f>
        <v>-4.9386570102692255E-2</v>
      </c>
      <c r="N100" s="192"/>
    </row>
    <row r="102" spans="1:14" ht="13">
      <c r="C102" s="1" t="s">
        <v>768</v>
      </c>
    </row>
    <row r="104" spans="1:14">
      <c r="C104" s="250" t="s">
        <v>769</v>
      </c>
    </row>
    <row r="105" spans="1:14" ht="13">
      <c r="C105" s="12"/>
      <c r="D105" s="48">
        <v>350.1</v>
      </c>
      <c r="E105" s="48">
        <v>350.2</v>
      </c>
      <c r="F105" s="48">
        <v>352</v>
      </c>
      <c r="G105" s="48">
        <v>353</v>
      </c>
      <c r="H105" s="48">
        <v>354</v>
      </c>
      <c r="I105" s="48">
        <v>355</v>
      </c>
      <c r="J105" s="48">
        <v>356</v>
      </c>
      <c r="K105" s="48">
        <v>357</v>
      </c>
      <c r="L105" s="48">
        <v>358</v>
      </c>
      <c r="M105" s="48">
        <v>359</v>
      </c>
      <c r="N105" s="3" t="s">
        <v>249</v>
      </c>
    </row>
    <row r="106" spans="1:14" ht="13">
      <c r="A106" s="2">
        <f>A100+1</f>
        <v>52</v>
      </c>
      <c r="C106" s="12"/>
      <c r="D106" s="6">
        <f t="shared" ref="D106:M106" si="9">D24-D12</f>
        <v>0</v>
      </c>
      <c r="E106" s="6">
        <f t="shared" si="9"/>
        <v>2786520</v>
      </c>
      <c r="F106" s="6">
        <f t="shared" si="9"/>
        <v>19545956</v>
      </c>
      <c r="G106" s="6">
        <f t="shared" si="9"/>
        <v>74863713</v>
      </c>
      <c r="H106" s="6">
        <f t="shared" si="9"/>
        <v>61644497</v>
      </c>
      <c r="I106" s="6">
        <f t="shared" si="9"/>
        <v>3128512</v>
      </c>
      <c r="J106" s="6">
        <f t="shared" si="9"/>
        <v>42480154</v>
      </c>
      <c r="K106" s="6">
        <f t="shared" si="9"/>
        <v>3270463</v>
      </c>
      <c r="L106" s="6">
        <f t="shared" si="9"/>
        <v>2950379</v>
      </c>
      <c r="M106" s="6">
        <f t="shared" si="9"/>
        <v>3207555</v>
      </c>
      <c r="N106" s="6">
        <f>SUM(D106:M106)</f>
        <v>213877749</v>
      </c>
    </row>
    <row r="107" spans="1:14">
      <c r="C107" s="250" t="s">
        <v>770</v>
      </c>
    </row>
    <row r="108" spans="1:14" ht="13">
      <c r="C108" s="12"/>
      <c r="D108" s="48">
        <v>350.1</v>
      </c>
      <c r="E108" s="48">
        <v>350.2</v>
      </c>
      <c r="F108" s="48">
        <v>352</v>
      </c>
      <c r="G108" s="48">
        <v>353</v>
      </c>
      <c r="H108" s="48">
        <v>354</v>
      </c>
      <c r="I108" s="48">
        <v>355</v>
      </c>
      <c r="J108" s="48">
        <v>356</v>
      </c>
      <c r="K108" s="48">
        <v>357</v>
      </c>
      <c r="L108" s="48">
        <v>358</v>
      </c>
      <c r="M108" s="48">
        <v>359</v>
      </c>
      <c r="N108" s="3" t="s">
        <v>249</v>
      </c>
    </row>
    <row r="109" spans="1:14" ht="13">
      <c r="A109" s="2">
        <f>A106+1</f>
        <v>53</v>
      </c>
      <c r="C109" s="12"/>
      <c r="D109" s="6">
        <f t="shared" ref="D109:M109" si="10">D82</f>
        <v>0</v>
      </c>
      <c r="E109" s="6">
        <f t="shared" si="10"/>
        <v>2822334.7927592364</v>
      </c>
      <c r="F109" s="6">
        <f t="shared" si="10"/>
        <v>21013865.89044062</v>
      </c>
      <c r="G109" s="6">
        <f t="shared" si="10"/>
        <v>99324949.057269335</v>
      </c>
      <c r="H109" s="6">
        <f t="shared" si="10"/>
        <v>58978704.972123392</v>
      </c>
      <c r="I109" s="6">
        <f t="shared" si="10"/>
        <v>18229432.056119822</v>
      </c>
      <c r="J109" s="6">
        <f t="shared" si="10"/>
        <v>48218994.531925738</v>
      </c>
      <c r="K109" s="6">
        <f t="shared" si="10"/>
        <v>3553587.639530634</v>
      </c>
      <c r="L109" s="6">
        <f t="shared" si="10"/>
        <v>2277269.5639190148</v>
      </c>
      <c r="M109" s="6">
        <f t="shared" si="10"/>
        <v>3384825.2626978992</v>
      </c>
      <c r="N109" s="6">
        <f>SUM(D109:M109)</f>
        <v>257803963.76678568</v>
      </c>
    </row>
    <row r="110" spans="1:14">
      <c r="C110" s="250" t="s">
        <v>771</v>
      </c>
    </row>
    <row r="111" spans="1:14" ht="13">
      <c r="D111" s="48">
        <v>350.1</v>
      </c>
      <c r="E111" s="48">
        <v>350.2</v>
      </c>
      <c r="F111" s="48">
        <v>352</v>
      </c>
      <c r="G111" s="48">
        <v>353</v>
      </c>
      <c r="H111" s="48">
        <v>354</v>
      </c>
      <c r="I111" s="48">
        <v>355</v>
      </c>
      <c r="J111" s="48">
        <v>356</v>
      </c>
      <c r="K111" s="48">
        <v>357</v>
      </c>
      <c r="L111" s="48">
        <v>358</v>
      </c>
      <c r="M111" s="48">
        <v>359</v>
      </c>
      <c r="N111" s="3" t="s">
        <v>249</v>
      </c>
    </row>
    <row r="112" spans="1:14" ht="13">
      <c r="A112" s="2">
        <f>A109+1</f>
        <v>54</v>
      </c>
      <c r="D112" s="6">
        <f t="shared" ref="D112:M112" si="11">D106-D109</f>
        <v>0</v>
      </c>
      <c r="E112" s="6">
        <f t="shared" si="11"/>
        <v>-35814.792759236414</v>
      </c>
      <c r="F112" s="6">
        <f t="shared" si="11"/>
        <v>-1467909.8904406205</v>
      </c>
      <c r="G112" s="6">
        <f t="shared" si="11"/>
        <v>-24461236.057269335</v>
      </c>
      <c r="H112" s="6">
        <f t="shared" si="11"/>
        <v>2665792.0278766081</v>
      </c>
      <c r="I112" s="6">
        <f t="shared" si="11"/>
        <v>-15100920.056119822</v>
      </c>
      <c r="J112" s="6">
        <f t="shared" si="11"/>
        <v>-5738840.5319257379</v>
      </c>
      <c r="K112" s="6">
        <f t="shared" si="11"/>
        <v>-283124.63953063404</v>
      </c>
      <c r="L112" s="6">
        <f t="shared" si="11"/>
        <v>673109.43608098524</v>
      </c>
      <c r="M112" s="6">
        <f t="shared" si="11"/>
        <v>-177270.26269789925</v>
      </c>
      <c r="N112" s="6">
        <f>SUM(D112:M112)</f>
        <v>-43926214.766785689</v>
      </c>
    </row>
    <row r="114" spans="1:14" ht="13">
      <c r="C114" s="1" t="s">
        <v>772</v>
      </c>
      <c r="D114" s="251"/>
      <c r="E114" s="251"/>
      <c r="F114" s="251"/>
      <c r="G114" s="251"/>
      <c r="H114" s="251"/>
      <c r="I114" s="251"/>
      <c r="J114" s="251"/>
      <c r="K114" s="251"/>
      <c r="L114" s="251"/>
    </row>
    <row r="115" spans="1:14">
      <c r="C115" s="251"/>
      <c r="D115" s="251"/>
      <c r="E115" s="251"/>
      <c r="F115" s="251"/>
      <c r="G115" s="251"/>
      <c r="H115" s="251"/>
      <c r="I115" s="251"/>
      <c r="J115" s="251"/>
      <c r="K115" s="251"/>
      <c r="L115" s="251"/>
    </row>
    <row r="116" spans="1:14" ht="13">
      <c r="C116" s="48" t="s">
        <v>336</v>
      </c>
      <c r="D116" s="48" t="s">
        <v>337</v>
      </c>
      <c r="E116" s="48" t="s">
        <v>338</v>
      </c>
      <c r="F116" s="48" t="s">
        <v>339</v>
      </c>
      <c r="G116" s="48" t="s">
        <v>340</v>
      </c>
      <c r="H116" s="48" t="s">
        <v>341</v>
      </c>
      <c r="I116" s="48" t="s">
        <v>342</v>
      </c>
      <c r="J116" s="48" t="s">
        <v>343</v>
      </c>
      <c r="K116" s="48" t="s">
        <v>344</v>
      </c>
      <c r="L116" s="48" t="s">
        <v>589</v>
      </c>
      <c r="M116" s="48" t="s">
        <v>590</v>
      </c>
      <c r="N116" s="48" t="s">
        <v>591</v>
      </c>
    </row>
    <row r="117" spans="1:14">
      <c r="C117" s="131"/>
      <c r="D117" s="117"/>
      <c r="E117" s="117"/>
      <c r="F117" s="117"/>
      <c r="G117" s="117"/>
      <c r="H117" s="117"/>
      <c r="I117" s="117"/>
      <c r="J117" s="117"/>
      <c r="K117" s="117"/>
      <c r="L117" s="117"/>
      <c r="N117" s="131" t="s">
        <v>642</v>
      </c>
    </row>
    <row r="118" spans="1:14" ht="13">
      <c r="C118" s="3" t="s">
        <v>643</v>
      </c>
      <c r="D118" s="48">
        <v>350.1</v>
      </c>
      <c r="E118" s="48">
        <v>350.2</v>
      </c>
      <c r="F118" s="48">
        <v>352</v>
      </c>
      <c r="G118" s="48">
        <v>353</v>
      </c>
      <c r="H118" s="48">
        <v>354</v>
      </c>
      <c r="I118" s="48">
        <v>355</v>
      </c>
      <c r="J118" s="48">
        <v>356</v>
      </c>
      <c r="K118" s="48">
        <v>357</v>
      </c>
      <c r="L118" s="48">
        <v>358</v>
      </c>
      <c r="M118" s="48">
        <v>359</v>
      </c>
      <c r="N118" s="3" t="s">
        <v>249</v>
      </c>
    </row>
    <row r="119" spans="1:14" ht="13">
      <c r="A119" s="2">
        <f>A112+1</f>
        <v>55</v>
      </c>
      <c r="C119" s="408" t="s">
        <v>2931</v>
      </c>
      <c r="D119" s="119">
        <f>D$112*D89</f>
        <v>0</v>
      </c>
      <c r="E119" s="119">
        <f t="shared" ref="E119:M119" si="12">E$112*E89</f>
        <v>-3.1727914841133358</v>
      </c>
      <c r="F119" s="119">
        <f t="shared" si="12"/>
        <v>-69964.987209990897</v>
      </c>
      <c r="G119" s="119">
        <f t="shared" si="12"/>
        <v>-441228.52905918669</v>
      </c>
      <c r="H119" s="119">
        <f t="shared" si="12"/>
        <v>512482.42377905623</v>
      </c>
      <c r="I119" s="119">
        <f t="shared" si="12"/>
        <v>-417977.10701045231</v>
      </c>
      <c r="J119" s="119">
        <f t="shared" si="12"/>
        <v>-4359613.4545146925</v>
      </c>
      <c r="K119" s="119">
        <f t="shared" si="12"/>
        <v>3486.6487743298776</v>
      </c>
      <c r="L119" s="119">
        <f t="shared" si="12"/>
        <v>35451.732830930916</v>
      </c>
      <c r="M119" s="119">
        <f t="shared" si="12"/>
        <v>71270.304563323269</v>
      </c>
      <c r="N119" s="119">
        <f>SUM(D119:M119)</f>
        <v>-4666096.140638167</v>
      </c>
    </row>
    <row r="120" spans="1:14" ht="13">
      <c r="A120" s="2">
        <f t="shared" ref="A120:A131" si="13">A119+1</f>
        <v>56</v>
      </c>
      <c r="C120" s="408" t="s">
        <v>2932</v>
      </c>
      <c r="D120" s="119">
        <f t="shared" ref="D120:M130" si="14">D$112*D90</f>
        <v>0</v>
      </c>
      <c r="E120" s="119">
        <f t="shared" si="14"/>
        <v>-899.13101448187479</v>
      </c>
      <c r="F120" s="119">
        <f t="shared" si="14"/>
        <v>-112156.90428781639</v>
      </c>
      <c r="G120" s="119">
        <f t="shared" si="14"/>
        <v>-2742680.8465657141</v>
      </c>
      <c r="H120" s="119">
        <f t="shared" si="14"/>
        <v>677861.34475754888</v>
      </c>
      <c r="I120" s="119">
        <f t="shared" si="14"/>
        <v>-1301408.8897433963</v>
      </c>
      <c r="J120" s="119">
        <f t="shared" si="14"/>
        <v>116030.17401444512</v>
      </c>
      <c r="K120" s="119">
        <f t="shared" si="14"/>
        <v>11998.046647949242</v>
      </c>
      <c r="L120" s="119">
        <f t="shared" si="14"/>
        <v>233792.92706576525</v>
      </c>
      <c r="M120" s="119">
        <f t="shared" si="14"/>
        <v>-65228.101490436158</v>
      </c>
      <c r="N120" s="119">
        <f t="shared" ref="N120:N130" si="15">SUM(D120:M120)</f>
        <v>-3182691.3806161368</v>
      </c>
    </row>
    <row r="121" spans="1:14" ht="13">
      <c r="A121" s="2">
        <f t="shared" si="13"/>
        <v>57</v>
      </c>
      <c r="C121" s="408" t="s">
        <v>2933</v>
      </c>
      <c r="D121" s="119">
        <f t="shared" si="14"/>
        <v>0</v>
      </c>
      <c r="E121" s="119">
        <f t="shared" si="14"/>
        <v>-593.59660182946971</v>
      </c>
      <c r="F121" s="119">
        <f t="shared" si="14"/>
        <v>-68344.892808809644</v>
      </c>
      <c r="G121" s="119">
        <f t="shared" si="14"/>
        <v>-2265806.1591812531</v>
      </c>
      <c r="H121" s="119">
        <f t="shared" si="14"/>
        <v>623919.72303377977</v>
      </c>
      <c r="I121" s="119">
        <f t="shared" si="14"/>
        <v>-995183.91314670083</v>
      </c>
      <c r="J121" s="119">
        <f t="shared" si="14"/>
        <v>-24824.729416798345</v>
      </c>
      <c r="K121" s="119">
        <f t="shared" si="14"/>
        <v>-513.53657440758013</v>
      </c>
      <c r="L121" s="119">
        <f t="shared" si="14"/>
        <v>27237.256924220852</v>
      </c>
      <c r="M121" s="119">
        <f t="shared" si="14"/>
        <v>-2671.2936682820987</v>
      </c>
      <c r="N121" s="119">
        <f t="shared" si="15"/>
        <v>-2706781.1414400805</v>
      </c>
    </row>
    <row r="122" spans="1:14" ht="13">
      <c r="A122" s="2">
        <f t="shared" si="13"/>
        <v>58</v>
      </c>
      <c r="C122" s="408" t="s">
        <v>2934</v>
      </c>
      <c r="D122" s="119">
        <f t="shared" si="14"/>
        <v>0</v>
      </c>
      <c r="E122" s="119">
        <f t="shared" si="14"/>
        <v>-61.577273363907437</v>
      </c>
      <c r="F122" s="119">
        <f t="shared" si="14"/>
        <v>-30798.283237761934</v>
      </c>
      <c r="G122" s="119">
        <f t="shared" si="14"/>
        <v>-3716437.4013118469</v>
      </c>
      <c r="H122" s="119">
        <f t="shared" si="14"/>
        <v>988723.75463951845</v>
      </c>
      <c r="I122" s="119">
        <f t="shared" si="14"/>
        <v>-3653483.9698815555</v>
      </c>
      <c r="J122" s="119">
        <f t="shared" si="14"/>
        <v>1312527.4973956698</v>
      </c>
      <c r="K122" s="119">
        <f t="shared" si="14"/>
        <v>1155.5010199862127</v>
      </c>
      <c r="L122" s="119">
        <f t="shared" si="14"/>
        <v>95721.934622298082</v>
      </c>
      <c r="M122" s="119">
        <f t="shared" si="14"/>
        <v>-280045.23230590584</v>
      </c>
      <c r="N122" s="119">
        <f t="shared" si="15"/>
        <v>-5282697.7763329614</v>
      </c>
    </row>
    <row r="123" spans="1:14" ht="13">
      <c r="A123" s="2">
        <f t="shared" si="13"/>
        <v>59</v>
      </c>
      <c r="C123" s="408" t="s">
        <v>2935</v>
      </c>
      <c r="D123" s="119">
        <f t="shared" si="14"/>
        <v>0</v>
      </c>
      <c r="E123" s="119">
        <f t="shared" si="14"/>
        <v>-90.372324410494173</v>
      </c>
      <c r="F123" s="119">
        <f t="shared" si="14"/>
        <v>-51887.413684842679</v>
      </c>
      <c r="G123" s="119">
        <f t="shared" si="14"/>
        <v>-3219776.3345901528</v>
      </c>
      <c r="H123" s="119">
        <f t="shared" si="14"/>
        <v>-1798383.7875378041</v>
      </c>
      <c r="I123" s="119">
        <f t="shared" si="14"/>
        <v>-2494223.5584438718</v>
      </c>
      <c r="J123" s="119">
        <f t="shared" si="14"/>
        <v>-1091398.1814666216</v>
      </c>
      <c r="K123" s="119">
        <f t="shared" si="14"/>
        <v>-27602.99711762798</v>
      </c>
      <c r="L123" s="119">
        <f t="shared" si="14"/>
        <v>-124772.93902029018</v>
      </c>
      <c r="M123" s="119">
        <f t="shared" si="14"/>
        <v>81098.453490731525</v>
      </c>
      <c r="N123" s="119">
        <f t="shared" si="15"/>
        <v>-8727037.1306948904</v>
      </c>
    </row>
    <row r="124" spans="1:14" ht="13">
      <c r="A124" s="2">
        <f t="shared" si="13"/>
        <v>60</v>
      </c>
      <c r="C124" s="408" t="s">
        <v>2936</v>
      </c>
      <c r="D124" s="119">
        <f t="shared" si="14"/>
        <v>0</v>
      </c>
      <c r="E124" s="119">
        <f t="shared" si="14"/>
        <v>-121.99029066989536</v>
      </c>
      <c r="F124" s="119">
        <f t="shared" si="14"/>
        <v>-174236.5876167439</v>
      </c>
      <c r="G124" s="119">
        <f t="shared" si="14"/>
        <v>-1733227.5627806545</v>
      </c>
      <c r="H124" s="119">
        <f t="shared" si="14"/>
        <v>317606.04745202331</v>
      </c>
      <c r="I124" s="119">
        <f t="shared" si="14"/>
        <v>-1016161.7922336068</v>
      </c>
      <c r="J124" s="119">
        <f t="shared" si="14"/>
        <v>-885502.12062822212</v>
      </c>
      <c r="K124" s="119">
        <f t="shared" si="14"/>
        <v>-4507.5528094482543</v>
      </c>
      <c r="L124" s="119">
        <f t="shared" si="14"/>
        <v>387164.1400318488</v>
      </c>
      <c r="M124" s="119">
        <f t="shared" si="14"/>
        <v>13075.446404745981</v>
      </c>
      <c r="N124" s="119">
        <f t="shared" si="15"/>
        <v>-3095911.9724707277</v>
      </c>
    </row>
    <row r="125" spans="1:14" ht="13">
      <c r="A125" s="2">
        <f t="shared" si="13"/>
        <v>61</v>
      </c>
      <c r="C125" s="408" t="s">
        <v>2937</v>
      </c>
      <c r="D125" s="119">
        <f t="shared" si="14"/>
        <v>0</v>
      </c>
      <c r="E125" s="119">
        <f t="shared" si="14"/>
        <v>0</v>
      </c>
      <c r="F125" s="119">
        <f t="shared" si="14"/>
        <v>-50329.091210598614</v>
      </c>
      <c r="G125" s="119">
        <f t="shared" si="14"/>
        <v>-1762390.0558288316</v>
      </c>
      <c r="H125" s="119">
        <f t="shared" si="14"/>
        <v>221625.68961308512</v>
      </c>
      <c r="I125" s="119">
        <f t="shared" si="14"/>
        <v>-768683.59546619351</v>
      </c>
      <c r="J125" s="119">
        <f t="shared" si="14"/>
        <v>-95081.249625057302</v>
      </c>
      <c r="K125" s="119">
        <f t="shared" si="14"/>
        <v>-165940.52501538329</v>
      </c>
      <c r="L125" s="119">
        <f t="shared" si="14"/>
        <v>469800.32910860842</v>
      </c>
      <c r="M125" s="119">
        <f t="shared" si="14"/>
        <v>-3480.2984522342413</v>
      </c>
      <c r="N125" s="119">
        <f t="shared" si="15"/>
        <v>-2154478.7968766056</v>
      </c>
    </row>
    <row r="126" spans="1:14" ht="13">
      <c r="A126" s="2">
        <f t="shared" si="13"/>
        <v>62</v>
      </c>
      <c r="C126" s="408" t="s">
        <v>2938</v>
      </c>
      <c r="D126" s="119">
        <f t="shared" si="14"/>
        <v>0</v>
      </c>
      <c r="E126" s="119">
        <f t="shared" si="14"/>
        <v>-32382.563804418944</v>
      </c>
      <c r="F126" s="119">
        <f t="shared" si="14"/>
        <v>1904.4717654641688</v>
      </c>
      <c r="G126" s="119">
        <f t="shared" si="14"/>
        <v>-250945.93698774444</v>
      </c>
      <c r="H126" s="119">
        <f t="shared" si="14"/>
        <v>-158115.35260942491</v>
      </c>
      <c r="I126" s="119">
        <f t="shared" si="14"/>
        <v>227828.82020963373</v>
      </c>
      <c r="J126" s="119">
        <f t="shared" si="14"/>
        <v>-341949.77776115754</v>
      </c>
      <c r="K126" s="119">
        <f t="shared" si="14"/>
        <v>-729.73484594124523</v>
      </c>
      <c r="L126" s="119">
        <f t="shared" si="14"/>
        <v>64171.02558814962</v>
      </c>
      <c r="M126" s="119">
        <f t="shared" si="14"/>
        <v>-7573.7388362716829</v>
      </c>
      <c r="N126" s="119">
        <f t="shared" si="15"/>
        <v>-497792.78728171118</v>
      </c>
    </row>
    <row r="127" spans="1:14" ht="13">
      <c r="A127" s="2">
        <f t="shared" si="13"/>
        <v>63</v>
      </c>
      <c r="C127" s="408" t="s">
        <v>2939</v>
      </c>
      <c r="D127" s="119">
        <f t="shared" si="14"/>
        <v>0</v>
      </c>
      <c r="E127" s="119">
        <f t="shared" si="14"/>
        <v>-3.6700456412795606</v>
      </c>
      <c r="F127" s="119">
        <f t="shared" si="14"/>
        <v>-99769.872520785517</v>
      </c>
      <c r="G127" s="119">
        <f t="shared" si="14"/>
        <v>-470650.88742857077</v>
      </c>
      <c r="H127" s="119">
        <f t="shared" si="14"/>
        <v>85975.359354251486</v>
      </c>
      <c r="I127" s="119">
        <f t="shared" si="14"/>
        <v>-1281703.2524060425</v>
      </c>
      <c r="J127" s="119">
        <f t="shared" si="14"/>
        <v>-67284.54563411788</v>
      </c>
      <c r="K127" s="119">
        <f t="shared" si="14"/>
        <v>-128994.70742096154</v>
      </c>
      <c r="L127" s="119">
        <f t="shared" si="14"/>
        <v>-325330.18310517381</v>
      </c>
      <c r="M127" s="119">
        <f t="shared" si="14"/>
        <v>7540.8143366690474</v>
      </c>
      <c r="N127" s="119">
        <f t="shared" si="15"/>
        <v>-2280220.9448703728</v>
      </c>
    </row>
    <row r="128" spans="1:14" ht="13">
      <c r="A128" s="2">
        <f t="shared" si="13"/>
        <v>64</v>
      </c>
      <c r="C128" s="408" t="s">
        <v>2940</v>
      </c>
      <c r="D128" s="119">
        <f t="shared" si="14"/>
        <v>0</v>
      </c>
      <c r="E128" s="119">
        <f t="shared" si="14"/>
        <v>-1320.1774996122126</v>
      </c>
      <c r="F128" s="119">
        <f t="shared" si="14"/>
        <v>-338434.35850359069</v>
      </c>
      <c r="G128" s="119">
        <f t="shared" si="14"/>
        <v>-763138.91966514522</v>
      </c>
      <c r="H128" s="119">
        <f t="shared" si="14"/>
        <v>144236.47389008434</v>
      </c>
      <c r="I128" s="119">
        <f t="shared" si="14"/>
        <v>-1386938.6285416079</v>
      </c>
      <c r="J128" s="119">
        <f t="shared" si="14"/>
        <v>-30845.408614106054</v>
      </c>
      <c r="K128" s="119">
        <f t="shared" si="14"/>
        <v>27285.414360711784</v>
      </c>
      <c r="L128" s="119">
        <f t="shared" si="14"/>
        <v>-103633.8983190541</v>
      </c>
      <c r="M128" s="119">
        <f t="shared" si="14"/>
        <v>6.6757351224388808</v>
      </c>
      <c r="N128" s="119">
        <f t="shared" si="15"/>
        <v>-2452782.8271571971</v>
      </c>
    </row>
    <row r="129" spans="1:14" ht="13">
      <c r="A129" s="2">
        <f t="shared" si="13"/>
        <v>65</v>
      </c>
      <c r="C129" s="408" t="s">
        <v>2941</v>
      </c>
      <c r="D129" s="119">
        <f t="shared" si="14"/>
        <v>0</v>
      </c>
      <c r="E129" s="119">
        <f t="shared" si="14"/>
        <v>164.65750455205193</v>
      </c>
      <c r="F129" s="119">
        <f t="shared" si="14"/>
        <v>-540619.98489153641</v>
      </c>
      <c r="G129" s="119">
        <f t="shared" si="14"/>
        <v>-1952210.294302359</v>
      </c>
      <c r="H129" s="119">
        <f t="shared" si="14"/>
        <v>462459.89206900075</v>
      </c>
      <c r="I129" s="119">
        <f t="shared" si="14"/>
        <v>-1200675.4387215488</v>
      </c>
      <c r="J129" s="119">
        <f t="shared" si="14"/>
        <v>-48091.693560251289</v>
      </c>
      <c r="K129" s="119">
        <f t="shared" si="14"/>
        <v>-62.162971525566483</v>
      </c>
      <c r="L129" s="119">
        <f t="shared" si="14"/>
        <v>22355.147981004247</v>
      </c>
      <c r="M129" s="119">
        <f t="shared" si="14"/>
        <v>-18.062731213937933</v>
      </c>
      <c r="N129" s="119">
        <f t="shared" si="15"/>
        <v>-3256697.9396238779</v>
      </c>
    </row>
    <row r="130" spans="1:14" ht="13">
      <c r="A130" s="2">
        <f t="shared" si="13"/>
        <v>66</v>
      </c>
      <c r="C130" s="408" t="s">
        <v>2942</v>
      </c>
      <c r="D130" s="192">
        <f t="shared" si="14"/>
        <v>0</v>
      </c>
      <c r="E130" s="192">
        <f t="shared" si="14"/>
        <v>-503.19861787627775</v>
      </c>
      <c r="F130" s="192">
        <f t="shared" si="14"/>
        <v>66728.013766392032</v>
      </c>
      <c r="G130" s="192">
        <f t="shared" si="14"/>
        <v>-5142743.1295678755</v>
      </c>
      <c r="H130" s="192">
        <f t="shared" si="14"/>
        <v>587400.4594354888</v>
      </c>
      <c r="I130" s="192">
        <f t="shared" si="14"/>
        <v>-812308.73073447926</v>
      </c>
      <c r="J130" s="192">
        <f t="shared" si="14"/>
        <v>-222807.04211482787</v>
      </c>
      <c r="K130" s="192">
        <f t="shared" si="14"/>
        <v>1300.966421684308</v>
      </c>
      <c r="L130" s="192">
        <f t="shared" si="14"/>
        <v>-108848.03762732283</v>
      </c>
      <c r="M130" s="192">
        <f t="shared" si="14"/>
        <v>8754.7702558524725</v>
      </c>
      <c r="N130" s="192">
        <f t="shared" si="15"/>
        <v>-5623025.9287829641</v>
      </c>
    </row>
    <row r="131" spans="1:14" ht="13">
      <c r="A131" s="2">
        <f t="shared" si="13"/>
        <v>67</v>
      </c>
      <c r="C131" s="593" t="s">
        <v>409</v>
      </c>
      <c r="D131" s="119">
        <f>SUM(D119:D130)</f>
        <v>0</v>
      </c>
      <c r="E131" s="119">
        <f t="shared" ref="E131:M131" si="16">SUM(E119:E130)</f>
        <v>-35814.792759236414</v>
      </c>
      <c r="F131" s="119">
        <f t="shared" si="16"/>
        <v>-1467909.8904406205</v>
      </c>
      <c r="G131" s="119">
        <f t="shared" si="16"/>
        <v>-24461236.057269339</v>
      </c>
      <c r="H131" s="119">
        <f t="shared" si="16"/>
        <v>2665792.0278766081</v>
      </c>
      <c r="I131" s="119">
        <f t="shared" si="16"/>
        <v>-15100920.05611982</v>
      </c>
      <c r="J131" s="119">
        <f t="shared" si="16"/>
        <v>-5738840.5319257369</v>
      </c>
      <c r="K131" s="119">
        <f t="shared" si="16"/>
        <v>-283124.63953063404</v>
      </c>
      <c r="L131" s="119">
        <f t="shared" si="16"/>
        <v>673109.43608098535</v>
      </c>
      <c r="M131" s="119">
        <f t="shared" si="16"/>
        <v>-177270.26269789925</v>
      </c>
      <c r="N131" s="119">
        <f>SUM(N119:N130)</f>
        <v>-43926214.766785689</v>
      </c>
    </row>
    <row r="133" spans="1:14" ht="13">
      <c r="B133" s="212" t="s">
        <v>228</v>
      </c>
    </row>
    <row r="134" spans="1:14">
      <c r="B134" s="507" t="s">
        <v>773</v>
      </c>
    </row>
    <row r="135" spans="1:14">
      <c r="B135" s="610" t="s">
        <v>774</v>
      </c>
    </row>
    <row r="136" spans="1:14">
      <c r="B136" s="323" t="s">
        <v>775</v>
      </c>
      <c r="C136" s="323"/>
      <c r="D136" s="323"/>
      <c r="E136" s="323"/>
      <c r="F136" s="323"/>
      <c r="G136" s="323"/>
      <c r="H136" s="323"/>
      <c r="I136" s="323"/>
      <c r="L136" s="323"/>
      <c r="M136" s="323"/>
    </row>
    <row r="137" spans="1:14">
      <c r="B137" s="324" t="s">
        <v>776</v>
      </c>
      <c r="C137" s="323"/>
      <c r="D137" s="323"/>
      <c r="E137" s="323"/>
      <c r="F137" s="323"/>
      <c r="G137" s="323"/>
      <c r="H137" s="323"/>
      <c r="I137" s="323"/>
      <c r="J137" s="323"/>
      <c r="K137" s="323"/>
      <c r="L137" s="323"/>
      <c r="M137" s="323"/>
    </row>
    <row r="138" spans="1:14">
      <c r="B138" s="324" t="s">
        <v>777</v>
      </c>
      <c r="C138" s="323"/>
      <c r="D138" s="323"/>
      <c r="E138" s="323"/>
      <c r="F138" s="323"/>
      <c r="G138" s="323"/>
      <c r="H138" s="323"/>
      <c r="I138" s="323"/>
      <c r="J138" s="323"/>
      <c r="K138" s="323"/>
      <c r="L138" s="323"/>
      <c r="M138" s="323"/>
    </row>
    <row r="139" spans="1:14">
      <c r="B139" s="324" t="s">
        <v>778</v>
      </c>
      <c r="C139" s="323"/>
      <c r="D139" s="323"/>
      <c r="E139" s="323"/>
      <c r="F139" s="323"/>
      <c r="G139" s="323"/>
      <c r="H139" s="323"/>
      <c r="I139" s="323"/>
      <c r="J139" s="323"/>
      <c r="K139" s="323"/>
      <c r="L139" s="323"/>
      <c r="M139" s="323"/>
    </row>
    <row r="140" spans="1:14">
      <c r="B140" s="323" t="s">
        <v>779</v>
      </c>
      <c r="C140" s="323"/>
      <c r="D140" s="323"/>
      <c r="E140" s="323"/>
      <c r="F140" s="323"/>
      <c r="G140" s="323"/>
      <c r="H140" s="323"/>
      <c r="I140" s="323"/>
      <c r="J140" s="323"/>
      <c r="K140" s="323"/>
      <c r="L140" s="323"/>
      <c r="M140" s="323"/>
    </row>
    <row r="141" spans="1:14">
      <c r="B141" s="324" t="s">
        <v>780</v>
      </c>
      <c r="C141" s="323"/>
      <c r="D141" s="323"/>
      <c r="E141" s="323"/>
      <c r="F141" s="323"/>
      <c r="G141" s="323"/>
      <c r="H141" s="323"/>
      <c r="I141" s="323"/>
      <c r="J141" s="323"/>
      <c r="K141" s="323"/>
      <c r="L141" s="323"/>
      <c r="M141" s="323"/>
    </row>
    <row r="142" spans="1:14">
      <c r="B142" s="324" t="s">
        <v>781</v>
      </c>
      <c r="C142" s="323"/>
      <c r="D142" s="323"/>
      <c r="E142" s="323"/>
      <c r="F142" s="323"/>
      <c r="G142" s="323"/>
      <c r="H142" s="323"/>
      <c r="I142" s="323"/>
      <c r="J142" s="323"/>
      <c r="K142" s="323"/>
      <c r="L142" s="323"/>
      <c r="M142" s="323"/>
    </row>
    <row r="143" spans="1:14">
      <c r="B143" s="324" t="s">
        <v>782</v>
      </c>
      <c r="C143" s="323"/>
      <c r="D143" s="323"/>
      <c r="E143" s="323"/>
      <c r="F143" s="323"/>
      <c r="G143" s="323"/>
      <c r="H143" s="323"/>
      <c r="I143" s="323"/>
      <c r="J143" s="323"/>
      <c r="K143" s="323"/>
      <c r="L143" s="323"/>
      <c r="M143" s="323"/>
    </row>
    <row r="144" spans="1:14">
      <c r="B144" s="251" t="str">
        <f>"2) Amounts on Line "&amp;A33&amp;" derived from Plant Study for previous year Prior Year."</f>
        <v>2) Amounts on Line 15 derived from Plant Study for previous year Prior Year.</v>
      </c>
    </row>
    <row r="145" spans="2:2">
      <c r="B145" s="250" t="str">
        <f>"Amounts on Line "&amp;A34&amp;" derived from Plant Study for Prior Year."</f>
        <v>Amounts on Line 16 derived from Plant Study for Prior Year.</v>
      </c>
    </row>
    <row r="146" spans="2:2">
      <c r="B146" t="str">
        <f>"3) From 17-Depreciation, Lines "&amp;'17-Depreciation'!A48&amp;" to "&amp;'17-Depreciation'!A59&amp;"."</f>
        <v>3) From 17-Depreciation, Lines 24 to 35.</v>
      </c>
    </row>
    <row r="147" spans="2:2">
      <c r="B147" s="251" t="s">
        <v>783</v>
      </c>
    </row>
    <row r="148" spans="2:2">
      <c r="B148" s="251" t="str">
        <f>"5) Line "&amp;A24&amp;" - Line "&amp;A12&amp;"."</f>
        <v>5) Line 13 - Line 1.</v>
      </c>
    </row>
    <row r="149" spans="2:2">
      <c r="B149" t="str">
        <f>"6) Line "&amp;A82&amp;"."</f>
        <v>6) Line 39.</v>
      </c>
    </row>
    <row r="150" spans="2:2">
      <c r="B150" s="251" t="str">
        <f>"7) Line "&amp;A106&amp;" - Line "&amp;A109&amp;"."</f>
        <v>7) Line 52 - Line 53.</v>
      </c>
    </row>
    <row r="151" spans="2:2">
      <c r="B151" s="251" t="s">
        <v>784</v>
      </c>
    </row>
    <row r="152" spans="2:2">
      <c r="B152" s="250" t="s">
        <v>785</v>
      </c>
    </row>
    <row r="153" spans="2:2">
      <c r="B153" s="251"/>
    </row>
    <row r="154" spans="2:2">
      <c r="B154" s="251"/>
    </row>
  </sheetData>
  <phoneticPr fontId="23" type="noConversion"/>
  <pageMargins left="0.75" right="0.75" top="1" bottom="1" header="0.5" footer="0.5"/>
  <pageSetup scale="65" orientation="landscape" cellComments="asDisplayed" r:id="rId1"/>
  <headerFooter alignWithMargins="0">
    <oddHeader>&amp;CSchedule 8
Accumulated Depreciation
&amp;RTO2023 Draft Annual Update 
Attachment 1</oddHeader>
    <oddFooter>&amp;R&amp;A</oddFooter>
  </headerFooter>
  <rowBreaks count="3" manualBreakCount="3">
    <brk id="36" max="16383" man="1"/>
    <brk id="83" max="16383" man="1"/>
    <brk id="113" max="16383" man="1"/>
  </rowBreaks>
  <ignoredErrors>
    <ignoredError sqref="D35:F35"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67"/>
  <sheetViews>
    <sheetView zoomScaleNormal="100" zoomScaleSheetLayoutView="70" zoomScalePageLayoutView="50" workbookViewId="0"/>
  </sheetViews>
  <sheetFormatPr defaultRowHeight="13"/>
  <cols>
    <col min="1" max="1" width="5.81640625" customWidth="1"/>
    <col min="2" max="2" width="9.54296875" style="287" customWidth="1"/>
    <col min="3" max="3" width="50.54296875" style="287" customWidth="1"/>
    <col min="4" max="4" width="23.453125" style="287" bestFit="1" customWidth="1"/>
    <col min="5" max="5" width="26.1796875" style="287" customWidth="1"/>
    <col min="6" max="6" width="15.54296875" style="287" customWidth="1"/>
    <col min="7" max="7" width="19.453125" style="287" customWidth="1"/>
    <col min="8" max="9" width="17.453125" style="287" customWidth="1"/>
    <col min="10" max="10" width="29.453125" style="287" customWidth="1"/>
    <col min="11" max="11" width="25.54296875" customWidth="1"/>
  </cols>
  <sheetData>
    <row r="1" spans="1:10">
      <c r="A1" s="1" t="s">
        <v>786</v>
      </c>
      <c r="B1" s="117"/>
      <c r="C1" s="117"/>
      <c r="D1" s="117"/>
      <c r="E1" s="117"/>
      <c r="F1" s="210" t="s">
        <v>96</v>
      </c>
      <c r="G1" s="210"/>
      <c r="H1" s="117"/>
      <c r="I1" s="117"/>
      <c r="J1" s="117"/>
    </row>
    <row r="2" spans="1:10">
      <c r="A2" s="117"/>
      <c r="B2" s="327"/>
      <c r="C2" s="323"/>
      <c r="D2" s="323"/>
      <c r="E2" s="117"/>
      <c r="F2" s="117"/>
      <c r="G2" s="117"/>
      <c r="H2" s="117"/>
      <c r="I2" s="117"/>
      <c r="J2" s="117"/>
    </row>
    <row r="3" spans="1:10">
      <c r="A3" s="117"/>
      <c r="B3" s="327" t="s">
        <v>787</v>
      </c>
      <c r="C3" s="323"/>
      <c r="D3" s="323"/>
      <c r="E3" s="117"/>
      <c r="F3" s="117"/>
      <c r="G3" s="117"/>
      <c r="H3" s="117"/>
      <c r="I3" s="117"/>
      <c r="J3" s="117"/>
    </row>
    <row r="4" spans="1:10">
      <c r="A4" s="117"/>
      <c r="B4" s="327"/>
      <c r="C4" s="323"/>
      <c r="D4" s="323"/>
      <c r="E4" s="117"/>
      <c r="F4" s="117"/>
      <c r="G4" s="117"/>
      <c r="H4" s="117"/>
      <c r="I4" s="117"/>
      <c r="J4" s="117"/>
    </row>
    <row r="5" spans="1:10">
      <c r="A5" s="117"/>
      <c r="B5" s="328" t="s">
        <v>788</v>
      </c>
      <c r="C5" s="323"/>
      <c r="D5" s="323"/>
      <c r="E5" s="117"/>
      <c r="F5" s="117"/>
      <c r="G5" s="117"/>
      <c r="H5" s="117"/>
      <c r="I5" s="117"/>
      <c r="J5" s="117"/>
    </row>
    <row r="6" spans="1:10">
      <c r="A6" s="117"/>
      <c r="B6" s="327"/>
      <c r="C6" s="48" t="s">
        <v>336</v>
      </c>
      <c r="D6" s="48" t="s">
        <v>337</v>
      </c>
      <c r="E6" s="117"/>
      <c r="I6" s="117"/>
      <c r="J6" s="117"/>
    </row>
    <row r="7" spans="1:10">
      <c r="A7" s="117"/>
      <c r="C7" s="323"/>
      <c r="D7" s="117"/>
      <c r="E7" s="117"/>
      <c r="I7" s="117"/>
      <c r="J7" s="117"/>
    </row>
    <row r="8" spans="1:10">
      <c r="A8" s="117"/>
      <c r="B8" s="327"/>
      <c r="C8" s="117"/>
      <c r="D8" s="2" t="s">
        <v>249</v>
      </c>
      <c r="J8" s="117"/>
    </row>
    <row r="9" spans="1:10">
      <c r="A9" s="32" t="s">
        <v>273</v>
      </c>
      <c r="B9" s="327"/>
      <c r="C9" s="212" t="s">
        <v>706</v>
      </c>
      <c r="D9" s="3" t="s">
        <v>789</v>
      </c>
      <c r="E9" s="193" t="s">
        <v>652</v>
      </c>
      <c r="J9" s="117"/>
    </row>
    <row r="10" spans="1:10" ht="14.5">
      <c r="A10" s="200">
        <v>1</v>
      </c>
      <c r="B10" s="327"/>
      <c r="C10" s="251" t="s">
        <v>790</v>
      </c>
      <c r="D10" s="253">
        <f>+D72</f>
        <v>344917920.18861383</v>
      </c>
      <c r="E10" s="250" t="str">
        <f>"Line "&amp;A72&amp;", Col. 2"</f>
        <v>Line 353, Col. 2</v>
      </c>
      <c r="J10" s="117"/>
    </row>
    <row r="11" spans="1:10">
      <c r="A11" s="2">
        <f>A10+1</f>
        <v>2</v>
      </c>
      <c r="B11" s="327"/>
      <c r="C11" s="251" t="s">
        <v>791</v>
      </c>
      <c r="D11" s="253">
        <f>+D92</f>
        <v>-1273848280</v>
      </c>
      <c r="E11" s="250" t="str">
        <f>"Line "&amp;A92&amp;", Col. 2"</f>
        <v>Line 452, Col. 2</v>
      </c>
      <c r="J11"/>
    </row>
    <row r="12" spans="1:10">
      <c r="A12" s="2">
        <f t="shared" ref="A12:A24" si="0">A11+1</f>
        <v>3</v>
      </c>
      <c r="B12" s="327"/>
      <c r="C12" s="251" t="s">
        <v>792</v>
      </c>
      <c r="D12" s="253">
        <f>+D135</f>
        <v>-15585213.432595296</v>
      </c>
      <c r="E12" s="250" t="str">
        <f>"Line "&amp;A135&amp;", Col. 2"</f>
        <v>Line 803, Col. 2</v>
      </c>
      <c r="J12"/>
    </row>
    <row r="13" spans="1:10">
      <c r="A13" s="2">
        <f t="shared" si="0"/>
        <v>4</v>
      </c>
      <c r="B13" s="327"/>
      <c r="C13" s="251" t="s">
        <v>793</v>
      </c>
      <c r="D13" s="1027">
        <f>'9-ADIT-2'!M49</f>
        <v>-503554748.85528058</v>
      </c>
      <c r="E13" s="250" t="s">
        <v>2898</v>
      </c>
      <c r="F13" s="1026"/>
      <c r="J13"/>
    </row>
    <row r="14" spans="1:10">
      <c r="A14" s="2">
        <f t="shared" si="0"/>
        <v>5</v>
      </c>
      <c r="B14" s="327"/>
      <c r="C14" s="251" t="s">
        <v>794</v>
      </c>
      <c r="D14" s="253">
        <f>SUM(D10:D13)</f>
        <v>-1448070322.099262</v>
      </c>
      <c r="E14" s="297" t="str">
        <f>"Sum of Lines "&amp;A10&amp;" to "&amp;A13&amp;""</f>
        <v>Sum of Lines 1 to 4</v>
      </c>
      <c r="H14" s="718"/>
      <c r="I14" s="718"/>
      <c r="J14"/>
    </row>
    <row r="15" spans="1:10">
      <c r="A15" s="2">
        <f t="shared" si="0"/>
        <v>6</v>
      </c>
      <c r="B15" s="327"/>
      <c r="C15" s="250" t="s">
        <v>795</v>
      </c>
      <c r="D15" s="117"/>
      <c r="E15" s="117"/>
      <c r="G15" s="130"/>
      <c r="H15" s="129"/>
      <c r="I15" s="117"/>
      <c r="J15" s="117"/>
    </row>
    <row r="16" spans="1:10">
      <c r="A16" s="2">
        <f t="shared" si="0"/>
        <v>7</v>
      </c>
      <c r="B16" s="328" t="s">
        <v>796</v>
      </c>
      <c r="E16" s="117"/>
      <c r="G16" s="288"/>
      <c r="H16" s="289"/>
      <c r="I16" s="288"/>
      <c r="J16" s="117"/>
    </row>
    <row r="17" spans="1:10">
      <c r="A17" s="2">
        <f t="shared" si="0"/>
        <v>8</v>
      </c>
      <c r="B17" s="328"/>
      <c r="D17" s="2" t="s">
        <v>797</v>
      </c>
      <c r="E17" s="117"/>
      <c r="G17" s="288"/>
      <c r="H17" s="289"/>
      <c r="I17" s="288"/>
      <c r="J17" s="117"/>
    </row>
    <row r="18" spans="1:10">
      <c r="A18" s="2">
        <f t="shared" si="0"/>
        <v>9</v>
      </c>
      <c r="B18" s="327"/>
      <c r="D18" s="3" t="s">
        <v>789</v>
      </c>
      <c r="E18" s="193" t="s">
        <v>652</v>
      </c>
      <c r="G18" s="290"/>
      <c r="H18" s="288"/>
      <c r="I18" s="288"/>
      <c r="J18" s="117"/>
    </row>
    <row r="19" spans="1:10">
      <c r="A19" s="2">
        <f t="shared" si="0"/>
        <v>10</v>
      </c>
      <c r="B19" s="327"/>
      <c r="C19" s="251" t="s">
        <v>794</v>
      </c>
      <c r="D19" s="271">
        <v>-1530599359.8928757</v>
      </c>
      <c r="E19" s="250" t="str">
        <f>"Previous Year Informational Filing, Line "&amp;A14&amp;", Col. 2"</f>
        <v>Previous Year Informational Filing, Line 5, Col. 2</v>
      </c>
      <c r="G19" s="644"/>
      <c r="H19" s="288"/>
      <c r="I19" s="288"/>
    </row>
    <row r="20" spans="1:10">
      <c r="A20" s="2">
        <f t="shared" si="0"/>
        <v>11</v>
      </c>
      <c r="B20" s="327"/>
      <c r="D20" s="117"/>
      <c r="E20" s="117"/>
      <c r="F20" s="288"/>
      <c r="G20" s="288"/>
      <c r="H20" s="288"/>
      <c r="I20" s="288"/>
      <c r="J20" s="117"/>
    </row>
    <row r="21" spans="1:10">
      <c r="A21" s="2">
        <f t="shared" si="0"/>
        <v>12</v>
      </c>
      <c r="B21" s="328" t="s">
        <v>798</v>
      </c>
      <c r="D21" s="117"/>
      <c r="E21" s="117"/>
      <c r="F21" s="288"/>
      <c r="G21" s="288"/>
      <c r="H21" s="288"/>
      <c r="I21" s="288"/>
      <c r="J21" s="117"/>
    </row>
    <row r="22" spans="1:10">
      <c r="A22" s="2">
        <f t="shared" si="0"/>
        <v>13</v>
      </c>
      <c r="B22" s="323"/>
      <c r="C22" s="329"/>
      <c r="D22" s="330" t="s">
        <v>799</v>
      </c>
      <c r="E22" s="117"/>
      <c r="F22" s="117"/>
      <c r="G22" s="117"/>
      <c r="H22" s="117"/>
      <c r="I22" s="117"/>
      <c r="J22" s="117"/>
    </row>
    <row r="23" spans="1:10">
      <c r="A23" s="2">
        <f t="shared" si="0"/>
        <v>14</v>
      </c>
      <c r="B23" s="323"/>
      <c r="D23" s="3" t="s">
        <v>22</v>
      </c>
      <c r="E23" s="193" t="s">
        <v>652</v>
      </c>
      <c r="F23" s="117"/>
      <c r="G23" s="290"/>
      <c r="H23" s="117"/>
      <c r="I23" s="117"/>
      <c r="J23" s="117"/>
    </row>
    <row r="24" spans="1:10">
      <c r="A24" s="2">
        <f t="shared" si="0"/>
        <v>15</v>
      </c>
      <c r="B24" s="323"/>
      <c r="C24" s="331" t="s">
        <v>800</v>
      </c>
      <c r="D24" s="364">
        <f>(D14+D19)/2</f>
        <v>-1489334840.996069</v>
      </c>
      <c r="E24" s="129" t="s">
        <v>801</v>
      </c>
      <c r="F24" s="117"/>
      <c r="G24" s="288"/>
      <c r="H24" s="117"/>
      <c r="I24" s="117"/>
      <c r="J24" s="117"/>
    </row>
    <row r="25" spans="1:10">
      <c r="A25" s="2"/>
      <c r="B25" s="323"/>
      <c r="C25" s="329"/>
      <c r="D25" s="332"/>
      <c r="E25" s="117"/>
      <c r="F25" s="117"/>
      <c r="G25" s="117"/>
      <c r="H25" s="117"/>
      <c r="I25" s="117"/>
      <c r="J25" s="117"/>
    </row>
    <row r="26" spans="1:10">
      <c r="A26" s="2"/>
      <c r="B26" s="327" t="s">
        <v>802</v>
      </c>
      <c r="C26" s="329"/>
      <c r="D26" s="332"/>
      <c r="E26" s="117"/>
      <c r="F26" s="117"/>
      <c r="G26" s="117"/>
      <c r="H26" s="117"/>
      <c r="I26" s="117"/>
      <c r="J26" s="117"/>
    </row>
    <row r="27" spans="1:10">
      <c r="A27" s="2"/>
      <c r="B27" s="327"/>
      <c r="C27" s="48" t="s">
        <v>336</v>
      </c>
      <c r="D27" s="48" t="s">
        <v>337</v>
      </c>
      <c r="E27" s="48" t="s">
        <v>338</v>
      </c>
      <c r="F27" s="48" t="s">
        <v>339</v>
      </c>
      <c r="G27" s="48" t="s">
        <v>340</v>
      </c>
      <c r="H27" s="48" t="s">
        <v>341</v>
      </c>
      <c r="I27" s="48" t="s">
        <v>342</v>
      </c>
      <c r="J27" s="117"/>
    </row>
    <row r="28" spans="1:10">
      <c r="A28" s="251"/>
      <c r="B28" s="330"/>
      <c r="C28" s="330"/>
      <c r="D28" s="330" t="s">
        <v>803</v>
      </c>
      <c r="E28" s="330" t="s">
        <v>804</v>
      </c>
      <c r="F28" s="330"/>
      <c r="G28" s="330"/>
      <c r="H28" s="330" t="s">
        <v>805</v>
      </c>
      <c r="I28" s="510" t="s">
        <v>806</v>
      </c>
      <c r="J28" s="117"/>
    </row>
    <row r="29" spans="1:10">
      <c r="A29" s="251"/>
      <c r="B29" s="333" t="s">
        <v>807</v>
      </c>
      <c r="C29" s="333" t="s">
        <v>808</v>
      </c>
      <c r="D29" s="333" t="s">
        <v>809</v>
      </c>
      <c r="E29" s="333" t="s">
        <v>810</v>
      </c>
      <c r="F29" s="333" t="s">
        <v>811</v>
      </c>
      <c r="G29" s="333" t="s">
        <v>812</v>
      </c>
      <c r="H29" s="333" t="s">
        <v>813</v>
      </c>
      <c r="I29" s="333" t="s">
        <v>814</v>
      </c>
      <c r="J29" s="117"/>
    </row>
    <row r="30" spans="1:10">
      <c r="A30" s="2"/>
      <c r="B30" s="323" t="s">
        <v>815</v>
      </c>
      <c r="C30" s="323"/>
      <c r="D30" s="323"/>
      <c r="E30" s="117"/>
      <c r="F30" s="117"/>
      <c r="G30" s="117"/>
      <c r="H30" s="117"/>
      <c r="I30" s="117"/>
      <c r="J30" s="117"/>
    </row>
    <row r="31" spans="1:10">
      <c r="A31" s="109">
        <v>100</v>
      </c>
      <c r="B31" s="549">
        <v>190</v>
      </c>
      <c r="C31" s="334" t="s">
        <v>2964</v>
      </c>
      <c r="D31" s="335">
        <v>449173.96</v>
      </c>
      <c r="E31" s="414">
        <f>D31*$G$160</f>
        <v>370.55766499238132</v>
      </c>
      <c r="F31" s="121"/>
      <c r="G31" s="414">
        <f>D31-E31</f>
        <v>448803.40233500762</v>
      </c>
      <c r="H31" s="414"/>
      <c r="I31" s="551" t="s">
        <v>2965</v>
      </c>
      <c r="J31" s="210"/>
    </row>
    <row r="32" spans="1:10">
      <c r="A32" s="109">
        <f>A31+1</f>
        <v>101</v>
      </c>
      <c r="B32" s="549">
        <v>190</v>
      </c>
      <c r="C32" s="334" t="s">
        <v>817</v>
      </c>
      <c r="D32" s="335">
        <v>0</v>
      </c>
      <c r="E32" s="414">
        <f>D32*$G$152</f>
        <v>0</v>
      </c>
      <c r="F32" s="121"/>
      <c r="G32" s="414"/>
      <c r="H32" s="414">
        <f>D32-E32</f>
        <v>0</v>
      </c>
      <c r="I32" s="551" t="s">
        <v>2966</v>
      </c>
      <c r="J32" s="210"/>
    </row>
    <row r="33" spans="1:10">
      <c r="A33" s="109">
        <f t="shared" ref="A33:A47" si="1">A32+1</f>
        <v>102</v>
      </c>
      <c r="B33" s="549">
        <v>190</v>
      </c>
      <c r="C33" s="334" t="s">
        <v>818</v>
      </c>
      <c r="D33" s="335">
        <v>0</v>
      </c>
      <c r="E33" s="414">
        <f>D33*$G$160</f>
        <v>0</v>
      </c>
      <c r="F33" s="121"/>
      <c r="G33" s="414">
        <f>D33-E33</f>
        <v>0</v>
      </c>
      <c r="H33" s="414"/>
      <c r="I33" s="551" t="s">
        <v>2965</v>
      </c>
      <c r="J33" s="210"/>
    </row>
    <row r="34" spans="1:10">
      <c r="A34" s="109">
        <f t="shared" si="1"/>
        <v>103</v>
      </c>
      <c r="B34" s="549">
        <v>190</v>
      </c>
      <c r="C34" s="334" t="s">
        <v>2967</v>
      </c>
      <c r="D34" s="335">
        <v>-0.24000000000000002</v>
      </c>
      <c r="E34" s="414">
        <f>D34*$G$152</f>
        <v>-1.348802223120968E-3</v>
      </c>
      <c r="F34" s="414"/>
      <c r="G34" s="414"/>
      <c r="H34" s="414">
        <f>D34-E34</f>
        <v>-0.23865119777687904</v>
      </c>
      <c r="I34" s="551" t="s">
        <v>2966</v>
      </c>
      <c r="J34" s="210"/>
    </row>
    <row r="35" spans="1:10">
      <c r="A35" s="109">
        <f t="shared" si="1"/>
        <v>104</v>
      </c>
      <c r="B35" s="549">
        <v>190</v>
      </c>
      <c r="C35" s="334" t="s">
        <v>2968</v>
      </c>
      <c r="D35" s="335">
        <v>29042365.609999999</v>
      </c>
      <c r="E35" s="414">
        <f t="shared" ref="E35:E38" si="2">D35*$G$152</f>
        <v>163218.36374774977</v>
      </c>
      <c r="F35" s="121"/>
      <c r="G35" s="414"/>
      <c r="H35" s="414">
        <f>D35-E35</f>
        <v>28879147.24625225</v>
      </c>
      <c r="I35" s="551" t="s">
        <v>2966</v>
      </c>
      <c r="J35" s="210"/>
    </row>
    <row r="36" spans="1:10" ht="12.75" customHeight="1">
      <c r="A36" s="109">
        <f t="shared" si="1"/>
        <v>105</v>
      </c>
      <c r="B36" s="549">
        <v>190</v>
      </c>
      <c r="C36" s="334" t="s">
        <v>820</v>
      </c>
      <c r="D36" s="335">
        <v>36571773.369999997</v>
      </c>
      <c r="E36" s="414">
        <f t="shared" si="2"/>
        <v>205533.70510388422</v>
      </c>
      <c r="F36" s="121"/>
      <c r="G36" s="414"/>
      <c r="H36" s="414">
        <f>D36-E36</f>
        <v>36366239.664896116</v>
      </c>
      <c r="I36" s="551" t="s">
        <v>2966</v>
      </c>
      <c r="J36" s="210"/>
    </row>
    <row r="37" spans="1:10">
      <c r="A37" s="109">
        <f t="shared" si="1"/>
        <v>106</v>
      </c>
      <c r="B37" s="549">
        <v>190</v>
      </c>
      <c r="C37" s="334" t="s">
        <v>821</v>
      </c>
      <c r="D37" s="335">
        <v>459092</v>
      </c>
      <c r="E37" s="414">
        <f>D37*$G$160</f>
        <v>378.73980837331339</v>
      </c>
      <c r="F37" s="121"/>
      <c r="G37" s="414">
        <f>D37-E37</f>
        <v>458713.26019162667</v>
      </c>
      <c r="H37" s="414"/>
      <c r="I37" s="551" t="s">
        <v>2965</v>
      </c>
      <c r="J37" s="210"/>
    </row>
    <row r="38" spans="1:10">
      <c r="A38" s="109">
        <f t="shared" si="1"/>
        <v>107</v>
      </c>
      <c r="B38" s="549">
        <v>190</v>
      </c>
      <c r="C38" s="334" t="s">
        <v>2969</v>
      </c>
      <c r="D38" s="335">
        <v>436222473.16339844</v>
      </c>
      <c r="E38" s="414">
        <f t="shared" si="2"/>
        <v>2451574.3399088276</v>
      </c>
      <c r="F38" s="121"/>
      <c r="G38" s="414"/>
      <c r="H38" s="414">
        <f>D38-E38</f>
        <v>433770898.82348961</v>
      </c>
      <c r="I38" s="551" t="s">
        <v>2966</v>
      </c>
      <c r="J38" s="210"/>
    </row>
    <row r="39" spans="1:10">
      <c r="A39" s="109">
        <f t="shared" si="1"/>
        <v>108</v>
      </c>
      <c r="B39" s="549">
        <v>190</v>
      </c>
      <c r="C39" s="334" t="s">
        <v>2970</v>
      </c>
      <c r="D39" s="335">
        <v>15246864.459999999</v>
      </c>
      <c r="E39" s="414">
        <f>D39</f>
        <v>15246864.459999999</v>
      </c>
      <c r="F39" s="121"/>
      <c r="G39" s="414"/>
      <c r="H39" s="414"/>
      <c r="I39" s="551" t="s">
        <v>2971</v>
      </c>
      <c r="J39" s="210"/>
    </row>
    <row r="40" spans="1:10">
      <c r="A40" s="109">
        <f t="shared" si="1"/>
        <v>109</v>
      </c>
      <c r="B40" s="549">
        <v>190</v>
      </c>
      <c r="C40" s="334" t="s">
        <v>2972</v>
      </c>
      <c r="D40" s="335">
        <v>529508603.27999991</v>
      </c>
      <c r="E40" s="414">
        <f>D40</f>
        <v>529508603.27999991</v>
      </c>
      <c r="F40" s="121"/>
      <c r="G40" s="414"/>
      <c r="H40" s="414"/>
      <c r="I40" s="551" t="s">
        <v>2973</v>
      </c>
      <c r="J40" s="210"/>
    </row>
    <row r="41" spans="1:10">
      <c r="A41" s="109">
        <f t="shared" si="1"/>
        <v>110</v>
      </c>
      <c r="B41" s="549">
        <v>190</v>
      </c>
      <c r="C41" s="334" t="s">
        <v>2974</v>
      </c>
      <c r="D41" s="335">
        <v>-0.28000000000000003</v>
      </c>
      <c r="E41" s="414">
        <f t="shared" ref="E41:E45" si="3">D41</f>
        <v>-0.28000000000000003</v>
      </c>
      <c r="F41" s="121"/>
      <c r="G41" s="414"/>
      <c r="H41" s="414"/>
      <c r="I41" s="551" t="s">
        <v>2975</v>
      </c>
      <c r="J41" s="210"/>
    </row>
    <row r="42" spans="1:10">
      <c r="A42" s="109">
        <f t="shared" si="1"/>
        <v>111</v>
      </c>
      <c r="B42" s="549">
        <v>190</v>
      </c>
      <c r="C42" s="334" t="s">
        <v>822</v>
      </c>
      <c r="D42" s="335">
        <v>30432372.32</v>
      </c>
      <c r="E42" s="414">
        <f t="shared" ref="E42" si="4">D42*$G$152</f>
        <v>171030.21433358753</v>
      </c>
      <c r="F42" s="271"/>
      <c r="G42" s="414"/>
      <c r="H42" s="414">
        <f>D42-E42</f>
        <v>30261342.105666414</v>
      </c>
      <c r="I42" s="551" t="s">
        <v>2966</v>
      </c>
      <c r="J42" s="413"/>
    </row>
    <row r="43" spans="1:10">
      <c r="A43" s="109">
        <f t="shared" si="1"/>
        <v>112</v>
      </c>
      <c r="B43" s="549">
        <v>190</v>
      </c>
      <c r="C43" s="334" t="s">
        <v>2976</v>
      </c>
      <c r="D43" s="335">
        <v>724462392.16999996</v>
      </c>
      <c r="E43" s="414">
        <f t="shared" si="3"/>
        <v>724462392.16999996</v>
      </c>
      <c r="F43" s="121"/>
      <c r="G43" s="414"/>
      <c r="H43" s="414"/>
      <c r="I43" s="553" t="s">
        <v>2977</v>
      </c>
      <c r="J43" s="210"/>
    </row>
    <row r="44" spans="1:10">
      <c r="A44" s="109">
        <f t="shared" si="1"/>
        <v>113</v>
      </c>
      <c r="B44" s="549">
        <v>190</v>
      </c>
      <c r="C44" s="334" t="s">
        <v>2978</v>
      </c>
      <c r="D44" s="335">
        <v>5948767.5399999991</v>
      </c>
      <c r="E44" s="414">
        <f t="shared" si="3"/>
        <v>5948767.5399999991</v>
      </c>
      <c r="F44" s="121"/>
      <c r="G44" s="414"/>
      <c r="H44" s="121"/>
      <c r="I44" s="551" t="s">
        <v>2979</v>
      </c>
      <c r="J44" s="210"/>
    </row>
    <row r="45" spans="1:10">
      <c r="A45" s="109">
        <f t="shared" si="1"/>
        <v>114</v>
      </c>
      <c r="B45" s="549">
        <v>190</v>
      </c>
      <c r="C45" s="334" t="s">
        <v>2980</v>
      </c>
      <c r="D45" s="335">
        <v>898312382.95999992</v>
      </c>
      <c r="E45" s="414">
        <f t="shared" si="3"/>
        <v>898312382.95999992</v>
      </c>
      <c r="F45" s="121"/>
      <c r="G45" s="414"/>
      <c r="H45" s="121"/>
      <c r="I45" s="551" t="s">
        <v>2981</v>
      </c>
      <c r="J45" s="210"/>
    </row>
    <row r="46" spans="1:10">
      <c r="A46" s="109">
        <f t="shared" si="1"/>
        <v>115</v>
      </c>
      <c r="B46" s="549">
        <v>190</v>
      </c>
      <c r="C46" s="334" t="s">
        <v>2982</v>
      </c>
      <c r="D46" s="335">
        <v>1707329648.79</v>
      </c>
      <c r="E46" s="414"/>
      <c r="F46" s="121"/>
      <c r="G46" s="414">
        <f>D46</f>
        <v>1707329648.79</v>
      </c>
      <c r="H46" s="121"/>
      <c r="I46" s="551" t="s">
        <v>2983</v>
      </c>
      <c r="J46" s="210"/>
    </row>
    <row r="47" spans="1:10">
      <c r="A47" s="109">
        <f t="shared" si="1"/>
        <v>116</v>
      </c>
      <c r="B47" s="549" t="s">
        <v>823</v>
      </c>
      <c r="C47" s="334"/>
      <c r="D47" s="335"/>
      <c r="E47" s="415"/>
      <c r="F47" s="121"/>
      <c r="G47" s="414"/>
      <c r="H47" s="121"/>
      <c r="I47" s="551"/>
      <c r="J47" s="210"/>
    </row>
    <row r="48" spans="1:10">
      <c r="A48" s="2"/>
      <c r="B48" s="336"/>
      <c r="C48" s="323"/>
      <c r="D48" s="325"/>
      <c r="E48" s="119"/>
      <c r="F48" s="119"/>
      <c r="G48" s="119"/>
      <c r="H48" s="119"/>
      <c r="I48" s="117"/>
      <c r="J48" s="117"/>
    </row>
    <row r="49" spans="1:10">
      <c r="A49" s="2"/>
      <c r="B49" s="327" t="s">
        <v>824</v>
      </c>
      <c r="C49" s="329"/>
      <c r="D49" s="332"/>
      <c r="E49" s="117"/>
      <c r="F49" s="117"/>
      <c r="G49" s="117"/>
      <c r="H49" s="117"/>
      <c r="I49" s="117"/>
      <c r="J49" s="117"/>
    </row>
    <row r="50" spans="1:10">
      <c r="A50" s="2"/>
      <c r="B50" s="327"/>
      <c r="C50" s="48" t="s">
        <v>336</v>
      </c>
      <c r="D50" s="48" t="s">
        <v>337</v>
      </c>
      <c r="E50" s="48" t="s">
        <v>338</v>
      </c>
      <c r="F50" s="48" t="s">
        <v>339</v>
      </c>
      <c r="G50" s="48" t="s">
        <v>340</v>
      </c>
      <c r="H50" s="48" t="s">
        <v>341</v>
      </c>
      <c r="I50" s="48" t="s">
        <v>342</v>
      </c>
      <c r="J50" s="117"/>
    </row>
    <row r="51" spans="1:10">
      <c r="A51" s="2"/>
      <c r="B51" s="330"/>
      <c r="C51" s="330"/>
      <c r="D51" s="330" t="s">
        <v>803</v>
      </c>
      <c r="E51" s="330" t="s">
        <v>804</v>
      </c>
      <c r="F51" s="330"/>
      <c r="G51" s="330"/>
      <c r="H51" s="330"/>
      <c r="I51" s="510" t="s">
        <v>806</v>
      </c>
      <c r="J51" s="117"/>
    </row>
    <row r="52" spans="1:10">
      <c r="A52" s="2"/>
      <c r="B52" s="333" t="s">
        <v>807</v>
      </c>
      <c r="C52" s="333" t="s">
        <v>808</v>
      </c>
      <c r="D52" s="333" t="s">
        <v>809</v>
      </c>
      <c r="E52" s="333" t="s">
        <v>810</v>
      </c>
      <c r="F52" s="333" t="s">
        <v>811</v>
      </c>
      <c r="G52" s="333" t="s">
        <v>812</v>
      </c>
      <c r="H52" s="333" t="s">
        <v>825</v>
      </c>
      <c r="I52" s="333" t="s">
        <v>814</v>
      </c>
      <c r="J52" s="119"/>
    </row>
    <row r="53" spans="1:10">
      <c r="A53" s="2"/>
      <c r="B53" s="323" t="s">
        <v>815</v>
      </c>
      <c r="C53" s="323"/>
      <c r="D53" s="323"/>
      <c r="E53" s="117"/>
      <c r="F53" s="117"/>
      <c r="G53" s="117"/>
      <c r="H53" s="117"/>
      <c r="I53" s="117"/>
      <c r="J53" s="117"/>
    </row>
    <row r="54" spans="1:10">
      <c r="A54" s="109">
        <f>A47+1</f>
        <v>117</v>
      </c>
      <c r="B54" s="549" t="s">
        <v>823</v>
      </c>
      <c r="C54" s="334"/>
      <c r="D54" s="335"/>
      <c r="E54" s="121"/>
      <c r="F54" s="121"/>
      <c r="G54" s="121"/>
      <c r="H54" s="121"/>
      <c r="I54" s="210"/>
      <c r="J54" s="210"/>
    </row>
    <row r="55" spans="1:10">
      <c r="A55" s="2"/>
      <c r="B55" s="337"/>
      <c r="C55" s="323"/>
      <c r="D55" s="325"/>
      <c r="E55" s="119"/>
      <c r="F55" s="119"/>
      <c r="G55" s="119"/>
      <c r="H55" s="119"/>
      <c r="I55" s="193" t="s">
        <v>652</v>
      </c>
      <c r="J55" s="117"/>
    </row>
    <row r="56" spans="1:10">
      <c r="A56" s="2">
        <v>250</v>
      </c>
      <c r="B56" s="323"/>
      <c r="C56" s="323" t="s">
        <v>826</v>
      </c>
      <c r="D56" s="345">
        <f>SUM(D31:D47)+SUM(D54:D54)</f>
        <v>4413985909.1033983</v>
      </c>
      <c r="E56" s="345">
        <f>SUM(E31:E47)+SUM(E54:E54)</f>
        <v>2176471116.0492182</v>
      </c>
      <c r="F56" s="345">
        <f>SUM(F31:F47)+SUM(F54:F54)</f>
        <v>0</v>
      </c>
      <c r="G56" s="345">
        <f>SUM(G31:G47)+SUM(G54:G54)</f>
        <v>1708237165.4525266</v>
      </c>
      <c r="H56" s="345">
        <f>SUM(H31:H47)+SUM(H54:H54)</f>
        <v>529277627.60165316</v>
      </c>
      <c r="I56" s="129" t="str">
        <f>"Sum of Above Lines beginning on Line "&amp;A31&amp;""</f>
        <v>Sum of Above Lines beginning on Line 100</v>
      </c>
      <c r="J56" s="117"/>
    </row>
    <row r="57" spans="1:10">
      <c r="A57" s="2"/>
      <c r="B57" s="323"/>
      <c r="C57" s="323"/>
      <c r="D57" s="339"/>
      <c r="E57" s="119"/>
      <c r="F57" s="119"/>
      <c r="G57" s="119"/>
      <c r="H57" s="119"/>
      <c r="I57" s="117"/>
      <c r="J57" s="117"/>
    </row>
    <row r="58" spans="1:10">
      <c r="A58" s="2"/>
      <c r="B58" s="323" t="s">
        <v>827</v>
      </c>
      <c r="C58" s="323"/>
      <c r="D58" s="339"/>
      <c r="E58" s="119"/>
      <c r="F58" s="119"/>
      <c r="G58" s="119"/>
      <c r="H58" s="119"/>
      <c r="I58" s="510" t="s">
        <v>806</v>
      </c>
      <c r="J58" s="117"/>
    </row>
    <row r="59" spans="1:10">
      <c r="A59" s="2"/>
      <c r="C59" s="48" t="s">
        <v>336</v>
      </c>
      <c r="D59" s="48" t="s">
        <v>337</v>
      </c>
      <c r="E59" s="48" t="s">
        <v>338</v>
      </c>
      <c r="F59" s="48" t="s">
        <v>339</v>
      </c>
      <c r="G59" s="48" t="s">
        <v>340</v>
      </c>
      <c r="H59" s="48" t="s">
        <v>341</v>
      </c>
      <c r="I59" s="48" t="s">
        <v>342</v>
      </c>
      <c r="J59" s="117"/>
    </row>
    <row r="60" spans="1:10">
      <c r="A60" s="109">
        <v>300</v>
      </c>
      <c r="B60" s="549">
        <v>190</v>
      </c>
      <c r="C60" s="334" t="s">
        <v>2984</v>
      </c>
      <c r="D60" s="335">
        <v>0</v>
      </c>
      <c r="E60" s="414">
        <v>0</v>
      </c>
      <c r="F60" s="414"/>
      <c r="G60" s="414"/>
      <c r="H60" s="414"/>
      <c r="I60" s="551" t="s">
        <v>2985</v>
      </c>
      <c r="J60" s="551"/>
    </row>
    <row r="61" spans="1:10">
      <c r="A61" s="109">
        <f>A60+1</f>
        <v>301</v>
      </c>
      <c r="B61" s="549">
        <v>190</v>
      </c>
      <c r="C61" s="334" t="s">
        <v>2986</v>
      </c>
      <c r="D61" s="335">
        <v>37798580.399999999</v>
      </c>
      <c r="E61" s="335">
        <v>37798580.399999999</v>
      </c>
      <c r="F61" s="414"/>
      <c r="G61" s="414"/>
      <c r="H61" s="414"/>
      <c r="I61" s="551" t="s">
        <v>2985</v>
      </c>
      <c r="J61" s="551"/>
    </row>
    <row r="62" spans="1:10">
      <c r="A62" s="109">
        <f t="shared" ref="A62:A65" si="5">A61+1</f>
        <v>302</v>
      </c>
      <c r="B62" s="549">
        <v>190</v>
      </c>
      <c r="C62" s="334" t="s">
        <v>828</v>
      </c>
      <c r="D62" s="335">
        <v>1152156.4400000002</v>
      </c>
      <c r="E62" s="335">
        <v>1152156.4400000002</v>
      </c>
      <c r="F62" s="414"/>
      <c r="G62" s="414"/>
      <c r="H62" s="414"/>
      <c r="I62" s="551" t="s">
        <v>2985</v>
      </c>
      <c r="J62" s="551"/>
    </row>
    <row r="63" spans="1:10">
      <c r="A63" s="109">
        <f t="shared" si="5"/>
        <v>303</v>
      </c>
      <c r="B63" s="549">
        <v>190</v>
      </c>
      <c r="C63" s="334" t="s">
        <v>2987</v>
      </c>
      <c r="D63" s="335">
        <v>145673.82</v>
      </c>
      <c r="E63" s="335">
        <v>145673.82</v>
      </c>
      <c r="F63" s="414"/>
      <c r="G63" s="414"/>
      <c r="H63" s="414"/>
      <c r="I63" s="551" t="s">
        <v>2977</v>
      </c>
      <c r="J63" s="551"/>
    </row>
    <row r="64" spans="1:10">
      <c r="A64" s="109">
        <f t="shared" si="5"/>
        <v>304</v>
      </c>
      <c r="B64" s="549">
        <v>190</v>
      </c>
      <c r="C64" s="334" t="s">
        <v>2988</v>
      </c>
      <c r="D64" s="335">
        <v>-201644.43999999997</v>
      </c>
      <c r="E64" s="335">
        <v>-201644.43999999997</v>
      </c>
      <c r="F64" s="121"/>
      <c r="G64" s="121"/>
      <c r="H64" s="121"/>
      <c r="I64" s="210" t="s">
        <v>2977</v>
      </c>
      <c r="J64" s="210"/>
    </row>
    <row r="65" spans="1:10">
      <c r="A65" s="109">
        <f t="shared" si="5"/>
        <v>305</v>
      </c>
      <c r="B65" s="721" t="s">
        <v>823</v>
      </c>
      <c r="C65" s="334"/>
      <c r="D65" s="335"/>
      <c r="E65" s="121"/>
      <c r="F65" s="121"/>
      <c r="G65" s="121"/>
      <c r="H65" s="121"/>
      <c r="I65" s="210"/>
      <c r="J65" s="210"/>
    </row>
    <row r="66" spans="1:10">
      <c r="A66" s="2"/>
      <c r="B66" s="337"/>
      <c r="C66" s="323"/>
      <c r="D66" s="325"/>
      <c r="E66" s="119"/>
      <c r="F66" s="119"/>
      <c r="G66" s="119"/>
      <c r="H66" s="119"/>
      <c r="I66" s="117"/>
      <c r="J66" s="117"/>
    </row>
    <row r="67" spans="1:10">
      <c r="A67" s="2"/>
      <c r="B67" s="337"/>
      <c r="C67" s="48" t="s">
        <v>336</v>
      </c>
      <c r="D67" s="48" t="s">
        <v>337</v>
      </c>
      <c r="E67" s="48" t="s">
        <v>338</v>
      </c>
      <c r="F67" s="48" t="s">
        <v>339</v>
      </c>
      <c r="G67" s="48" t="s">
        <v>340</v>
      </c>
      <c r="H67" s="48" t="s">
        <v>341</v>
      </c>
      <c r="I67" s="193" t="s">
        <v>652</v>
      </c>
      <c r="J67" s="117"/>
    </row>
    <row r="68" spans="1:10">
      <c r="A68" s="2">
        <v>350</v>
      </c>
      <c r="B68" s="323"/>
      <c r="C68" s="323" t="s">
        <v>829</v>
      </c>
      <c r="D68" s="345">
        <f>SUM(D60:D65)</f>
        <v>38894766.219999999</v>
      </c>
      <c r="E68" s="345">
        <f>SUM(E60:E65)</f>
        <v>38894766.219999999</v>
      </c>
      <c r="F68" s="345">
        <f>SUM(F60:F65)</f>
        <v>0</v>
      </c>
      <c r="G68" s="345">
        <f>SUM(G60:G65)</f>
        <v>0</v>
      </c>
      <c r="H68" s="345">
        <f>SUM(H60:H65)</f>
        <v>0</v>
      </c>
      <c r="I68" s="129" t="str">
        <f>"Sum of Above Lines beginning on Line "&amp;A60&amp;""</f>
        <v>Sum of Above Lines beginning on Line 300</v>
      </c>
      <c r="J68" s="117"/>
    </row>
    <row r="69" spans="1:10">
      <c r="A69" s="2"/>
      <c r="B69" s="323"/>
      <c r="C69" s="323"/>
      <c r="D69" s="345"/>
      <c r="E69" s="345"/>
      <c r="F69" s="345"/>
      <c r="G69" s="345"/>
      <c r="H69" s="345"/>
      <c r="I69" s="129"/>
      <c r="J69" s="117"/>
    </row>
    <row r="70" spans="1:10">
      <c r="A70" s="2">
        <f t="shared" ref="A70" si="6">A68+1</f>
        <v>351</v>
      </c>
      <c r="B70" s="323"/>
      <c r="C70" s="323" t="s">
        <v>830</v>
      </c>
      <c r="D70" s="345">
        <f>+D68+D56</f>
        <v>4452880675.3233986</v>
      </c>
      <c r="E70" s="345">
        <f>+E68+E56</f>
        <v>2215365882.269218</v>
      </c>
      <c r="F70" s="345">
        <f>+F68+F56</f>
        <v>0</v>
      </c>
      <c r="G70" s="345">
        <f>+G68+G56</f>
        <v>1708237165.4525266</v>
      </c>
      <c r="H70" s="345">
        <f>+H68+H56</f>
        <v>529277627.60165316</v>
      </c>
      <c r="I70" s="291" t="str">
        <f>"Line "&amp;A56&amp;" + Line "&amp;A68&amp;""</f>
        <v>Line 250 + Line 350</v>
      </c>
      <c r="J70" s="117"/>
    </row>
    <row r="71" spans="1:10">
      <c r="A71" s="2">
        <f>+A70+1</f>
        <v>352</v>
      </c>
      <c r="B71" s="323"/>
      <c r="C71" s="323" t="s">
        <v>831</v>
      </c>
      <c r="D71" s="338"/>
      <c r="E71" s="338"/>
      <c r="F71" s="338"/>
      <c r="G71" s="340">
        <f>'27-Allocators'!$G$28</f>
        <v>0.18265038721639726</v>
      </c>
      <c r="H71" s="340">
        <f>'27-Allocators'!$G$15</f>
        <v>6.2174818554839952E-2</v>
      </c>
      <c r="I71" s="416" t="str">
        <f>"27-Allocators Lines "&amp;'27-Allocators'!A28&amp;" and "&amp;'27-Allocators'!A15&amp;" respectively."</f>
        <v>27-Allocators Lines 22 and 9 respectively.</v>
      </c>
      <c r="J71" s="117"/>
    </row>
    <row r="72" spans="1:10">
      <c r="A72" s="2">
        <f>+A71+1</f>
        <v>353</v>
      </c>
      <c r="B72" s="323"/>
      <c r="C72" s="323" t="s">
        <v>832</v>
      </c>
      <c r="D72" s="338">
        <f>SUM(F72:H72)</f>
        <v>344917920.18861383</v>
      </c>
      <c r="E72" s="338"/>
      <c r="F72" s="969">
        <f>+F70</f>
        <v>0</v>
      </c>
      <c r="G72" s="969">
        <f>+G70*G71</f>
        <v>312010179.72734487</v>
      </c>
      <c r="H72" s="969">
        <f>+H70*H71</f>
        <v>32907740.461268935</v>
      </c>
      <c r="I72" s="291" t="str">
        <f>"Line "&amp;A70&amp;" * Line "&amp;A71&amp;" for Cols 5 and 6.  Col. 4 100% ISO."</f>
        <v>Line 351 * Line 352 for Cols 5 and 6.  Col. 4 100% ISO.</v>
      </c>
      <c r="J72" s="117"/>
    </row>
    <row r="73" spans="1:10">
      <c r="A73" s="2"/>
      <c r="B73" s="323"/>
      <c r="C73" s="341" t="s">
        <v>833</v>
      </c>
      <c r="D73" s="338"/>
      <c r="E73" s="338"/>
      <c r="F73" s="338"/>
      <c r="G73" s="338"/>
      <c r="H73" s="338"/>
      <c r="I73" s="291"/>
      <c r="J73" s="117"/>
    </row>
    <row r="74" spans="1:10">
      <c r="A74" s="2"/>
      <c r="B74" s="323"/>
      <c r="C74" s="323"/>
      <c r="D74" s="338"/>
      <c r="E74" s="338"/>
      <c r="F74" s="338"/>
      <c r="G74" s="338"/>
      <c r="H74" s="338"/>
      <c r="I74" s="291"/>
      <c r="J74" s="117"/>
    </row>
    <row r="75" spans="1:10">
      <c r="A75" s="2">
        <f>+A72+1</f>
        <v>354</v>
      </c>
      <c r="B75" s="323"/>
      <c r="C75" s="323" t="s">
        <v>834</v>
      </c>
      <c r="D75" s="550">
        <v>4452880675</v>
      </c>
      <c r="E75" s="664" t="str">
        <f>"Must match amount on Line "&amp;A70&amp;", Col. 2"</f>
        <v>Must match amount on Line 351, Col. 2</v>
      </c>
      <c r="G75" s="338"/>
      <c r="H75" s="338"/>
      <c r="I75" s="291" t="s">
        <v>835</v>
      </c>
      <c r="J75" s="117"/>
    </row>
    <row r="76" spans="1:10">
      <c r="A76" s="2"/>
      <c r="B76" s="323"/>
      <c r="C76" s="323"/>
      <c r="D76" s="343"/>
      <c r="E76" s="343"/>
      <c r="F76" s="343"/>
      <c r="G76" s="343"/>
      <c r="H76" s="343"/>
      <c r="I76" s="292"/>
      <c r="J76" s="117"/>
    </row>
    <row r="77" spans="1:10">
      <c r="A77" s="251"/>
      <c r="B77" s="327" t="s">
        <v>836</v>
      </c>
      <c r="C77" s="344"/>
      <c r="D77" s="343"/>
      <c r="E77" s="117"/>
      <c r="F77" s="117"/>
      <c r="G77" s="117"/>
      <c r="H77" s="117"/>
      <c r="I77" s="117"/>
      <c r="J77" s="117"/>
    </row>
    <row r="78" spans="1:10">
      <c r="A78" s="251"/>
      <c r="C78" s="48" t="s">
        <v>336</v>
      </c>
      <c r="D78" s="48" t="s">
        <v>337</v>
      </c>
      <c r="E78" s="48" t="s">
        <v>338</v>
      </c>
      <c r="F78" s="48" t="s">
        <v>339</v>
      </c>
      <c r="G78" s="48" t="s">
        <v>340</v>
      </c>
      <c r="H78" s="48" t="s">
        <v>341</v>
      </c>
      <c r="I78" s="48" t="s">
        <v>342</v>
      </c>
      <c r="J78" s="117"/>
    </row>
    <row r="79" spans="1:10">
      <c r="A79" s="251"/>
      <c r="B79" s="330"/>
      <c r="C79" s="330"/>
      <c r="D79" s="330" t="s">
        <v>803</v>
      </c>
      <c r="E79" s="330" t="s">
        <v>804</v>
      </c>
      <c r="F79" s="330"/>
      <c r="G79" s="330"/>
      <c r="H79" s="330" t="s">
        <v>805</v>
      </c>
      <c r="I79" s="510" t="s">
        <v>806</v>
      </c>
      <c r="J79" s="117"/>
    </row>
    <row r="80" spans="1:10">
      <c r="A80" s="251"/>
      <c r="B80" s="333" t="s">
        <v>837</v>
      </c>
      <c r="C80" s="333" t="s">
        <v>808</v>
      </c>
      <c r="D80" s="333" t="s">
        <v>809</v>
      </c>
      <c r="E80" s="333" t="s">
        <v>810</v>
      </c>
      <c r="F80" s="333" t="s">
        <v>811</v>
      </c>
      <c r="G80" s="333" t="s">
        <v>812</v>
      </c>
      <c r="H80" s="333" t="s">
        <v>813</v>
      </c>
      <c r="I80" s="333" t="s">
        <v>814</v>
      </c>
      <c r="J80" s="117"/>
    </row>
    <row r="81" spans="1:10">
      <c r="A81" s="109">
        <v>400</v>
      </c>
      <c r="B81" s="552">
        <v>282</v>
      </c>
      <c r="C81" s="553" t="s">
        <v>2989</v>
      </c>
      <c r="D81" s="554">
        <v>-1273848280</v>
      </c>
      <c r="E81" s="414"/>
      <c r="F81" s="414">
        <f>D81</f>
        <v>-1273848280</v>
      </c>
      <c r="G81" s="414"/>
      <c r="H81" s="414"/>
      <c r="I81" s="551" t="s">
        <v>2990</v>
      </c>
      <c r="J81" s="551"/>
    </row>
    <row r="82" spans="1:10">
      <c r="A82" s="109">
        <f>A81+1</f>
        <v>401</v>
      </c>
      <c r="B82" s="552">
        <v>282</v>
      </c>
      <c r="C82" s="553" t="s">
        <v>2976</v>
      </c>
      <c r="D82" s="554">
        <v>-7843513813</v>
      </c>
      <c r="E82" s="414">
        <v>-7843513813</v>
      </c>
      <c r="F82" s="414"/>
      <c r="G82" s="414"/>
      <c r="H82" s="414"/>
      <c r="I82" s="551" t="s">
        <v>2991</v>
      </c>
      <c r="J82" s="551"/>
    </row>
    <row r="83" spans="1:10">
      <c r="A83" s="109">
        <f t="shared" ref="A83:A87" si="7">A82+1</f>
        <v>402</v>
      </c>
      <c r="B83" s="552">
        <v>282</v>
      </c>
      <c r="C83" s="553" t="s">
        <v>2992</v>
      </c>
      <c r="D83" s="554">
        <v>-34208393</v>
      </c>
      <c r="E83" s="414">
        <v>-34208393</v>
      </c>
      <c r="F83" s="414"/>
      <c r="G83" s="414"/>
      <c r="H83" s="414"/>
      <c r="I83" s="551" t="s">
        <v>2993</v>
      </c>
      <c r="J83" s="551"/>
    </row>
    <row r="84" spans="1:10">
      <c r="A84" s="109">
        <f t="shared" si="7"/>
        <v>403</v>
      </c>
      <c r="B84" s="552">
        <v>282</v>
      </c>
      <c r="C84" s="553" t="s">
        <v>2994</v>
      </c>
      <c r="D84" s="554">
        <v>0</v>
      </c>
      <c r="E84" s="414">
        <v>0</v>
      </c>
      <c r="F84" s="414"/>
      <c r="G84" s="414"/>
      <c r="H84" s="414"/>
      <c r="I84" s="551" t="s">
        <v>2995</v>
      </c>
      <c r="J84" s="551"/>
    </row>
    <row r="85" spans="1:10">
      <c r="A85" s="109">
        <f t="shared" si="7"/>
        <v>404</v>
      </c>
      <c r="B85" s="552">
        <v>282</v>
      </c>
      <c r="C85" s="553" t="s">
        <v>2987</v>
      </c>
      <c r="D85" s="554">
        <v>-830253</v>
      </c>
      <c r="E85" s="414">
        <v>-830253</v>
      </c>
      <c r="F85" s="414"/>
      <c r="G85" s="414"/>
      <c r="H85" s="414"/>
      <c r="I85" s="551" t="s">
        <v>2996</v>
      </c>
      <c r="J85" s="551"/>
    </row>
    <row r="86" spans="1:10">
      <c r="A86" s="109">
        <f t="shared" si="7"/>
        <v>405</v>
      </c>
      <c r="B86" s="552">
        <v>282</v>
      </c>
      <c r="C86" s="553" t="s">
        <v>2988</v>
      </c>
      <c r="D86" s="554">
        <v>-5682338</v>
      </c>
      <c r="E86" s="414">
        <v>-5682338</v>
      </c>
      <c r="F86" s="414"/>
      <c r="G86" s="414"/>
      <c r="H86" s="414"/>
      <c r="I86" s="551" t="s">
        <v>2985</v>
      </c>
      <c r="J86" s="551"/>
    </row>
    <row r="87" spans="1:10">
      <c r="A87" s="109">
        <f t="shared" si="7"/>
        <v>406</v>
      </c>
      <c r="B87" s="549" t="s">
        <v>823</v>
      </c>
      <c r="C87" s="258"/>
      <c r="D87" s="550"/>
      <c r="E87" s="121"/>
      <c r="F87" s="121"/>
      <c r="G87" s="121"/>
      <c r="H87" s="121"/>
      <c r="I87" s="210"/>
      <c r="J87" s="210"/>
    </row>
    <row r="88" spans="1:10">
      <c r="A88" s="2"/>
      <c r="B88" s="257"/>
      <c r="C88" s="251"/>
      <c r="D88" s="345"/>
      <c r="E88" s="119"/>
      <c r="F88" s="119"/>
      <c r="G88" s="119"/>
      <c r="H88" s="119"/>
      <c r="I88" s="117"/>
      <c r="J88" s="117"/>
    </row>
    <row r="89" spans="1:10">
      <c r="A89" s="2"/>
      <c r="B89" s="257"/>
      <c r="C89" s="48" t="s">
        <v>336</v>
      </c>
      <c r="D89" s="48" t="s">
        <v>337</v>
      </c>
      <c r="E89" s="48" t="s">
        <v>338</v>
      </c>
      <c r="F89" s="48" t="s">
        <v>339</v>
      </c>
      <c r="G89" s="48" t="s">
        <v>340</v>
      </c>
      <c r="H89" s="48" t="s">
        <v>341</v>
      </c>
      <c r="I89" s="193" t="s">
        <v>652</v>
      </c>
      <c r="J89" s="117"/>
    </row>
    <row r="90" spans="1:10">
      <c r="A90" s="2">
        <v>450</v>
      </c>
      <c r="B90" s="252"/>
      <c r="C90" s="251" t="s">
        <v>838</v>
      </c>
      <c r="D90" s="345">
        <f>SUM(D81:D87)</f>
        <v>-9158083077</v>
      </c>
      <c r="E90" s="345">
        <f>SUM(E81:E87)</f>
        <v>-7884234797</v>
      </c>
      <c r="F90" s="345">
        <f>SUM(F81:F87)</f>
        <v>-1273848280</v>
      </c>
      <c r="G90" s="345">
        <f>SUM(G81:G87)</f>
        <v>0</v>
      </c>
      <c r="H90" s="345">
        <f>SUM(H81:H87)</f>
        <v>0</v>
      </c>
      <c r="I90" s="129" t="str">
        <f>"Sum of Above Lines beginning on Line "&amp;A81&amp;""</f>
        <v>Sum of Above Lines beginning on Line 400</v>
      </c>
      <c r="J90" s="117"/>
    </row>
    <row r="91" spans="1:10">
      <c r="A91" s="2">
        <f>+A90+1</f>
        <v>451</v>
      </c>
      <c r="B91" s="323"/>
      <c r="C91" s="323" t="s">
        <v>831</v>
      </c>
      <c r="D91" s="338"/>
      <c r="E91" s="338"/>
      <c r="F91" s="338"/>
      <c r="G91" s="340">
        <f>'27-Allocators'!$G$28</f>
        <v>0.18265038721639726</v>
      </c>
      <c r="H91" s="340">
        <f>'27-Allocators'!$G$15</f>
        <v>6.2174818554839952E-2</v>
      </c>
      <c r="I91" s="416" t="str">
        <f>"27-Allocators Lines "&amp;'27-Allocators'!A28&amp;" and "&amp;'27-Allocators'!A15&amp;" respectively."</f>
        <v>27-Allocators Lines 22 and 9 respectively.</v>
      </c>
      <c r="J91" s="117"/>
    </row>
    <row r="92" spans="1:10">
      <c r="A92" s="2">
        <f>+A91+1</f>
        <v>452</v>
      </c>
      <c r="B92" s="323"/>
      <c r="C92" s="323" t="s">
        <v>839</v>
      </c>
      <c r="D92" s="338">
        <f>SUM(F92:H92)</f>
        <v>-1273848280</v>
      </c>
      <c r="E92" s="338"/>
      <c r="F92" s="969">
        <f>+F90</f>
        <v>-1273848280</v>
      </c>
      <c r="G92" s="969">
        <f>+G90*G91</f>
        <v>0</v>
      </c>
      <c r="H92" s="969">
        <f>+H90*H91</f>
        <v>0</v>
      </c>
      <c r="I92" s="291" t="str">
        <f>"Line "&amp;A90&amp;" * Line "&amp;A91&amp;" for Cols 5 and 6.  Col. 4 100% ISO."</f>
        <v>Line 450 * Line 451 for Cols 5 and 6.  Col. 4 100% ISO.</v>
      </c>
      <c r="J92" s="117"/>
    </row>
    <row r="93" spans="1:10">
      <c r="A93" s="2"/>
      <c r="B93" s="323"/>
      <c r="C93" s="341" t="s">
        <v>833</v>
      </c>
      <c r="D93" s="338"/>
      <c r="E93" s="338"/>
      <c r="F93" s="338"/>
      <c r="G93" s="338"/>
      <c r="H93" s="338"/>
      <c r="I93" s="291"/>
      <c r="J93" s="117"/>
    </row>
    <row r="94" spans="1:10">
      <c r="A94" s="2"/>
      <c r="B94" s="252"/>
      <c r="C94" s="251"/>
      <c r="D94" s="338"/>
      <c r="E94" s="338"/>
      <c r="F94" s="338"/>
      <c r="G94" s="338"/>
      <c r="H94" s="338"/>
      <c r="I94" s="129"/>
      <c r="J94" s="117"/>
    </row>
    <row r="95" spans="1:10">
      <c r="A95" s="2">
        <f>+A92+1</f>
        <v>453</v>
      </c>
      <c r="B95" s="252"/>
      <c r="C95" s="323" t="s">
        <v>840</v>
      </c>
      <c r="D95" s="550">
        <v>-9158083077</v>
      </c>
      <c r="E95" s="664" t="str">
        <f>"Must match amount on Line "&amp;A90&amp;", Col. 2"</f>
        <v>Must match amount on Line 450, Col. 2</v>
      </c>
      <c r="F95" s="338"/>
      <c r="G95" s="338"/>
      <c r="H95" s="338"/>
      <c r="I95" s="129" t="s">
        <v>841</v>
      </c>
      <c r="J95" s="117"/>
    </row>
    <row r="96" spans="1:10">
      <c r="A96" s="2"/>
      <c r="B96" s="252"/>
      <c r="C96" s="251"/>
      <c r="D96" s="338"/>
      <c r="E96" s="338"/>
      <c r="F96" s="338"/>
      <c r="G96" s="338"/>
      <c r="H96" s="338"/>
      <c r="I96" s="129"/>
      <c r="J96" s="117"/>
    </row>
    <row r="97" spans="1:10">
      <c r="A97" s="2"/>
      <c r="B97" s="252"/>
      <c r="C97" s="251"/>
      <c r="D97" s="338"/>
      <c r="E97" s="338"/>
      <c r="F97" s="338"/>
      <c r="G97" s="338"/>
      <c r="H97" s="338"/>
      <c r="I97" s="292"/>
      <c r="J97" s="117"/>
    </row>
    <row r="98" spans="1:10">
      <c r="A98" s="251"/>
      <c r="B98" s="327" t="s">
        <v>842</v>
      </c>
      <c r="C98" s="323"/>
      <c r="D98" s="338"/>
      <c r="E98" s="119"/>
      <c r="F98" s="119"/>
      <c r="G98" s="119"/>
      <c r="H98" s="119"/>
      <c r="I98" s="117"/>
      <c r="J98" s="117"/>
    </row>
    <row r="99" spans="1:10">
      <c r="A99" s="251"/>
      <c r="B99" s="327"/>
      <c r="C99" s="48" t="s">
        <v>336</v>
      </c>
      <c r="D99" s="48" t="s">
        <v>337</v>
      </c>
      <c r="E99" s="48" t="s">
        <v>338</v>
      </c>
      <c r="F99" s="48" t="s">
        <v>339</v>
      </c>
      <c r="G99" s="48" t="s">
        <v>340</v>
      </c>
      <c r="H99" s="48" t="s">
        <v>341</v>
      </c>
      <c r="I99" s="48" t="s">
        <v>342</v>
      </c>
      <c r="J99" s="117"/>
    </row>
    <row r="100" spans="1:10">
      <c r="A100" s="251"/>
      <c r="B100" s="330"/>
      <c r="C100" s="330"/>
      <c r="D100" s="346" t="s">
        <v>803</v>
      </c>
      <c r="E100" s="346" t="s">
        <v>804</v>
      </c>
      <c r="F100" s="346"/>
      <c r="G100" s="346"/>
      <c r="H100" s="346" t="s">
        <v>805</v>
      </c>
      <c r="I100" s="510" t="s">
        <v>806</v>
      </c>
      <c r="J100" s="117"/>
    </row>
    <row r="101" spans="1:10">
      <c r="A101" s="251"/>
      <c r="B101" s="333" t="s">
        <v>843</v>
      </c>
      <c r="C101" s="333" t="s">
        <v>808</v>
      </c>
      <c r="D101" s="347" t="s">
        <v>809</v>
      </c>
      <c r="E101" s="347" t="s">
        <v>810</v>
      </c>
      <c r="F101" s="347" t="s">
        <v>811</v>
      </c>
      <c r="G101" s="347" t="s">
        <v>812</v>
      </c>
      <c r="H101" s="347" t="s">
        <v>813</v>
      </c>
      <c r="I101" s="333" t="s">
        <v>814</v>
      </c>
      <c r="J101" s="117"/>
    </row>
    <row r="102" spans="1:10">
      <c r="A102" s="2"/>
      <c r="B102" s="323" t="s">
        <v>815</v>
      </c>
      <c r="C102" s="117"/>
      <c r="D102" s="119"/>
      <c r="E102" s="119"/>
      <c r="F102" s="119"/>
      <c r="G102" s="119"/>
      <c r="H102" s="119"/>
      <c r="I102" s="117"/>
      <c r="J102" s="117"/>
    </row>
    <row r="103" spans="1:10">
      <c r="A103" s="109">
        <v>500</v>
      </c>
      <c r="B103" s="552">
        <v>283</v>
      </c>
      <c r="C103" s="553" t="s">
        <v>2997</v>
      </c>
      <c r="D103" s="414">
        <v>-60629023.090000004</v>
      </c>
      <c r="E103" s="414">
        <f>D103</f>
        <v>-60629023.090000004</v>
      </c>
      <c r="F103" s="414"/>
      <c r="G103" s="414"/>
      <c r="H103" s="414"/>
      <c r="I103" s="551" t="s">
        <v>2998</v>
      </c>
      <c r="J103" s="210"/>
    </row>
    <row r="104" spans="1:10">
      <c r="A104" s="109">
        <f>A103+1</f>
        <v>501</v>
      </c>
      <c r="B104" s="552">
        <v>283</v>
      </c>
      <c r="C104" s="553" t="s">
        <v>2997</v>
      </c>
      <c r="D104" s="414">
        <v>-10318686</v>
      </c>
      <c r="E104" s="414"/>
      <c r="F104" s="414">
        <f>D104</f>
        <v>-10318686</v>
      </c>
      <c r="G104" s="414"/>
      <c r="H104" s="414"/>
      <c r="I104" s="551" t="s">
        <v>2999</v>
      </c>
      <c r="J104" s="210"/>
    </row>
    <row r="105" spans="1:10">
      <c r="A105" s="109">
        <f t="shared" ref="A105:A112" si="8">A104+1</f>
        <v>502</v>
      </c>
      <c r="B105" s="552">
        <v>283</v>
      </c>
      <c r="C105" s="553" t="s">
        <v>844</v>
      </c>
      <c r="D105" s="414">
        <v>-27632174.109999999</v>
      </c>
      <c r="E105" s="414">
        <f>D105*$G$160</f>
        <v>-22795.876049592305</v>
      </c>
      <c r="F105" s="414"/>
      <c r="G105" s="414">
        <f>D105-E105</f>
        <v>-27609378.233950406</v>
      </c>
      <c r="H105" s="414"/>
      <c r="I105" s="551" t="s">
        <v>3000</v>
      </c>
      <c r="J105" s="210"/>
    </row>
    <row r="106" spans="1:10">
      <c r="A106" s="109">
        <f t="shared" si="8"/>
        <v>503</v>
      </c>
      <c r="B106" s="552">
        <v>283</v>
      </c>
      <c r="C106" s="553" t="s">
        <v>845</v>
      </c>
      <c r="D106" s="414">
        <v>-653344.03</v>
      </c>
      <c r="E106" s="414">
        <f>D106*$G$152</f>
        <v>-3671.7995005283851</v>
      </c>
      <c r="F106" s="414"/>
      <c r="G106" s="414"/>
      <c r="H106" s="414">
        <f>D106-E106</f>
        <v>-649672.23049947165</v>
      </c>
      <c r="I106" s="551" t="s">
        <v>2966</v>
      </c>
      <c r="J106" s="210"/>
    </row>
    <row r="107" spans="1:10">
      <c r="A107" s="109">
        <f t="shared" si="8"/>
        <v>504</v>
      </c>
      <c r="B107" s="552">
        <v>283</v>
      </c>
      <c r="C107" s="553" t="s">
        <v>2974</v>
      </c>
      <c r="D107" s="414">
        <v>-1206464754</v>
      </c>
      <c r="E107" s="414">
        <v>-1206464754</v>
      </c>
      <c r="F107" s="414"/>
      <c r="G107" s="414"/>
      <c r="H107" s="414"/>
      <c r="I107" s="551" t="s">
        <v>2975</v>
      </c>
      <c r="J107" s="210"/>
    </row>
    <row r="108" spans="1:10">
      <c r="A108" s="109">
        <f t="shared" si="8"/>
        <v>505</v>
      </c>
      <c r="B108" s="552">
        <v>283</v>
      </c>
      <c r="C108" s="553" t="s">
        <v>2972</v>
      </c>
      <c r="D108" s="414">
        <v>-516960545</v>
      </c>
      <c r="E108" s="414">
        <v>-516960545</v>
      </c>
      <c r="F108" s="414"/>
      <c r="G108" s="414"/>
      <c r="H108" s="414"/>
      <c r="I108" s="551" t="s">
        <v>2973</v>
      </c>
      <c r="J108" s="210"/>
    </row>
    <row r="109" spans="1:10">
      <c r="A109" s="109">
        <f t="shared" si="8"/>
        <v>506</v>
      </c>
      <c r="B109" s="552">
        <v>283</v>
      </c>
      <c r="C109" s="553" t="s">
        <v>2978</v>
      </c>
      <c r="D109" s="414">
        <v>-34331935</v>
      </c>
      <c r="E109" s="414">
        <v>-34331935</v>
      </c>
      <c r="F109" s="414"/>
      <c r="G109" s="414"/>
      <c r="H109" s="414"/>
      <c r="I109" s="551" t="s">
        <v>2979</v>
      </c>
      <c r="J109" s="210"/>
    </row>
    <row r="110" spans="1:10">
      <c r="A110" s="109">
        <f t="shared" si="8"/>
        <v>507</v>
      </c>
      <c r="B110" s="552">
        <v>283</v>
      </c>
      <c r="C110" s="553" t="s">
        <v>3001</v>
      </c>
      <c r="D110" s="414">
        <v>-606819367</v>
      </c>
      <c r="E110" s="414">
        <v>-606819367</v>
      </c>
      <c r="F110" s="414"/>
      <c r="G110" s="414"/>
      <c r="H110" s="414"/>
      <c r="I110" s="551" t="s">
        <v>2981</v>
      </c>
      <c r="J110" s="210"/>
    </row>
    <row r="111" spans="1:10">
      <c r="A111" s="109">
        <f t="shared" si="8"/>
        <v>508</v>
      </c>
      <c r="B111" s="552">
        <v>283</v>
      </c>
      <c r="C111" s="553" t="s">
        <v>817</v>
      </c>
      <c r="D111" s="414">
        <v>-1470523</v>
      </c>
      <c r="E111" s="414">
        <f>D111*$G$152</f>
        <v>-8264.3528814604797</v>
      </c>
      <c r="F111" s="414"/>
      <c r="G111" s="414"/>
      <c r="H111" s="414">
        <f>D111-E111</f>
        <v>-1462258.6471185395</v>
      </c>
      <c r="I111" s="551" t="s">
        <v>2966</v>
      </c>
      <c r="J111" s="210"/>
    </row>
    <row r="112" spans="1:10">
      <c r="A112" s="109">
        <f t="shared" si="8"/>
        <v>509</v>
      </c>
      <c r="B112" s="552">
        <v>283</v>
      </c>
      <c r="C112" s="258" t="s">
        <v>818</v>
      </c>
      <c r="D112" s="271">
        <v>-506055</v>
      </c>
      <c r="E112" s="414">
        <f>D112*$G$160</f>
        <v>-417.48314875091944</v>
      </c>
      <c r="F112" s="121"/>
      <c r="G112" s="414">
        <f>D112-E112</f>
        <v>-505637.51685124909</v>
      </c>
      <c r="H112" s="121"/>
      <c r="I112" s="210" t="s">
        <v>2965</v>
      </c>
      <c r="J112" s="210"/>
    </row>
    <row r="113" spans="1:10">
      <c r="A113" s="2"/>
      <c r="B113" s="294"/>
      <c r="C113" s="251"/>
      <c r="D113" s="253"/>
      <c r="E113" s="119"/>
      <c r="F113" s="119"/>
      <c r="G113" s="119"/>
      <c r="H113" s="119"/>
      <c r="I113" s="117"/>
      <c r="J113" s="117"/>
    </row>
    <row r="114" spans="1:10">
      <c r="A114" s="2"/>
      <c r="B114" s="327" t="s">
        <v>846</v>
      </c>
      <c r="C114" s="323"/>
      <c r="D114" s="338"/>
      <c r="E114" s="119"/>
      <c r="F114" s="119"/>
      <c r="G114" s="119"/>
      <c r="H114" s="119"/>
      <c r="I114" s="117"/>
      <c r="J114" s="117"/>
    </row>
    <row r="115" spans="1:10">
      <c r="A115" s="2"/>
      <c r="B115" s="327"/>
      <c r="C115" s="48" t="s">
        <v>336</v>
      </c>
      <c r="D115" s="48" t="s">
        <v>337</v>
      </c>
      <c r="E115" s="48" t="s">
        <v>338</v>
      </c>
      <c r="F115" s="48" t="s">
        <v>339</v>
      </c>
      <c r="G115" s="48" t="s">
        <v>340</v>
      </c>
      <c r="H115" s="48" t="s">
        <v>341</v>
      </c>
      <c r="I115" s="48" t="s">
        <v>342</v>
      </c>
      <c r="J115" s="117"/>
    </row>
    <row r="116" spans="1:10">
      <c r="A116" s="2"/>
      <c r="B116" s="330"/>
      <c r="C116" s="330"/>
      <c r="D116" s="346" t="s">
        <v>803</v>
      </c>
      <c r="E116" s="346" t="s">
        <v>804</v>
      </c>
      <c r="F116" s="346"/>
      <c r="G116" s="346"/>
      <c r="H116" s="346" t="s">
        <v>805</v>
      </c>
      <c r="I116" s="510" t="s">
        <v>806</v>
      </c>
      <c r="J116" s="117"/>
    </row>
    <row r="117" spans="1:10">
      <c r="A117" s="2"/>
      <c r="B117" s="333" t="s">
        <v>843</v>
      </c>
      <c r="C117" s="333" t="s">
        <v>808</v>
      </c>
      <c r="D117" s="347" t="s">
        <v>809</v>
      </c>
      <c r="E117" s="347" t="s">
        <v>810</v>
      </c>
      <c r="F117" s="347" t="s">
        <v>811</v>
      </c>
      <c r="G117" s="347" t="s">
        <v>812</v>
      </c>
      <c r="H117" s="347" t="s">
        <v>813</v>
      </c>
      <c r="I117" s="333" t="s">
        <v>814</v>
      </c>
      <c r="J117" s="117"/>
    </row>
    <row r="118" spans="1:10">
      <c r="A118" s="2"/>
      <c r="B118" s="323" t="s">
        <v>847</v>
      </c>
      <c r="C118" s="330"/>
      <c r="D118" s="346"/>
      <c r="E118" s="346"/>
      <c r="F118" s="346"/>
      <c r="G118" s="346"/>
      <c r="H118" s="346"/>
      <c r="I118" s="330"/>
      <c r="J118" s="117"/>
    </row>
    <row r="119" spans="1:10">
      <c r="A119" s="109">
        <f>A112+1</f>
        <v>510</v>
      </c>
      <c r="B119" s="552" t="s">
        <v>823</v>
      </c>
      <c r="C119" s="258"/>
      <c r="D119" s="271"/>
      <c r="E119" s="414"/>
      <c r="F119" s="121"/>
      <c r="G119" s="414"/>
      <c r="H119" s="121"/>
      <c r="I119" s="210"/>
      <c r="J119" s="210"/>
    </row>
    <row r="120" spans="1:10">
      <c r="A120" s="2"/>
      <c r="B120" s="261"/>
      <c r="C120" s="251"/>
      <c r="D120" s="253"/>
      <c r="E120" s="119"/>
      <c r="F120" s="119"/>
      <c r="G120" s="119"/>
      <c r="H120" s="119"/>
      <c r="I120" s="117"/>
      <c r="J120" s="117"/>
    </row>
    <row r="121" spans="1:10">
      <c r="A121" s="2">
        <v>650</v>
      </c>
      <c r="B121" s="251"/>
      <c r="C121" s="251" t="s">
        <v>848</v>
      </c>
      <c r="D121" s="1091">
        <f>SUM(D103:D112)+SUM(D119:D119)</f>
        <v>-2465786406.23</v>
      </c>
      <c r="E121" s="1091">
        <f>SUM(E103:E112)+SUM(E119:E119)</f>
        <v>-2425240773.6015801</v>
      </c>
      <c r="F121" s="1091">
        <f>SUM(F103:F112)+SUM(F119:F119)</f>
        <v>-10318686</v>
      </c>
      <c r="G121" s="1091">
        <f>SUM(G103:G112)+SUM(G119:G119)</f>
        <v>-28115015.750801656</v>
      </c>
      <c r="H121" s="1091">
        <f>SUM(H103:H112)+SUM(H119:H119)</f>
        <v>-2111930.8776180111</v>
      </c>
      <c r="I121" s="129" t="str">
        <f>"Sum of Above Lines beginning on Line "&amp;A103&amp;""</f>
        <v>Sum of Above Lines beginning on Line 500</v>
      </c>
      <c r="J121" s="117"/>
    </row>
    <row r="122" spans="1:10">
      <c r="A122" s="2"/>
      <c r="B122" s="251"/>
      <c r="C122" s="251"/>
      <c r="D122" s="253"/>
      <c r="E122" s="253"/>
      <c r="F122" s="253"/>
      <c r="G122" s="253"/>
      <c r="H122" s="253"/>
      <c r="I122" s="292"/>
      <c r="J122" s="117"/>
    </row>
    <row r="123" spans="1:10">
      <c r="A123" s="2"/>
      <c r="B123" s="323" t="s">
        <v>849</v>
      </c>
      <c r="C123" s="251"/>
      <c r="D123" s="253"/>
      <c r="E123" s="119"/>
      <c r="F123" s="119"/>
      <c r="G123" s="119"/>
      <c r="H123" s="119"/>
      <c r="I123" s="510" t="s">
        <v>806</v>
      </c>
      <c r="J123" s="117"/>
    </row>
    <row r="124" spans="1:10">
      <c r="A124" s="2"/>
      <c r="C124" s="48" t="s">
        <v>336</v>
      </c>
      <c r="D124" s="48" t="s">
        <v>337</v>
      </c>
      <c r="E124" s="48" t="s">
        <v>338</v>
      </c>
      <c r="F124" s="48" t="s">
        <v>339</v>
      </c>
      <c r="G124" s="48" t="s">
        <v>340</v>
      </c>
      <c r="H124" s="48" t="s">
        <v>341</v>
      </c>
      <c r="I124" s="48" t="s">
        <v>342</v>
      </c>
      <c r="J124" s="117"/>
    </row>
    <row r="125" spans="1:10">
      <c r="A125" s="109">
        <v>700</v>
      </c>
      <c r="B125" s="552">
        <v>283</v>
      </c>
      <c r="C125" s="553" t="s">
        <v>2984</v>
      </c>
      <c r="D125" s="415">
        <v>-21752</v>
      </c>
      <c r="E125" s="415">
        <v>-21752</v>
      </c>
      <c r="F125" s="414"/>
      <c r="G125" s="414"/>
      <c r="H125" s="414"/>
      <c r="I125" s="551" t="s">
        <v>2996</v>
      </c>
      <c r="J125" s="551"/>
    </row>
    <row r="126" spans="1:10">
      <c r="A126" s="109">
        <f>A125+1</f>
        <v>701</v>
      </c>
      <c r="B126" s="552">
        <v>283</v>
      </c>
      <c r="C126" s="553" t="s">
        <v>3002</v>
      </c>
      <c r="D126" s="415">
        <v>-161670</v>
      </c>
      <c r="E126" s="415">
        <v>-161670</v>
      </c>
      <c r="F126" s="414"/>
      <c r="G126" s="414"/>
      <c r="H126" s="414"/>
      <c r="I126" s="551" t="s">
        <v>2996</v>
      </c>
      <c r="J126" s="551"/>
    </row>
    <row r="127" spans="1:10">
      <c r="A127" s="109">
        <f>A126+1</f>
        <v>702</v>
      </c>
      <c r="B127" s="552">
        <v>283</v>
      </c>
      <c r="C127" s="553" t="s">
        <v>2986</v>
      </c>
      <c r="D127" s="415">
        <v>-2549428</v>
      </c>
      <c r="E127" s="415">
        <v>-2549428</v>
      </c>
      <c r="F127" s="414"/>
      <c r="G127" s="414"/>
      <c r="H127" s="414"/>
      <c r="I127" s="551" t="s">
        <v>2985</v>
      </c>
      <c r="J127" s="551"/>
    </row>
    <row r="128" spans="1:10">
      <c r="A128" s="109">
        <f>A127+1</f>
        <v>703</v>
      </c>
      <c r="B128" s="561" t="s">
        <v>823</v>
      </c>
      <c r="C128" s="553"/>
      <c r="D128" s="415"/>
      <c r="E128" s="414"/>
      <c r="F128" s="414"/>
      <c r="G128" s="414"/>
      <c r="H128" s="414"/>
      <c r="I128" s="551"/>
      <c r="J128" s="551"/>
    </row>
    <row r="129" spans="1:10">
      <c r="A129" s="2"/>
      <c r="B129" s="294"/>
      <c r="C129" s="251"/>
      <c r="D129" s="253"/>
      <c r="E129" s="119"/>
      <c r="F129" s="119"/>
      <c r="G129" s="119"/>
      <c r="H129" s="119"/>
      <c r="I129" s="117"/>
      <c r="J129" s="117"/>
    </row>
    <row r="130" spans="1:10">
      <c r="A130" s="2"/>
      <c r="B130" s="251"/>
      <c r="C130" s="48" t="s">
        <v>336</v>
      </c>
      <c r="D130" s="48" t="s">
        <v>337</v>
      </c>
      <c r="E130" s="48" t="s">
        <v>338</v>
      </c>
      <c r="F130" s="48" t="s">
        <v>339</v>
      </c>
      <c r="G130" s="48" t="s">
        <v>340</v>
      </c>
      <c r="H130" s="48" t="s">
        <v>341</v>
      </c>
      <c r="I130" s="193" t="s">
        <v>652</v>
      </c>
      <c r="J130" s="117"/>
    </row>
    <row r="131" spans="1:10">
      <c r="A131" s="2">
        <v>800</v>
      </c>
      <c r="B131" s="117"/>
      <c r="C131" s="251" t="s">
        <v>850</v>
      </c>
      <c r="D131" s="1091">
        <f>SUM(D125:D128)</f>
        <v>-2732850</v>
      </c>
      <c r="E131" s="1091">
        <f>SUM(E125:E128)</f>
        <v>-2732850</v>
      </c>
      <c r="F131" s="1091">
        <f>SUM(F125:F128)</f>
        <v>0</v>
      </c>
      <c r="G131" s="1091">
        <f>SUM(G125:G128)</f>
        <v>0</v>
      </c>
      <c r="H131" s="1091">
        <f>SUM(H125:H128)</f>
        <v>0</v>
      </c>
      <c r="I131" s="129" t="str">
        <f>"Sum of Above Lines beginning on Line "&amp;A125&amp;""</f>
        <v>Sum of Above Lines beginning on Line 700</v>
      </c>
      <c r="J131" s="117"/>
    </row>
    <row r="132" spans="1:10">
      <c r="A132" s="2"/>
      <c r="B132" s="117"/>
      <c r="C132" s="251"/>
      <c r="D132" s="253"/>
      <c r="E132" s="253"/>
      <c r="F132" s="253"/>
      <c r="G132" s="253"/>
      <c r="H132" s="253"/>
      <c r="I132" s="129"/>
      <c r="J132" s="117"/>
    </row>
    <row r="133" spans="1:10">
      <c r="A133" s="2">
        <f>A131+1</f>
        <v>801</v>
      </c>
      <c r="B133" s="117"/>
      <c r="C133" s="251" t="s">
        <v>851</v>
      </c>
      <c r="D133" s="1091">
        <f>D121+D131</f>
        <v>-2468519256.23</v>
      </c>
      <c r="E133" s="1091">
        <f>E121+E131</f>
        <v>-2427973623.6015801</v>
      </c>
      <c r="F133" s="1091">
        <f>F121+F131</f>
        <v>-10318686</v>
      </c>
      <c r="G133" s="1091">
        <f>G121+G131</f>
        <v>-28115015.750801656</v>
      </c>
      <c r="H133" s="1091">
        <f>H121+H131</f>
        <v>-2111930.8776180111</v>
      </c>
      <c r="I133" s="291" t="str">
        <f>"Line "&amp;A121&amp;" + Line "&amp;A131&amp;""</f>
        <v>Line 650 + Line 800</v>
      </c>
      <c r="J133" s="117"/>
    </row>
    <row r="134" spans="1:10">
      <c r="A134" s="2">
        <f>+A133+1</f>
        <v>802</v>
      </c>
      <c r="B134" s="323"/>
      <c r="C134" s="323" t="s">
        <v>831</v>
      </c>
      <c r="D134" s="531"/>
      <c r="E134" s="531"/>
      <c r="F134" s="338"/>
      <c r="G134" s="340">
        <f>'27-Allocators'!$G$28</f>
        <v>0.18265038721639726</v>
      </c>
      <c r="H134" s="340">
        <f>'27-Allocators'!$G$15</f>
        <v>6.2174818554839952E-2</v>
      </c>
      <c r="I134" s="416" t="str">
        <f>"27-Allocators Lines "&amp;'27-Allocators'!A28&amp;" and "&amp;'27-Allocators'!A15&amp;" respectively."</f>
        <v>27-Allocators Lines 22 and 9 respectively.</v>
      </c>
      <c r="J134" s="117"/>
    </row>
    <row r="135" spans="1:10">
      <c r="A135" s="2">
        <f>+A134+1</f>
        <v>803</v>
      </c>
      <c r="B135" s="323"/>
      <c r="C135" s="323" t="s">
        <v>852</v>
      </c>
      <c r="D135" s="345">
        <f>SUM(F135:H135)</f>
        <v>-15585213.432595296</v>
      </c>
      <c r="E135" s="338"/>
      <c r="F135" s="969">
        <f>+F133</f>
        <v>-10318686</v>
      </c>
      <c r="G135" s="969">
        <f>+G133*G134</f>
        <v>-5135218.5134790307</v>
      </c>
      <c r="H135" s="970">
        <f>+H133*H134</f>
        <v>-131308.91911626374</v>
      </c>
      <c r="I135" s="291" t="str">
        <f>"Line "&amp;A133&amp;" * Line "&amp;A134&amp;" for Cols 5 and 6.  Col. 4 100% ISO."</f>
        <v>Line 801 * Line 802 for Cols 5 and 6.  Col. 4 100% ISO.</v>
      </c>
      <c r="J135" s="117"/>
    </row>
    <row r="136" spans="1:10">
      <c r="A136" s="2"/>
      <c r="B136" s="117"/>
      <c r="C136" s="341" t="s">
        <v>833</v>
      </c>
      <c r="D136" s="253"/>
      <c r="E136" s="253"/>
      <c r="F136" s="253"/>
      <c r="G136" s="253"/>
      <c r="H136" s="253"/>
      <c r="I136" s="291"/>
      <c r="J136" s="119"/>
    </row>
    <row r="137" spans="1:10">
      <c r="A137" s="2"/>
      <c r="B137" s="117"/>
      <c r="C137" s="251"/>
      <c r="D137" s="253"/>
      <c r="E137" s="253"/>
      <c r="F137" s="253"/>
      <c r="G137" s="253"/>
      <c r="H137" s="253"/>
      <c r="I137" s="291"/>
      <c r="J137" s="117"/>
    </row>
    <row r="138" spans="1:10">
      <c r="A138" s="2">
        <f>A135+1</f>
        <v>804</v>
      </c>
      <c r="C138" s="323" t="s">
        <v>853</v>
      </c>
      <c r="D138" s="550">
        <v>-2468519256</v>
      </c>
      <c r="E138" s="664" t="str">
        <f>"Must match amount on Line "&amp;A133&amp;", Col. 2"</f>
        <v>Must match amount on Line 801, Col. 2</v>
      </c>
      <c r="F138" s="338"/>
      <c r="G138" s="338"/>
      <c r="H138" s="338"/>
      <c r="I138" s="129" t="s">
        <v>854</v>
      </c>
    </row>
    <row r="139" spans="1:10">
      <c r="A139" s="2"/>
      <c r="C139" s="323"/>
      <c r="D139" s="342"/>
      <c r="E139" s="342"/>
      <c r="F139" s="338"/>
      <c r="G139" s="338"/>
      <c r="H139" s="338"/>
      <c r="I139" s="129"/>
    </row>
    <row r="140" spans="1:10">
      <c r="B140"/>
      <c r="C140" s="117" t="s">
        <v>855</v>
      </c>
      <c r="D140" s="117"/>
      <c r="E140" s="117"/>
      <c r="F140" s="117"/>
      <c r="G140" s="117"/>
      <c r="J140"/>
    </row>
    <row r="141" spans="1:10">
      <c r="B141"/>
      <c r="C141" s="117" t="s">
        <v>856</v>
      </c>
      <c r="D141" s="117"/>
      <c r="E141" s="117"/>
      <c r="F141" s="117"/>
      <c r="G141" s="117"/>
      <c r="J141"/>
    </row>
    <row r="142" spans="1:10">
      <c r="B142"/>
      <c r="C142" s="117"/>
      <c r="D142" s="117"/>
      <c r="E142" s="117"/>
      <c r="F142" s="117"/>
      <c r="G142" s="117"/>
      <c r="J142"/>
    </row>
    <row r="143" spans="1:10">
      <c r="B143"/>
      <c r="C143" s="117" t="s">
        <v>857</v>
      </c>
      <c r="D143" s="117"/>
      <c r="E143" s="117"/>
      <c r="F143" s="117"/>
      <c r="G143" s="117"/>
      <c r="J143"/>
    </row>
    <row r="144" spans="1:10">
      <c r="B144"/>
      <c r="C144" s="117" t="s">
        <v>858</v>
      </c>
      <c r="D144" s="117"/>
      <c r="E144" s="117"/>
      <c r="F144" s="117"/>
      <c r="G144" s="117"/>
      <c r="J144"/>
    </row>
    <row r="145" spans="2:10">
      <c r="B145"/>
      <c r="C145" s="117" t="s">
        <v>859</v>
      </c>
      <c r="D145" s="117"/>
      <c r="E145" s="117"/>
      <c r="F145" s="117"/>
      <c r="G145" s="117"/>
      <c r="J145"/>
    </row>
    <row r="146" spans="2:10" s="251" customFormat="1">
      <c r="E146" s="2" t="s">
        <v>98</v>
      </c>
      <c r="G146" s="4" t="s">
        <v>860</v>
      </c>
      <c r="H146" s="117"/>
      <c r="I146" s="117"/>
    </row>
    <row r="147" spans="2:10" s="251" customFormat="1">
      <c r="E147" s="3" t="s">
        <v>101</v>
      </c>
      <c r="G147" s="3" t="s">
        <v>102</v>
      </c>
      <c r="H147" s="117"/>
      <c r="I147" s="117"/>
    </row>
    <row r="148" spans="2:10" s="251" customFormat="1" ht="12.5">
      <c r="C148" s="250" t="s">
        <v>861</v>
      </c>
      <c r="E148" s="251" t="s">
        <v>862</v>
      </c>
      <c r="G148" s="559">
        <v>818339058</v>
      </c>
      <c r="H148" s="117"/>
      <c r="I148" s="628"/>
    </row>
    <row r="149" spans="2:10" s="251" customFormat="1" ht="12.5">
      <c r="C149" s="250" t="s">
        <v>863</v>
      </c>
      <c r="E149" s="251" t="s">
        <v>864</v>
      </c>
      <c r="G149" s="271">
        <v>916543</v>
      </c>
      <c r="H149" s="117"/>
      <c r="I149" s="628"/>
    </row>
    <row r="150" spans="2:10" s="251" customFormat="1" ht="12.5">
      <c r="C150" s="250" t="s">
        <v>865</v>
      </c>
      <c r="E150" s="251" t="s">
        <v>866</v>
      </c>
      <c r="G150" s="62">
        <v>3708523</v>
      </c>
      <c r="H150" s="117"/>
      <c r="I150" s="628"/>
    </row>
    <row r="151" spans="2:10" s="251" customFormat="1" ht="12.5">
      <c r="C151" s="250" t="s">
        <v>867</v>
      </c>
      <c r="E151" s="251" t="s">
        <v>868</v>
      </c>
      <c r="G151" s="253">
        <f>SUM(G148:G150)</f>
        <v>822964124</v>
      </c>
      <c r="H151" s="117"/>
      <c r="I151" s="117"/>
    </row>
    <row r="152" spans="2:10" s="251" customFormat="1" ht="12.5">
      <c r="C152" s="250" t="s">
        <v>869</v>
      </c>
      <c r="E152" s="261" t="s">
        <v>870</v>
      </c>
      <c r="G152" s="215">
        <f>(G149+G150)/G151</f>
        <v>5.6200092630040331E-3</v>
      </c>
      <c r="H152" s="117"/>
      <c r="I152" s="117"/>
    </row>
    <row r="153" spans="2:10" s="251" customFormat="1" ht="12.5">
      <c r="C153" s="504" t="s">
        <v>871</v>
      </c>
      <c r="D153" s="117"/>
      <c r="E153" s="117"/>
      <c r="F153" s="117"/>
      <c r="G153" s="117"/>
      <c r="H153" s="117"/>
      <c r="I153" s="117"/>
    </row>
    <row r="154" spans="2:10" s="251" customFormat="1">
      <c r="E154" s="2" t="s">
        <v>98</v>
      </c>
      <c r="G154" s="4" t="s">
        <v>860</v>
      </c>
      <c r="H154" s="117"/>
      <c r="I154" s="117"/>
    </row>
    <row r="155" spans="2:10" s="251" customFormat="1">
      <c r="E155" s="3" t="s">
        <v>101</v>
      </c>
      <c r="G155" s="3" t="s">
        <v>102</v>
      </c>
      <c r="H155" s="117"/>
      <c r="I155" s="117"/>
    </row>
    <row r="156" spans="2:10" s="251" customFormat="1" ht="12.5">
      <c r="C156" s="250" t="s">
        <v>872</v>
      </c>
      <c r="E156" s="251" t="s">
        <v>873</v>
      </c>
      <c r="G156" s="559">
        <v>58731185898</v>
      </c>
      <c r="H156" s="117"/>
      <c r="I156" s="628"/>
    </row>
    <row r="157" spans="2:10" s="251" customFormat="1" ht="12.5">
      <c r="C157" s="250" t="s">
        <v>874</v>
      </c>
      <c r="E157" s="251" t="s">
        <v>875</v>
      </c>
      <c r="G157" s="271">
        <v>6817247</v>
      </c>
      <c r="H157" s="117"/>
      <c r="I157" s="117"/>
    </row>
    <row r="158" spans="2:10" s="251" customFormat="1" ht="12.5">
      <c r="C158" s="250" t="s">
        <v>876</v>
      </c>
      <c r="E158" s="251" t="s">
        <v>877</v>
      </c>
      <c r="G158" s="62">
        <v>41674567</v>
      </c>
      <c r="H158" s="117"/>
      <c r="I158" s="628"/>
    </row>
    <row r="159" spans="2:10" s="251" customFormat="1" ht="12.5">
      <c r="C159" s="250" t="s">
        <v>878</v>
      </c>
      <c r="E159" s="251" t="s">
        <v>879</v>
      </c>
      <c r="G159" s="253">
        <f>SUM(G156:G158)</f>
        <v>58779677712</v>
      </c>
      <c r="H159" s="117"/>
      <c r="I159" s="117"/>
    </row>
    <row r="160" spans="2:10" s="251" customFormat="1" ht="12.5">
      <c r="C160" s="250" t="s">
        <v>880</v>
      </c>
      <c r="E160" s="261" t="s">
        <v>881</v>
      </c>
      <c r="G160" s="215">
        <f>(G157+G158)/G159</f>
        <v>8.2497584007848836E-4</v>
      </c>
      <c r="H160" s="117"/>
      <c r="I160" s="117"/>
    </row>
    <row r="161" spans="2:10" s="251" customFormat="1" ht="12.5">
      <c r="C161" s="117" t="s">
        <v>882</v>
      </c>
      <c r="D161" s="117"/>
      <c r="E161" s="117"/>
      <c r="F161" s="117"/>
      <c r="G161" s="117"/>
      <c r="H161" s="117"/>
      <c r="I161" s="117"/>
    </row>
    <row r="162" spans="2:10" s="251" customFormat="1" ht="12.5">
      <c r="B162" s="117"/>
      <c r="C162" s="117"/>
      <c r="D162" s="117"/>
      <c r="E162" s="117"/>
      <c r="F162" s="117"/>
      <c r="G162" s="117"/>
      <c r="H162" s="117"/>
      <c r="I162" s="117"/>
      <c r="J162" s="117"/>
    </row>
    <row r="163" spans="2:10" s="251" customFormat="1">
      <c r="B163" s="117"/>
      <c r="C163" s="30"/>
      <c r="D163" s="117"/>
      <c r="E163" s="117"/>
      <c r="F163" s="117"/>
      <c r="G163" s="117"/>
      <c r="H163" s="117"/>
      <c r="I163" s="117"/>
      <c r="J163" s="117"/>
    </row>
    <row r="164" spans="2:10">
      <c r="C164" s="251"/>
      <c r="G164" s="716"/>
      <c r="H164" s="784"/>
      <c r="I164" s="117"/>
      <c r="J164" s="117"/>
    </row>
    <row r="165" spans="2:10">
      <c r="C165" s="251"/>
    </row>
    <row r="166" spans="2:10">
      <c r="C166" s="250"/>
    </row>
    <row r="167" spans="2:10">
      <c r="C167" s="250"/>
    </row>
  </sheetData>
  <protectedRanges>
    <protectedRange password="F1C4" sqref="D20:E23 E15:E19 D14:D15 D17:D18 I54 B7:C12 F20 D25:F30 D24 B14:C14 B13 B17:C30 C16 B15" name="AAReport1_23_1_1_2"/>
    <protectedRange password="F1C4" sqref="D19" name="AAReport1_23_1_1_1_1_1"/>
    <protectedRange password="F1C4" sqref="J32:J35 F47" name="AAReport1_23_1_1_2_1"/>
    <protectedRange password="F1C4" sqref="E24" name="AAReport1_23_1_1_2_3"/>
    <protectedRange password="F1C4" sqref="F32:F33" name="AAReport1_23_1_1_2_1_1"/>
    <protectedRange password="F1C4" sqref="I119 I112" name="AAReport1_23_1_1_2_2"/>
  </protectedRanges>
  <phoneticPr fontId="23" type="noConversion"/>
  <conditionalFormatting sqref="B113 D128:D129 D113 B128:B129">
    <cfRule type="expression" dxfId="36" priority="33" stopIfTrue="1">
      <formula>Formulas</formula>
    </cfRule>
  </conditionalFormatting>
  <conditionalFormatting sqref="C113 C128:C129">
    <cfRule type="expression" dxfId="35" priority="32" stopIfTrue="1">
      <formula>#REF!&lt;&gt;""</formula>
    </cfRule>
  </conditionalFormatting>
  <conditionalFormatting sqref="D103:D111">
    <cfRule type="expression" dxfId="34" priority="17" stopIfTrue="1">
      <formula>Formulas</formula>
    </cfRule>
  </conditionalFormatting>
  <conditionalFormatting sqref="C103:C111">
    <cfRule type="expression" dxfId="33" priority="16" stopIfTrue="1">
      <formula>#REF!&lt;&gt;""</formula>
    </cfRule>
  </conditionalFormatting>
  <conditionalFormatting sqref="E103">
    <cfRule type="expression" dxfId="32" priority="15" stopIfTrue="1">
      <formula>Formulas</formula>
    </cfRule>
  </conditionalFormatting>
  <conditionalFormatting sqref="E107:E110">
    <cfRule type="expression" dxfId="31" priority="14" stopIfTrue="1">
      <formula>Formulas</formula>
    </cfRule>
  </conditionalFormatting>
  <conditionalFormatting sqref="D119">
    <cfRule type="expression" dxfId="30" priority="13" stopIfTrue="1">
      <formula>Formulas</formula>
    </cfRule>
  </conditionalFormatting>
  <conditionalFormatting sqref="C119">
    <cfRule type="expression" dxfId="29" priority="12" stopIfTrue="1">
      <formula>#REF!&lt;&gt;""</formula>
    </cfRule>
  </conditionalFormatting>
  <conditionalFormatting sqref="D112">
    <cfRule type="expression" dxfId="28" priority="11" stopIfTrue="1">
      <formula>Formulas</formula>
    </cfRule>
  </conditionalFormatting>
  <conditionalFormatting sqref="C112">
    <cfRule type="expression" dxfId="27" priority="10" stopIfTrue="1">
      <formula>#REF!&lt;&gt;""</formula>
    </cfRule>
  </conditionalFormatting>
  <conditionalFormatting sqref="D127">
    <cfRule type="expression" dxfId="26" priority="9" stopIfTrue="1">
      <formula>Formulas</formula>
    </cfRule>
  </conditionalFormatting>
  <conditionalFormatting sqref="D125">
    <cfRule type="expression" dxfId="25" priority="8" stopIfTrue="1">
      <formula>Formulas</formula>
    </cfRule>
  </conditionalFormatting>
  <conditionalFormatting sqref="C125">
    <cfRule type="expression" dxfId="24" priority="7" stopIfTrue="1">
      <formula>#REF!&lt;&gt;""</formula>
    </cfRule>
  </conditionalFormatting>
  <conditionalFormatting sqref="D126">
    <cfRule type="expression" dxfId="23" priority="6" stopIfTrue="1">
      <formula>Formulas</formula>
    </cfRule>
  </conditionalFormatting>
  <conditionalFormatting sqref="C126">
    <cfRule type="expression" dxfId="22" priority="5" stopIfTrue="1">
      <formula>#REF!&lt;&gt;""</formula>
    </cfRule>
  </conditionalFormatting>
  <conditionalFormatting sqref="C127">
    <cfRule type="expression" dxfId="21" priority="4" stopIfTrue="1">
      <formula>#REF!&lt;&gt;""</formula>
    </cfRule>
  </conditionalFormatting>
  <conditionalFormatting sqref="E127">
    <cfRule type="expression" dxfId="20" priority="3" stopIfTrue="1">
      <formula>Formulas</formula>
    </cfRule>
  </conditionalFormatting>
  <conditionalFormatting sqref="E125">
    <cfRule type="expression" dxfId="19" priority="2" stopIfTrue="1">
      <formula>Formulas</formula>
    </cfRule>
  </conditionalFormatting>
  <conditionalFormatting sqref="E126">
    <cfRule type="expression" dxfId="18" priority="1" stopIfTrue="1">
      <formula>Formulas</formula>
    </cfRule>
  </conditionalFormatting>
  <pageMargins left="0.75" right="0.75" top="1" bottom="1" header="0.5" footer="0.5"/>
  <pageSetup scale="57" orientation="landscape" cellComments="asDisplayed" r:id="rId1"/>
  <headerFooter alignWithMargins="0">
    <oddHeader>&amp;C&amp;"Arial,Bold"Schedule 9-ADIT-1
ADIT
&amp;RTO2023 Draft Annual Update 
Attachment 1</oddHeader>
    <oddFooter>&amp;R&amp;A</oddFooter>
  </headerFooter>
  <rowBreaks count="4" manualBreakCount="4">
    <brk id="24" max="16383" man="1"/>
    <brk id="57" max="16383" man="1"/>
    <brk id="95" max="9" man="1"/>
    <brk id="13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74"/>
  <sheetViews>
    <sheetView zoomScaleNormal="100" zoomScalePageLayoutView="70" workbookViewId="0">
      <selection activeCell="F71" sqref="F71:F72"/>
    </sheetView>
  </sheetViews>
  <sheetFormatPr defaultColWidth="14.54296875" defaultRowHeight="12.5"/>
  <cols>
    <col min="1" max="1" width="5.54296875" customWidth="1"/>
    <col min="2" max="2" width="36.81640625" customWidth="1"/>
    <col min="3" max="3" width="3.54296875" customWidth="1"/>
    <col min="4" max="5" width="14.26953125" customWidth="1"/>
    <col min="6" max="7" width="13.54296875" customWidth="1"/>
    <col min="10" max="10" width="15.26953125" customWidth="1"/>
    <col min="12" max="13" width="15.54296875" customWidth="1"/>
  </cols>
  <sheetData>
    <row r="1" spans="1:14" ht="14.5">
      <c r="A1" s="783" t="s">
        <v>883</v>
      </c>
      <c r="B1" s="726"/>
      <c r="C1" s="726"/>
      <c r="D1" s="726"/>
      <c r="E1" s="726"/>
      <c r="F1" s="726"/>
      <c r="G1" s="726"/>
      <c r="H1" s="726"/>
      <c r="I1" s="726"/>
      <c r="J1" s="726"/>
      <c r="K1" s="726"/>
      <c r="L1" s="726"/>
      <c r="M1" s="726"/>
      <c r="N1" s="727"/>
    </row>
    <row r="2" spans="1:14" ht="13">
      <c r="A2" s="728"/>
      <c r="B2" s="725"/>
      <c r="C2" s="725"/>
      <c r="D2" s="728"/>
      <c r="E2" s="728"/>
      <c r="F2" s="728"/>
      <c r="G2" s="728"/>
      <c r="H2" s="728"/>
      <c r="I2" s="728"/>
      <c r="J2" s="728"/>
      <c r="L2" s="729" t="s">
        <v>641</v>
      </c>
      <c r="M2" s="730">
        <v>2021</v>
      </c>
      <c r="N2" s="363"/>
    </row>
    <row r="3" spans="1:14">
      <c r="A3" s="728"/>
      <c r="B3" s="728"/>
      <c r="C3" s="728"/>
      <c r="D3" s="728"/>
      <c r="E3" s="728"/>
      <c r="F3" s="728"/>
      <c r="G3" s="728"/>
      <c r="H3" s="728"/>
      <c r="I3" s="728"/>
      <c r="J3" s="728"/>
      <c r="K3" s="728"/>
      <c r="L3" s="728"/>
      <c r="M3" s="728"/>
      <c r="N3" s="363"/>
    </row>
    <row r="4" spans="1:14" ht="13">
      <c r="A4" s="731"/>
      <c r="B4" s="732" t="s">
        <v>884</v>
      </c>
      <c r="C4" s="732"/>
      <c r="D4" s="732" t="s">
        <v>885</v>
      </c>
      <c r="E4" s="732" t="s">
        <v>886</v>
      </c>
      <c r="F4" s="732" t="s">
        <v>887</v>
      </c>
      <c r="G4" s="732" t="s">
        <v>888</v>
      </c>
      <c r="H4" s="732" t="s">
        <v>889</v>
      </c>
      <c r="I4" s="732" t="s">
        <v>890</v>
      </c>
      <c r="J4" s="732" t="s">
        <v>891</v>
      </c>
      <c r="K4" s="732" t="s">
        <v>892</v>
      </c>
      <c r="L4" s="732" t="s">
        <v>893</v>
      </c>
      <c r="M4" s="732" t="s">
        <v>894</v>
      </c>
      <c r="N4" s="733"/>
    </row>
    <row r="5" spans="1:14" ht="13.5" thickBot="1">
      <c r="A5" s="363"/>
      <c r="B5" s="734"/>
      <c r="C5" s="734"/>
      <c r="D5" s="734"/>
      <c r="E5" s="734"/>
      <c r="F5" s="733"/>
      <c r="G5" s="733"/>
      <c r="H5" s="733"/>
      <c r="I5" s="733"/>
      <c r="J5" s="734"/>
      <c r="K5" s="733"/>
      <c r="L5" s="1039" t="s">
        <v>126</v>
      </c>
      <c r="M5" s="1039" t="s">
        <v>2699</v>
      </c>
      <c r="N5" s="734"/>
    </row>
    <row r="6" spans="1:14" ht="13.5" thickBot="1">
      <c r="A6" s="363"/>
      <c r="B6" s="734"/>
      <c r="C6" s="1077"/>
      <c r="D6" s="735" t="s">
        <v>895</v>
      </c>
      <c r="E6" s="735" t="s">
        <v>895</v>
      </c>
      <c r="F6" s="735" t="s">
        <v>895</v>
      </c>
      <c r="G6" s="735" t="s">
        <v>895</v>
      </c>
      <c r="H6" s="735" t="s">
        <v>895</v>
      </c>
      <c r="I6" s="735" t="s">
        <v>895</v>
      </c>
      <c r="J6" s="736" t="s">
        <v>896</v>
      </c>
      <c r="K6" s="736" t="s">
        <v>897</v>
      </c>
      <c r="L6" s="736" t="s">
        <v>898</v>
      </c>
      <c r="M6" s="736" t="s">
        <v>898</v>
      </c>
      <c r="N6" s="734"/>
    </row>
    <row r="7" spans="1:14" ht="87" customHeight="1" thickBot="1">
      <c r="A7" s="737" t="s">
        <v>273</v>
      </c>
      <c r="B7" s="363"/>
      <c r="C7" s="738"/>
      <c r="D7" s="1028" t="s">
        <v>2899</v>
      </c>
      <c r="E7" s="1028" t="s">
        <v>2900</v>
      </c>
      <c r="F7" s="1028" t="s">
        <v>899</v>
      </c>
      <c r="G7" s="1028" t="s">
        <v>2901</v>
      </c>
      <c r="H7" s="1029" t="s">
        <v>2927</v>
      </c>
      <c r="I7" s="1028" t="s">
        <v>2902</v>
      </c>
      <c r="J7" s="1028" t="s">
        <v>2903</v>
      </c>
      <c r="K7" s="1029" t="s">
        <v>900</v>
      </c>
      <c r="L7" s="1028" t="s">
        <v>2904</v>
      </c>
      <c r="M7" s="1028" t="s">
        <v>2905</v>
      </c>
      <c r="N7" s="739"/>
    </row>
    <row r="8" spans="1:14" ht="13">
      <c r="A8" s="740">
        <v>1</v>
      </c>
      <c r="B8" s="741" t="s">
        <v>901</v>
      </c>
      <c r="C8" s="742"/>
      <c r="D8" s="728"/>
      <c r="E8" s="728"/>
      <c r="F8" s="728"/>
      <c r="G8" s="728"/>
      <c r="H8" s="728"/>
      <c r="I8" s="728"/>
      <c r="J8" s="728"/>
      <c r="K8" s="728"/>
      <c r="L8" s="728"/>
      <c r="M8" s="728"/>
      <c r="N8" s="363"/>
    </row>
    <row r="9" spans="1:14" ht="13">
      <c r="A9" s="740">
        <f t="shared" ref="A9:A45" si="0">+A8+1</f>
        <v>2</v>
      </c>
      <c r="B9" s="743" t="s">
        <v>902</v>
      </c>
      <c r="C9" s="744"/>
      <c r="D9" s="745">
        <v>0</v>
      </c>
      <c r="E9" s="745">
        <v>-588205310.71730018</v>
      </c>
      <c r="F9" s="745"/>
      <c r="G9" s="1092">
        <v>-4896280.6340533337</v>
      </c>
      <c r="H9" s="745"/>
      <c r="I9" s="1092">
        <v>5195583.4463999905</v>
      </c>
      <c r="J9" s="785">
        <f>SUM(D9:I9)</f>
        <v>-587906007.90495348</v>
      </c>
      <c r="K9" s="785">
        <f>'9-ADIT-3'!I12</f>
        <v>0</v>
      </c>
      <c r="L9" s="785">
        <f>IF(+J9+K9&gt;0,+J9+K9,0)</f>
        <v>0</v>
      </c>
      <c r="M9" s="785">
        <f>IF(+J9+K9&gt;0,0,+J9+K9)</f>
        <v>-587906007.90495348</v>
      </c>
      <c r="N9" s="363"/>
    </row>
    <row r="10" spans="1:14" ht="13">
      <c r="A10" s="740">
        <f t="shared" si="0"/>
        <v>3</v>
      </c>
      <c r="B10" s="743" t="s">
        <v>903</v>
      </c>
      <c r="C10" s="744"/>
      <c r="D10" s="745">
        <v>6440236.2803000119</v>
      </c>
      <c r="E10" s="745"/>
      <c r="F10" s="1092">
        <v>-333389.21357672848</v>
      </c>
      <c r="G10" s="745"/>
      <c r="H10" s="745">
        <v>-942847.62159999879</v>
      </c>
      <c r="I10" s="745"/>
      <c r="J10" s="785">
        <f t="shared" ref="J10:J13" si="1">SUM(D10:I10)</f>
        <v>5163999.4451232851</v>
      </c>
      <c r="K10" s="785">
        <f>'9-ADIT-3'!I13</f>
        <v>0</v>
      </c>
      <c r="L10" s="785">
        <f t="shared" ref="L10:L12" si="2">IF(+J10+K10&gt;0,+J10+K10,0)</f>
        <v>5163999.4451232851</v>
      </c>
      <c r="M10" s="785">
        <f t="shared" ref="M10:M12" si="3">IF(+J10+K10&gt;0,0,+J10+K10)</f>
        <v>0</v>
      </c>
      <c r="N10" s="363"/>
    </row>
    <row r="11" spans="1:14" ht="13">
      <c r="A11" s="740">
        <f t="shared" si="0"/>
        <v>4</v>
      </c>
      <c r="B11" s="743" t="s">
        <v>904</v>
      </c>
      <c r="C11" s="744"/>
      <c r="D11" s="745">
        <v>3143295.7230769228</v>
      </c>
      <c r="E11" s="745"/>
      <c r="F11" s="745">
        <v>0</v>
      </c>
      <c r="G11" s="745"/>
      <c r="H11" s="745">
        <v>-898084.49230769242</v>
      </c>
      <c r="I11" s="745"/>
      <c r="J11" s="785">
        <f t="shared" si="1"/>
        <v>2245211.2307692305</v>
      </c>
      <c r="K11" s="785">
        <f>'9-ADIT-3'!I14</f>
        <v>0</v>
      </c>
      <c r="L11" s="785">
        <f t="shared" si="2"/>
        <v>2245211.2307692305</v>
      </c>
      <c r="M11" s="785">
        <f t="shared" si="3"/>
        <v>0</v>
      </c>
      <c r="N11" s="363"/>
    </row>
    <row r="12" spans="1:14" ht="13">
      <c r="A12" s="740">
        <f t="shared" si="0"/>
        <v>5</v>
      </c>
      <c r="B12" s="743" t="s">
        <v>905</v>
      </c>
      <c r="C12" s="744"/>
      <c r="D12" s="745">
        <v>20675371.106250405</v>
      </c>
      <c r="E12" s="745"/>
      <c r="F12" s="745">
        <v>0</v>
      </c>
      <c r="G12" s="745"/>
      <c r="H12" s="745">
        <v>-18210.692469970803</v>
      </c>
      <c r="I12" s="745"/>
      <c r="J12" s="785">
        <f t="shared" si="1"/>
        <v>20657160.413780436</v>
      </c>
      <c r="K12" s="785">
        <f>'9-ADIT-3'!I15</f>
        <v>0</v>
      </c>
      <c r="L12" s="785">
        <f t="shared" si="2"/>
        <v>20657160.413780436</v>
      </c>
      <c r="M12" s="785">
        <f t="shared" si="3"/>
        <v>0</v>
      </c>
      <c r="N12" s="363"/>
    </row>
    <row r="13" spans="1:14" ht="13">
      <c r="A13" s="740">
        <f t="shared" si="0"/>
        <v>6</v>
      </c>
      <c r="B13" s="746" t="s">
        <v>823</v>
      </c>
      <c r="C13" s="747"/>
      <c r="D13" s="745"/>
      <c r="E13" s="745"/>
      <c r="F13" s="745"/>
      <c r="G13" s="745"/>
      <c r="H13" s="745"/>
      <c r="I13" s="745"/>
      <c r="J13" s="785">
        <f t="shared" si="1"/>
        <v>0</v>
      </c>
      <c r="K13" s="785"/>
      <c r="L13" s="785"/>
      <c r="M13" s="785"/>
      <c r="N13" s="363"/>
    </row>
    <row r="14" spans="1:14" ht="13">
      <c r="A14" s="748" t="s">
        <v>906</v>
      </c>
      <c r="B14" s="749" t="s">
        <v>907</v>
      </c>
      <c r="C14" s="750"/>
      <c r="D14" s="786">
        <f t="shared" ref="D14:M14" si="4">SUM(D9:D13)</f>
        <v>30258903.10962734</v>
      </c>
      <c r="E14" s="786">
        <f t="shared" si="4"/>
        <v>-588205310.71730018</v>
      </c>
      <c r="F14" s="786">
        <f t="shared" si="4"/>
        <v>-333389.21357672848</v>
      </c>
      <c r="G14" s="786">
        <f t="shared" si="4"/>
        <v>-4896280.6340533337</v>
      </c>
      <c r="H14" s="786">
        <f t="shared" si="4"/>
        <v>-1859142.8063776619</v>
      </c>
      <c r="I14" s="786">
        <f t="shared" si="4"/>
        <v>5195583.4463999905</v>
      </c>
      <c r="J14" s="786">
        <f t="shared" si="4"/>
        <v>-559839636.81528044</v>
      </c>
      <c r="K14" s="786">
        <f t="shared" si="4"/>
        <v>0</v>
      </c>
      <c r="L14" s="786">
        <f t="shared" si="4"/>
        <v>28066371.089672953</v>
      </c>
      <c r="M14" s="786">
        <f t="shared" si="4"/>
        <v>-587906007.90495348</v>
      </c>
      <c r="N14" s="363"/>
    </row>
    <row r="15" spans="1:14" ht="13">
      <c r="A15" s="740"/>
      <c r="B15" s="743"/>
      <c r="C15" s="750"/>
      <c r="D15" s="743"/>
      <c r="E15" s="743"/>
      <c r="F15" s="743"/>
      <c r="G15" s="743"/>
      <c r="H15" s="743"/>
      <c r="I15" s="743"/>
      <c r="J15" s="743"/>
      <c r="K15" s="743"/>
      <c r="L15" s="743"/>
      <c r="M15" s="743"/>
      <c r="N15" s="363"/>
    </row>
    <row r="16" spans="1:14" ht="13">
      <c r="A16" s="740">
        <v>100</v>
      </c>
      <c r="B16" s="751" t="s">
        <v>908</v>
      </c>
      <c r="C16" s="752"/>
      <c r="D16" s="743"/>
      <c r="E16" s="743"/>
      <c r="F16" s="743"/>
      <c r="G16" s="743"/>
      <c r="H16" s="743"/>
      <c r="I16" s="743"/>
      <c r="J16" s="743"/>
      <c r="K16" s="743"/>
      <c r="L16" s="743"/>
      <c r="M16" s="743"/>
      <c r="N16" s="363"/>
    </row>
    <row r="17" spans="1:14" ht="13">
      <c r="A17" s="740">
        <f t="shared" si="0"/>
        <v>101</v>
      </c>
      <c r="B17" s="743" t="s">
        <v>909</v>
      </c>
      <c r="C17" s="744"/>
      <c r="D17" s="745"/>
      <c r="E17" s="745">
        <v>-7211125.9304833431</v>
      </c>
      <c r="F17" s="745"/>
      <c r="G17" s="745">
        <v>0</v>
      </c>
      <c r="H17" s="745"/>
      <c r="I17" s="745">
        <v>7211125.9304833431</v>
      </c>
      <c r="J17" s="785">
        <f t="shared" ref="J17:J23" si="5">SUM(D17:I17)</f>
        <v>0</v>
      </c>
      <c r="K17" s="785">
        <f>'9-ADIT-3'!I20</f>
        <v>0</v>
      </c>
      <c r="L17" s="785">
        <f t="shared" ref="L17:L22" si="6">IF(+J17+K17&gt;0,+J17+K17,0)</f>
        <v>0</v>
      </c>
      <c r="M17" s="785">
        <f t="shared" ref="M17:M22" si="7">IF(+J17+K17&gt;0,0,+J17+K17)</f>
        <v>0</v>
      </c>
      <c r="N17" s="363"/>
    </row>
    <row r="18" spans="1:14" ht="13">
      <c r="A18" s="740">
        <f t="shared" si="0"/>
        <v>102</v>
      </c>
      <c r="B18" s="743" t="s">
        <v>910</v>
      </c>
      <c r="C18" s="744"/>
      <c r="D18" s="745"/>
      <c r="E18" s="745">
        <v>-1221807.2765500078</v>
      </c>
      <c r="F18" s="745"/>
      <c r="G18" s="745">
        <v>0</v>
      </c>
      <c r="H18" s="745"/>
      <c r="I18" s="745">
        <v>1221807.2765500078</v>
      </c>
      <c r="J18" s="785">
        <f t="shared" si="5"/>
        <v>0</v>
      </c>
      <c r="K18" s="785">
        <f>'9-ADIT-3'!I21</f>
        <v>0</v>
      </c>
      <c r="L18" s="785">
        <f t="shared" si="6"/>
        <v>0</v>
      </c>
      <c r="M18" s="785">
        <f t="shared" si="7"/>
        <v>0</v>
      </c>
      <c r="N18" s="363"/>
    </row>
    <row r="19" spans="1:14" ht="13">
      <c r="A19" s="740">
        <f t="shared" si="0"/>
        <v>103</v>
      </c>
      <c r="B19" s="743" t="s">
        <v>911</v>
      </c>
      <c r="C19" s="744"/>
      <c r="D19" s="745"/>
      <c r="E19" s="745">
        <v>-10185654.083700079</v>
      </c>
      <c r="F19" s="745"/>
      <c r="G19" s="745">
        <v>0</v>
      </c>
      <c r="H19" s="745"/>
      <c r="I19" s="745">
        <v>10185654.083700079</v>
      </c>
      <c r="J19" s="785">
        <f t="shared" si="5"/>
        <v>0</v>
      </c>
      <c r="K19" s="785">
        <f>'9-ADIT-3'!I22</f>
        <v>0</v>
      </c>
      <c r="L19" s="785">
        <f t="shared" si="6"/>
        <v>0</v>
      </c>
      <c r="M19" s="785">
        <f t="shared" si="7"/>
        <v>0</v>
      </c>
      <c r="N19" s="363"/>
    </row>
    <row r="20" spans="1:14" ht="13">
      <c r="A20" s="740">
        <f t="shared" si="0"/>
        <v>104</v>
      </c>
      <c r="B20" s="743" t="s">
        <v>912</v>
      </c>
      <c r="C20" s="744"/>
      <c r="D20" s="745"/>
      <c r="E20" s="745">
        <v>-603513.68730000104</v>
      </c>
      <c r="F20" s="745"/>
      <c r="G20" s="745">
        <v>0</v>
      </c>
      <c r="H20" s="745"/>
      <c r="I20" s="745">
        <v>603513.48730000108</v>
      </c>
      <c r="J20" s="785">
        <f t="shared" si="5"/>
        <v>-0.19999999995343387</v>
      </c>
      <c r="K20" s="785">
        <f>'9-ADIT-3'!I23</f>
        <v>0</v>
      </c>
      <c r="L20" s="785">
        <f t="shared" si="6"/>
        <v>0</v>
      </c>
      <c r="M20" s="785">
        <f t="shared" si="7"/>
        <v>-0.19999999995343387</v>
      </c>
      <c r="N20" s="363"/>
    </row>
    <row r="21" spans="1:14" ht="13">
      <c r="A21" s="740">
        <f t="shared" si="0"/>
        <v>105</v>
      </c>
      <c r="B21" s="743" t="s">
        <v>913</v>
      </c>
      <c r="C21" s="744"/>
      <c r="D21" s="745"/>
      <c r="E21" s="745">
        <v>-2221394.108775015</v>
      </c>
      <c r="F21" s="745"/>
      <c r="G21" s="745">
        <v>0</v>
      </c>
      <c r="H21" s="745"/>
      <c r="I21" s="745">
        <v>2221394.4087750134</v>
      </c>
      <c r="J21" s="785">
        <f t="shared" si="5"/>
        <v>0.29999999841675162</v>
      </c>
      <c r="K21" s="785">
        <f>'9-ADIT-3'!I24</f>
        <v>0</v>
      </c>
      <c r="L21" s="785">
        <f t="shared" si="6"/>
        <v>0.29999999841675162</v>
      </c>
      <c r="M21" s="785">
        <f t="shared" si="7"/>
        <v>0</v>
      </c>
      <c r="N21" s="363"/>
    </row>
    <row r="22" spans="1:14" ht="13">
      <c r="A22" s="740">
        <f t="shared" si="0"/>
        <v>106</v>
      </c>
      <c r="B22" s="743" t="s">
        <v>914</v>
      </c>
      <c r="C22" s="744"/>
      <c r="D22" s="745">
        <v>6841822.6912591793</v>
      </c>
      <c r="E22" s="745"/>
      <c r="F22" s="745">
        <v>0</v>
      </c>
      <c r="G22" s="745"/>
      <c r="H22" s="745">
        <v>-6841822.8312591817</v>
      </c>
      <c r="I22" s="745"/>
      <c r="J22" s="785">
        <f t="shared" si="5"/>
        <v>-0.1400000024586916</v>
      </c>
      <c r="K22" s="785">
        <f>'9-ADIT-3'!I25</f>
        <v>0</v>
      </c>
      <c r="L22" s="785">
        <f t="shared" si="6"/>
        <v>0</v>
      </c>
      <c r="M22" s="785">
        <f t="shared" si="7"/>
        <v>-0.1400000024586916</v>
      </c>
      <c r="N22" s="363"/>
    </row>
    <row r="23" spans="1:14" ht="13">
      <c r="A23" s="740">
        <f t="shared" si="0"/>
        <v>107</v>
      </c>
      <c r="B23" s="746" t="s">
        <v>823</v>
      </c>
      <c r="C23" s="747"/>
      <c r="D23" s="745"/>
      <c r="E23" s="745"/>
      <c r="F23" s="745"/>
      <c r="G23" s="745"/>
      <c r="H23" s="745"/>
      <c r="I23" s="745"/>
      <c r="J23" s="785">
        <f t="shared" si="5"/>
        <v>0</v>
      </c>
      <c r="K23" s="785"/>
      <c r="L23" s="785"/>
      <c r="M23" s="785"/>
      <c r="N23" s="363"/>
    </row>
    <row r="24" spans="1:14" ht="13">
      <c r="A24" s="748" t="s">
        <v>915</v>
      </c>
      <c r="B24" s="749" t="s">
        <v>916</v>
      </c>
      <c r="C24" s="750"/>
      <c r="D24" s="787">
        <f t="shared" ref="D24:M24" si="8">SUM(D17:D23)</f>
        <v>6841822.6912591793</v>
      </c>
      <c r="E24" s="787">
        <f t="shared" si="8"/>
        <v>-21443495.086808447</v>
      </c>
      <c r="F24" s="787">
        <f t="shared" si="8"/>
        <v>0</v>
      </c>
      <c r="G24" s="787">
        <f t="shared" si="8"/>
        <v>0</v>
      </c>
      <c r="H24" s="787">
        <f t="shared" si="8"/>
        <v>-6841822.8312591817</v>
      </c>
      <c r="I24" s="787">
        <f t="shared" si="8"/>
        <v>21443495.186808445</v>
      </c>
      <c r="J24" s="787">
        <f t="shared" si="8"/>
        <v>-4.0000003995373845E-2</v>
      </c>
      <c r="K24" s="787">
        <f t="shared" si="8"/>
        <v>0</v>
      </c>
      <c r="L24" s="787">
        <f t="shared" si="8"/>
        <v>0.29999999841675162</v>
      </c>
      <c r="M24" s="787">
        <f t="shared" si="8"/>
        <v>-0.34000000241212547</v>
      </c>
      <c r="N24" s="363"/>
    </row>
    <row r="25" spans="1:14" ht="13">
      <c r="A25" s="740"/>
      <c r="B25" s="743"/>
      <c r="C25" s="750"/>
      <c r="D25" s="117"/>
      <c r="E25" s="117"/>
      <c r="F25" s="117"/>
      <c r="G25" s="117"/>
      <c r="H25" s="117"/>
      <c r="I25" s="117"/>
      <c r="J25" s="117"/>
      <c r="K25" s="117"/>
      <c r="L25" s="117"/>
      <c r="M25" s="753"/>
      <c r="N25" s="363"/>
    </row>
    <row r="26" spans="1:14" ht="13">
      <c r="A26" s="748" t="s">
        <v>917</v>
      </c>
      <c r="B26" s="754" t="s">
        <v>918</v>
      </c>
      <c r="C26" s="744"/>
      <c r="D26" s="755">
        <v>56284888</v>
      </c>
      <c r="E26" s="755"/>
      <c r="F26" s="755">
        <v>0</v>
      </c>
      <c r="G26" s="755"/>
      <c r="H26" s="755">
        <v>0</v>
      </c>
      <c r="I26" s="755"/>
      <c r="J26" s="788">
        <f>SUM(D26:I26)</f>
        <v>56284888</v>
      </c>
      <c r="K26" s="788">
        <f>'9-ADIT-3'!I29</f>
        <v>0</v>
      </c>
      <c r="L26" s="788">
        <f>IF(+J26+K26&gt;0,+J26+K26,0)</f>
        <v>56284888</v>
      </c>
      <c r="M26" s="788">
        <f>IF(+J26+K26&gt;0,0,+J26+K26)</f>
        <v>0</v>
      </c>
      <c r="N26" s="363"/>
    </row>
    <row r="27" spans="1:14" ht="13">
      <c r="A27" s="740"/>
      <c r="B27" s="743"/>
      <c r="C27" s="750"/>
      <c r="D27" s="117"/>
      <c r="E27" s="117"/>
      <c r="F27" s="117"/>
      <c r="G27" s="117"/>
      <c r="H27" s="117"/>
      <c r="I27" s="117"/>
      <c r="J27" s="117"/>
      <c r="K27" s="117"/>
      <c r="L27" s="117"/>
      <c r="M27" s="117"/>
      <c r="N27" s="363"/>
    </row>
    <row r="28" spans="1:14" ht="13.5" thickBot="1">
      <c r="A28" s="748" t="s">
        <v>919</v>
      </c>
      <c r="B28" s="756" t="s">
        <v>920</v>
      </c>
      <c r="C28" s="757"/>
      <c r="D28" s="789">
        <f t="shared" ref="D28:M28" si="9">+D26+D24+D14</f>
        <v>93385613.800886512</v>
      </c>
      <c r="E28" s="789">
        <f t="shared" si="9"/>
        <v>-609648805.80410862</v>
      </c>
      <c r="F28" s="789">
        <f t="shared" si="9"/>
        <v>-333389.21357672848</v>
      </c>
      <c r="G28" s="789">
        <f t="shared" si="9"/>
        <v>-4896280.6340533337</v>
      </c>
      <c r="H28" s="789">
        <f t="shared" si="9"/>
        <v>-8700965.6376368441</v>
      </c>
      <c r="I28" s="789">
        <f t="shared" si="9"/>
        <v>26639078.633208435</v>
      </c>
      <c r="J28" s="789">
        <f t="shared" si="9"/>
        <v>-503554748.85528046</v>
      </c>
      <c r="K28" s="789">
        <f t="shared" si="9"/>
        <v>0</v>
      </c>
      <c r="L28" s="789">
        <f t="shared" si="9"/>
        <v>84351259.38967295</v>
      </c>
      <c r="M28" s="789">
        <f t="shared" si="9"/>
        <v>-587906008.24495351</v>
      </c>
      <c r="N28" s="363"/>
    </row>
    <row r="29" spans="1:14" ht="13.5" thickTop="1">
      <c r="A29" s="740"/>
      <c r="B29" s="758"/>
      <c r="C29" s="759"/>
      <c r="D29" s="743"/>
      <c r="E29" s="743"/>
      <c r="F29" s="743"/>
      <c r="G29" s="743"/>
      <c r="H29" s="743"/>
      <c r="I29" s="743"/>
      <c r="J29" s="743"/>
      <c r="K29" s="743"/>
      <c r="L29" s="743"/>
      <c r="M29" s="743"/>
      <c r="N29" s="363"/>
    </row>
    <row r="30" spans="1:14" ht="13">
      <c r="A30" s="748" t="s">
        <v>921</v>
      </c>
      <c r="B30" s="751" t="s">
        <v>922</v>
      </c>
      <c r="C30" s="752"/>
      <c r="D30" s="743"/>
      <c r="E30" s="743"/>
      <c r="F30" s="743"/>
      <c r="G30" s="743"/>
      <c r="H30" s="743"/>
      <c r="I30" s="743"/>
      <c r="J30" s="743"/>
      <c r="K30" s="743"/>
      <c r="L30" s="743"/>
      <c r="M30" s="743"/>
      <c r="N30" s="363"/>
    </row>
    <row r="31" spans="1:14" ht="13">
      <c r="A31" s="740">
        <f t="shared" si="0"/>
        <v>301</v>
      </c>
      <c r="B31" s="743" t="s">
        <v>816</v>
      </c>
      <c r="C31" s="744"/>
      <c r="D31" s="745"/>
      <c r="E31" s="745"/>
      <c r="F31" s="745"/>
      <c r="G31" s="745"/>
      <c r="H31" s="745"/>
      <c r="I31" s="745"/>
      <c r="J31" s="785">
        <f t="shared" ref="J31:J45" si="10">SUM(D31:I31)</f>
        <v>0</v>
      </c>
      <c r="K31" s="785">
        <f>'9-ADIT-3'!I34</f>
        <v>0</v>
      </c>
      <c r="L31" s="785">
        <f t="shared" ref="L31:L44" si="11">IF(+J31+K31&gt;0,+J31+K31,0)</f>
        <v>0</v>
      </c>
      <c r="M31" s="785">
        <f t="shared" ref="M31:M44" si="12">IF(+J31+K31&gt;0,0,+J31+K31)</f>
        <v>0</v>
      </c>
      <c r="N31" s="363"/>
    </row>
    <row r="32" spans="1:14" ht="13">
      <c r="A32" s="740">
        <f t="shared" si="0"/>
        <v>302</v>
      </c>
      <c r="B32" s="743" t="s">
        <v>817</v>
      </c>
      <c r="C32" s="744"/>
      <c r="D32" s="745"/>
      <c r="E32" s="745"/>
      <c r="F32" s="745"/>
      <c r="G32" s="745"/>
      <c r="H32" s="745"/>
      <c r="I32" s="745"/>
      <c r="J32" s="785">
        <f t="shared" si="10"/>
        <v>0</v>
      </c>
      <c r="K32" s="785">
        <f>'9-ADIT-3'!I35</f>
        <v>0</v>
      </c>
      <c r="L32" s="785">
        <f t="shared" si="11"/>
        <v>0</v>
      </c>
      <c r="M32" s="785">
        <f t="shared" si="12"/>
        <v>0</v>
      </c>
      <c r="N32" s="363"/>
    </row>
    <row r="33" spans="1:14" ht="13">
      <c r="A33" s="740">
        <f t="shared" si="0"/>
        <v>303</v>
      </c>
      <c r="B33" s="743" t="s">
        <v>818</v>
      </c>
      <c r="C33" s="744"/>
      <c r="D33" s="745"/>
      <c r="E33" s="745"/>
      <c r="F33" s="745"/>
      <c r="G33" s="745"/>
      <c r="H33" s="745"/>
      <c r="I33" s="745"/>
      <c r="J33" s="785">
        <f t="shared" si="10"/>
        <v>0</v>
      </c>
      <c r="K33" s="785">
        <f>'9-ADIT-3'!I36</f>
        <v>0</v>
      </c>
      <c r="L33" s="785">
        <f t="shared" si="11"/>
        <v>0</v>
      </c>
      <c r="M33" s="785">
        <f t="shared" si="12"/>
        <v>0</v>
      </c>
      <c r="N33" s="363"/>
    </row>
    <row r="34" spans="1:14" ht="13">
      <c r="A34" s="740">
        <f t="shared" si="0"/>
        <v>304</v>
      </c>
      <c r="B34" s="743" t="s">
        <v>923</v>
      </c>
      <c r="C34" s="744"/>
      <c r="D34" s="745"/>
      <c r="E34" s="745"/>
      <c r="F34" s="745"/>
      <c r="G34" s="745"/>
      <c r="H34" s="745"/>
      <c r="I34" s="745"/>
      <c r="J34" s="785">
        <f t="shared" si="10"/>
        <v>0</v>
      </c>
      <c r="K34" s="785">
        <f>'9-ADIT-3'!I37</f>
        <v>0</v>
      </c>
      <c r="L34" s="785">
        <f t="shared" si="11"/>
        <v>0</v>
      </c>
      <c r="M34" s="785">
        <f t="shared" si="12"/>
        <v>0</v>
      </c>
      <c r="N34" s="363"/>
    </row>
    <row r="35" spans="1:14" ht="13">
      <c r="A35" s="740">
        <f t="shared" si="0"/>
        <v>305</v>
      </c>
      <c r="B35" s="743" t="s">
        <v>924</v>
      </c>
      <c r="C35" s="744"/>
      <c r="D35" s="745"/>
      <c r="E35" s="745"/>
      <c r="F35" s="745"/>
      <c r="G35" s="745"/>
      <c r="H35" s="745"/>
      <c r="I35" s="745"/>
      <c r="J35" s="785">
        <f t="shared" si="10"/>
        <v>0</v>
      </c>
      <c r="K35" s="785">
        <f>'9-ADIT-3'!I38</f>
        <v>0</v>
      </c>
      <c r="L35" s="785">
        <f t="shared" si="11"/>
        <v>0</v>
      </c>
      <c r="M35" s="785">
        <f t="shared" si="12"/>
        <v>0</v>
      </c>
      <c r="N35" s="363"/>
    </row>
    <row r="36" spans="1:14" ht="13">
      <c r="A36" s="740">
        <f t="shared" si="0"/>
        <v>306</v>
      </c>
      <c r="B36" s="743" t="s">
        <v>819</v>
      </c>
      <c r="C36" s="744"/>
      <c r="D36" s="745"/>
      <c r="E36" s="745"/>
      <c r="F36" s="745"/>
      <c r="G36" s="745"/>
      <c r="H36" s="745"/>
      <c r="I36" s="745"/>
      <c r="J36" s="785">
        <f t="shared" si="10"/>
        <v>0</v>
      </c>
      <c r="K36" s="785">
        <f>'9-ADIT-3'!I39</f>
        <v>0</v>
      </c>
      <c r="L36" s="785">
        <f t="shared" si="11"/>
        <v>0</v>
      </c>
      <c r="M36" s="785">
        <f t="shared" si="12"/>
        <v>0</v>
      </c>
      <c r="N36" s="363"/>
    </row>
    <row r="37" spans="1:14" ht="13">
      <c r="A37" s="740">
        <f t="shared" si="0"/>
        <v>307</v>
      </c>
      <c r="B37" s="743" t="s">
        <v>820</v>
      </c>
      <c r="C37" s="744"/>
      <c r="D37" s="745"/>
      <c r="E37" s="745"/>
      <c r="F37" s="745"/>
      <c r="G37" s="745"/>
      <c r="H37" s="745"/>
      <c r="I37" s="745"/>
      <c r="J37" s="785">
        <f t="shared" si="10"/>
        <v>0</v>
      </c>
      <c r="K37" s="785">
        <f>'9-ADIT-3'!I40</f>
        <v>0</v>
      </c>
      <c r="L37" s="785">
        <f t="shared" si="11"/>
        <v>0</v>
      </c>
      <c r="M37" s="785">
        <f t="shared" si="12"/>
        <v>0</v>
      </c>
      <c r="N37" s="363"/>
    </row>
    <row r="38" spans="1:14" ht="13">
      <c r="A38" s="740">
        <f t="shared" si="0"/>
        <v>308</v>
      </c>
      <c r="B38" s="743" t="s">
        <v>925</v>
      </c>
      <c r="C38" s="744"/>
      <c r="D38" s="745"/>
      <c r="E38" s="745"/>
      <c r="F38" s="745"/>
      <c r="G38" s="745"/>
      <c r="H38" s="745"/>
      <c r="I38" s="745"/>
      <c r="J38" s="785">
        <f t="shared" si="10"/>
        <v>0</v>
      </c>
      <c r="K38" s="785">
        <f>'9-ADIT-3'!I41</f>
        <v>0</v>
      </c>
      <c r="L38" s="785">
        <f t="shared" si="11"/>
        <v>0</v>
      </c>
      <c r="M38" s="785">
        <f t="shared" si="12"/>
        <v>0</v>
      </c>
      <c r="N38" s="363"/>
    </row>
    <row r="39" spans="1:14" ht="13">
      <c r="A39" s="740">
        <f t="shared" si="0"/>
        <v>309</v>
      </c>
      <c r="B39" s="743" t="s">
        <v>828</v>
      </c>
      <c r="C39" s="744"/>
      <c r="D39" s="745"/>
      <c r="E39" s="745"/>
      <c r="F39" s="745"/>
      <c r="G39" s="745"/>
      <c r="H39" s="745"/>
      <c r="I39" s="745"/>
      <c r="J39" s="785">
        <f t="shared" si="10"/>
        <v>0</v>
      </c>
      <c r="K39" s="785">
        <f>'9-ADIT-3'!I42</f>
        <v>0</v>
      </c>
      <c r="L39" s="785">
        <f t="shared" si="11"/>
        <v>0</v>
      </c>
      <c r="M39" s="785">
        <f t="shared" si="12"/>
        <v>0</v>
      </c>
      <c r="N39" s="363"/>
    </row>
    <row r="40" spans="1:14" ht="13">
      <c r="A40" s="740">
        <f t="shared" si="0"/>
        <v>310</v>
      </c>
      <c r="B40" s="743" t="s">
        <v>821</v>
      </c>
      <c r="C40" s="744"/>
      <c r="D40" s="745"/>
      <c r="E40" s="745"/>
      <c r="F40" s="745"/>
      <c r="G40" s="745"/>
      <c r="H40" s="745"/>
      <c r="I40" s="745"/>
      <c r="J40" s="785">
        <f t="shared" si="10"/>
        <v>0</v>
      </c>
      <c r="K40" s="785">
        <f>'9-ADIT-3'!I43</f>
        <v>0</v>
      </c>
      <c r="L40" s="785">
        <f t="shared" si="11"/>
        <v>0</v>
      </c>
      <c r="M40" s="785">
        <f t="shared" si="12"/>
        <v>0</v>
      </c>
      <c r="N40" s="363"/>
    </row>
    <row r="41" spans="1:14" ht="13">
      <c r="A41" s="740">
        <f t="shared" si="0"/>
        <v>311</v>
      </c>
      <c r="B41" s="743" t="s">
        <v>822</v>
      </c>
      <c r="C41" s="744"/>
      <c r="D41" s="745"/>
      <c r="E41" s="745"/>
      <c r="F41" s="745"/>
      <c r="G41" s="745"/>
      <c r="H41" s="745"/>
      <c r="I41" s="745"/>
      <c r="J41" s="785">
        <f t="shared" si="10"/>
        <v>0</v>
      </c>
      <c r="K41" s="785">
        <f>'9-ADIT-3'!I44</f>
        <v>0</v>
      </c>
      <c r="L41" s="785">
        <f t="shared" si="11"/>
        <v>0</v>
      </c>
      <c r="M41" s="785">
        <f t="shared" si="12"/>
        <v>0</v>
      </c>
      <c r="N41" s="363"/>
    </row>
    <row r="42" spans="1:14" ht="13">
      <c r="A42" s="740">
        <f t="shared" si="0"/>
        <v>312</v>
      </c>
      <c r="B42" s="743" t="s">
        <v>926</v>
      </c>
      <c r="C42" s="744"/>
      <c r="D42" s="745"/>
      <c r="E42" s="745"/>
      <c r="F42" s="745"/>
      <c r="G42" s="745"/>
      <c r="H42" s="745"/>
      <c r="I42" s="745"/>
      <c r="J42" s="785">
        <f t="shared" si="10"/>
        <v>0</v>
      </c>
      <c r="K42" s="785">
        <f>'9-ADIT-3'!I45</f>
        <v>0</v>
      </c>
      <c r="L42" s="785">
        <f t="shared" si="11"/>
        <v>0</v>
      </c>
      <c r="M42" s="785">
        <f t="shared" si="12"/>
        <v>0</v>
      </c>
      <c r="N42" s="363"/>
    </row>
    <row r="43" spans="1:14" ht="13">
      <c r="A43" s="740">
        <f t="shared" si="0"/>
        <v>313</v>
      </c>
      <c r="B43" s="743" t="s">
        <v>844</v>
      </c>
      <c r="C43" s="744"/>
      <c r="D43" s="745"/>
      <c r="E43" s="745"/>
      <c r="F43" s="745"/>
      <c r="G43" s="745"/>
      <c r="H43" s="745"/>
      <c r="I43" s="745"/>
      <c r="J43" s="785">
        <f t="shared" si="10"/>
        <v>0</v>
      </c>
      <c r="K43" s="785">
        <f>'9-ADIT-3'!I46</f>
        <v>0</v>
      </c>
      <c r="L43" s="785">
        <f t="shared" si="11"/>
        <v>0</v>
      </c>
      <c r="M43" s="785">
        <f t="shared" si="12"/>
        <v>0</v>
      </c>
      <c r="N43" s="363"/>
    </row>
    <row r="44" spans="1:14" ht="13">
      <c r="A44" s="740">
        <f t="shared" si="0"/>
        <v>314</v>
      </c>
      <c r="B44" s="743" t="s">
        <v>845</v>
      </c>
      <c r="C44" s="744"/>
      <c r="D44" s="745"/>
      <c r="E44" s="745"/>
      <c r="F44" s="745"/>
      <c r="G44" s="745"/>
      <c r="H44" s="745"/>
      <c r="I44" s="745"/>
      <c r="J44" s="785">
        <f t="shared" si="10"/>
        <v>0</v>
      </c>
      <c r="K44" s="785">
        <f>'9-ADIT-3'!I47</f>
        <v>0</v>
      </c>
      <c r="L44" s="785">
        <f t="shared" si="11"/>
        <v>0</v>
      </c>
      <c r="M44" s="785">
        <f t="shared" si="12"/>
        <v>0</v>
      </c>
      <c r="N44" s="363"/>
    </row>
    <row r="45" spans="1:14" ht="13">
      <c r="A45" s="740">
        <f t="shared" si="0"/>
        <v>315</v>
      </c>
      <c r="B45" s="746" t="s">
        <v>823</v>
      </c>
      <c r="C45" s="745"/>
      <c r="D45" s="745"/>
      <c r="E45" s="745"/>
      <c r="F45" s="745"/>
      <c r="G45" s="745"/>
      <c r="H45" s="745"/>
      <c r="I45" s="745"/>
      <c r="J45" s="785">
        <f t="shared" si="10"/>
        <v>0</v>
      </c>
      <c r="K45" s="790"/>
      <c r="L45" s="790"/>
      <c r="M45" s="790"/>
      <c r="N45" s="363"/>
    </row>
    <row r="46" spans="1:14" ht="13.5" thickBot="1">
      <c r="A46" s="748" t="s">
        <v>927</v>
      </c>
      <c r="B46" s="760" t="s">
        <v>928</v>
      </c>
      <c r="C46" s="760"/>
      <c r="D46" s="791">
        <f t="shared" ref="D46" si="13">SUM(D31:D45)</f>
        <v>0</v>
      </c>
      <c r="E46" s="791">
        <f t="shared" ref="E46:M46" si="14">SUM(E31:E45)</f>
        <v>0</v>
      </c>
      <c r="F46" s="791">
        <f t="shared" si="14"/>
        <v>0</v>
      </c>
      <c r="G46" s="791">
        <f t="shared" si="14"/>
        <v>0</v>
      </c>
      <c r="H46" s="791">
        <f t="shared" si="14"/>
        <v>0</v>
      </c>
      <c r="I46" s="791">
        <f t="shared" si="14"/>
        <v>0</v>
      </c>
      <c r="J46" s="791">
        <f t="shared" si="14"/>
        <v>0</v>
      </c>
      <c r="K46" s="791">
        <f t="shared" si="14"/>
        <v>0</v>
      </c>
      <c r="L46" s="791">
        <f t="shared" si="14"/>
        <v>0</v>
      </c>
      <c r="M46" s="791">
        <f t="shared" si="14"/>
        <v>0</v>
      </c>
      <c r="N46" s="363"/>
    </row>
    <row r="47" spans="1:14" ht="13.5" thickTop="1">
      <c r="A47" s="740"/>
      <c r="B47" s="728"/>
      <c r="C47" s="728"/>
      <c r="D47" s="761"/>
      <c r="E47" s="761"/>
      <c r="F47" s="761"/>
      <c r="G47" s="761"/>
      <c r="H47" s="761"/>
      <c r="I47" s="761"/>
      <c r="J47" s="761"/>
      <c r="K47" s="761"/>
      <c r="L47" s="761"/>
      <c r="M47" s="761"/>
      <c r="N47" s="363"/>
    </row>
    <row r="48" spans="1:14" ht="13.5" thickBot="1">
      <c r="A48" s="740">
        <v>400</v>
      </c>
      <c r="B48" s="760" t="s">
        <v>929</v>
      </c>
      <c r="C48" s="760"/>
      <c r="D48" s="792">
        <f t="shared" ref="D48:M48" si="15">D28+D46</f>
        <v>93385613.800886512</v>
      </c>
      <c r="E48" s="792">
        <f t="shared" si="15"/>
        <v>-609648805.80410862</v>
      </c>
      <c r="F48" s="792">
        <f t="shared" si="15"/>
        <v>-333389.21357672848</v>
      </c>
      <c r="G48" s="792">
        <f t="shared" si="15"/>
        <v>-4896280.6340533337</v>
      </c>
      <c r="H48" s="792">
        <f t="shared" si="15"/>
        <v>-8700965.6376368441</v>
      </c>
      <c r="I48" s="792">
        <f>I28+I46</f>
        <v>26639078.633208435</v>
      </c>
      <c r="J48" s="792">
        <f t="shared" si="15"/>
        <v>-503554748.85528046</v>
      </c>
      <c r="K48" s="792">
        <f t="shared" si="15"/>
        <v>0</v>
      </c>
      <c r="L48" s="792">
        <f t="shared" si="15"/>
        <v>84351259.38967295</v>
      </c>
      <c r="M48" s="792">
        <f t="shared" si="15"/>
        <v>-587906008.24495351</v>
      </c>
      <c r="N48" s="363"/>
    </row>
    <row r="49" spans="1:14" ht="14" thickTop="1" thickBot="1">
      <c r="A49" s="740">
        <v>500</v>
      </c>
      <c r="B49" s="760" t="s">
        <v>930</v>
      </c>
      <c r="C49" s="762"/>
      <c r="D49" s="728"/>
      <c r="E49" s="793">
        <f>+E48+D48</f>
        <v>-516263192.00322211</v>
      </c>
      <c r="F49" s="728"/>
      <c r="G49" s="728"/>
      <c r="H49" s="763"/>
      <c r="I49" s="793">
        <f>+I48+H48</f>
        <v>17938112.995571591</v>
      </c>
      <c r="J49" s="728"/>
      <c r="K49" s="728"/>
      <c r="L49" s="728"/>
      <c r="M49" s="793">
        <f>+M48+L48</f>
        <v>-503554748.85528058</v>
      </c>
      <c r="N49" s="363"/>
    </row>
    <row r="50" spans="1:14" ht="13.5" thickTop="1">
      <c r="A50" s="740"/>
      <c r="B50" s="760"/>
      <c r="C50" s="762"/>
      <c r="D50" s="728"/>
      <c r="E50" s="1038"/>
      <c r="F50" s="728"/>
      <c r="G50" s="728"/>
      <c r="H50" s="763"/>
      <c r="I50" s="1038"/>
      <c r="J50" s="728"/>
      <c r="K50" s="728"/>
      <c r="L50" s="728"/>
      <c r="M50" s="1038"/>
      <c r="N50" s="363"/>
    </row>
    <row r="51" spans="1:14" ht="13">
      <c r="A51" s="1039">
        <v>600</v>
      </c>
      <c r="B51" s="1070" t="s">
        <v>2914</v>
      </c>
      <c r="C51" s="1033"/>
      <c r="D51" s="1033"/>
      <c r="E51" s="1038"/>
      <c r="F51" s="728"/>
      <c r="G51" s="728"/>
      <c r="H51" s="763"/>
      <c r="I51" s="1038"/>
      <c r="J51" s="728"/>
      <c r="K51" s="728"/>
      <c r="L51" s="1041">
        <f>'1-BaseTRR'!K104/(1-'1-BaseTRR'!K104)</f>
        <v>0.38857260290711554</v>
      </c>
      <c r="M51" s="1041">
        <f>'1-BaseTRR'!K104/(1-'1-BaseTRR'!K104)</f>
        <v>0.38857260290711554</v>
      </c>
      <c r="N51" s="363"/>
    </row>
    <row r="52" spans="1:14" ht="13">
      <c r="A52" s="1039">
        <v>601</v>
      </c>
      <c r="B52" s="1070" t="s">
        <v>2915</v>
      </c>
      <c r="C52" s="1033"/>
      <c r="D52" s="1040" t="s">
        <v>2916</v>
      </c>
      <c r="E52" s="1038"/>
      <c r="F52" s="728"/>
      <c r="G52" s="728"/>
      <c r="H52" s="763"/>
      <c r="I52" s="1038"/>
      <c r="J52" s="728"/>
      <c r="K52" s="728"/>
      <c r="L52" s="1042">
        <f>L48*L51</f>
        <v>32776588.419538487</v>
      </c>
      <c r="M52" s="1042">
        <f>M48*M51</f>
        <v>-228444167.88847372</v>
      </c>
      <c r="N52" s="363"/>
    </row>
    <row r="53" spans="1:14" ht="13">
      <c r="A53" s="740"/>
      <c r="B53" s="760"/>
      <c r="C53" s="762"/>
      <c r="D53" s="728"/>
      <c r="E53" s="1038"/>
      <c r="F53" s="728"/>
      <c r="G53" s="728"/>
      <c r="H53" s="763"/>
      <c r="I53" s="1038"/>
      <c r="J53" s="728"/>
      <c r="K53" s="728"/>
      <c r="L53" s="728"/>
      <c r="M53" s="1038"/>
      <c r="N53" s="363"/>
    </row>
    <row r="54" spans="1:14" ht="13">
      <c r="A54" s="740"/>
      <c r="B54" s="764" t="s">
        <v>228</v>
      </c>
      <c r="C54" s="765"/>
      <c r="D54" s="728"/>
      <c r="E54" s="728"/>
      <c r="F54" s="728"/>
      <c r="G54" s="728"/>
      <c r="H54" s="728"/>
      <c r="I54" s="728"/>
      <c r="J54" s="728"/>
      <c r="K54" s="728"/>
      <c r="L54" s="728"/>
      <c r="M54" s="728"/>
      <c r="N54" s="363"/>
    </row>
    <row r="55" spans="1:14" ht="13">
      <c r="A55" s="740"/>
      <c r="B55" s="766" t="s">
        <v>931</v>
      </c>
      <c r="C55" s="728"/>
      <c r="D55" s="728"/>
      <c r="E55" s="728"/>
      <c r="F55" s="728"/>
      <c r="G55" s="728"/>
      <c r="H55" s="728"/>
      <c r="I55" s="728"/>
      <c r="J55" s="728"/>
      <c r="K55" s="728"/>
      <c r="L55" s="728"/>
      <c r="M55" s="728"/>
      <c r="N55" s="363"/>
    </row>
    <row r="56" spans="1:14" ht="13">
      <c r="A56" s="740"/>
      <c r="B56" s="767" t="s">
        <v>932</v>
      </c>
      <c r="C56" s="728"/>
      <c r="D56" s="728"/>
      <c r="E56" s="728"/>
      <c r="F56" s="728"/>
      <c r="G56" s="728"/>
      <c r="H56" s="728"/>
      <c r="I56" s="728"/>
      <c r="J56" s="728"/>
      <c r="K56" s="728"/>
      <c r="L56" s="728"/>
      <c r="M56" s="728"/>
      <c r="N56" s="363"/>
    </row>
    <row r="57" spans="1:14" ht="13">
      <c r="A57" s="740"/>
      <c r="B57" s="363"/>
      <c r="C57" s="768" t="s">
        <v>933</v>
      </c>
      <c r="D57" s="769">
        <v>4</v>
      </c>
      <c r="E57" s="769"/>
      <c r="F57" s="728"/>
      <c r="G57" s="728"/>
      <c r="H57" s="728"/>
      <c r="I57" s="728"/>
      <c r="J57" s="728"/>
      <c r="K57" s="728"/>
      <c r="L57" s="728"/>
      <c r="M57" s="728"/>
      <c r="N57" s="363"/>
    </row>
    <row r="58" spans="1:14" ht="13">
      <c r="A58" s="740"/>
      <c r="B58" s="363"/>
      <c r="C58" s="768" t="s">
        <v>934</v>
      </c>
      <c r="D58" s="770">
        <v>2018</v>
      </c>
      <c r="E58" s="770"/>
      <c r="F58" s="728"/>
      <c r="G58" s="728"/>
      <c r="H58" s="728"/>
      <c r="I58" s="728"/>
      <c r="J58" s="728"/>
      <c r="K58" s="728"/>
      <c r="L58" s="728"/>
      <c r="M58" s="728"/>
      <c r="N58" s="363"/>
    </row>
    <row r="59" spans="1:14" ht="13">
      <c r="A59" s="740"/>
      <c r="B59" s="767" t="s">
        <v>935</v>
      </c>
      <c r="C59" s="728"/>
      <c r="D59" s="728"/>
      <c r="E59" s="728"/>
      <c r="F59" s="728"/>
      <c r="G59" s="728"/>
      <c r="H59" s="728"/>
      <c r="I59" s="728"/>
      <c r="J59" s="728"/>
      <c r="K59" s="728"/>
      <c r="L59" s="728"/>
      <c r="M59" s="728"/>
      <c r="N59" s="363"/>
    </row>
    <row r="60" spans="1:14" ht="13">
      <c r="A60" s="740"/>
      <c r="B60" s="363"/>
      <c r="C60" s="768" t="s">
        <v>933</v>
      </c>
      <c r="D60" s="769"/>
      <c r="E60" s="769"/>
      <c r="F60" s="728"/>
      <c r="G60" s="728"/>
      <c r="H60" s="728"/>
      <c r="I60" s="728"/>
      <c r="J60" s="728"/>
      <c r="K60" s="728"/>
      <c r="L60" s="728"/>
      <c r="M60" s="728"/>
      <c r="N60" s="363"/>
    </row>
    <row r="61" spans="1:14" ht="13">
      <c r="A61" s="740"/>
      <c r="B61" s="363"/>
      <c r="C61" s="768" t="s">
        <v>934</v>
      </c>
      <c r="D61" s="770"/>
      <c r="E61" s="770"/>
      <c r="F61" s="728"/>
      <c r="G61" s="728"/>
      <c r="H61" s="728"/>
      <c r="I61" s="728"/>
      <c r="J61" s="728"/>
      <c r="K61" s="728"/>
      <c r="L61" s="728"/>
      <c r="M61" s="728"/>
      <c r="N61" s="363"/>
    </row>
    <row r="62" spans="1:14">
      <c r="A62" s="728"/>
      <c r="B62" s="767" t="s">
        <v>936</v>
      </c>
      <c r="C62" s="363"/>
      <c r="D62" s="363"/>
      <c r="E62" s="363"/>
      <c r="F62" s="363"/>
      <c r="G62" s="363"/>
      <c r="H62" s="363"/>
      <c r="I62" s="363"/>
      <c r="J62" s="363"/>
      <c r="K62" s="363"/>
      <c r="L62" s="363"/>
      <c r="M62" s="363"/>
      <c r="N62" s="363"/>
    </row>
    <row r="63" spans="1:14">
      <c r="A63" s="728"/>
      <c r="B63" s="363"/>
      <c r="C63" s="768" t="s">
        <v>933</v>
      </c>
      <c r="D63" s="769">
        <v>1</v>
      </c>
      <c r="E63" s="769"/>
      <c r="F63" s="363"/>
      <c r="G63" s="363"/>
      <c r="H63" s="363"/>
      <c r="I63" s="363"/>
      <c r="J63" s="363"/>
      <c r="K63" s="363"/>
      <c r="L63" s="363"/>
      <c r="M63" s="363"/>
      <c r="N63" s="363"/>
    </row>
    <row r="64" spans="1:14">
      <c r="A64" s="728"/>
      <c r="B64" s="363"/>
      <c r="C64" s="768" t="s">
        <v>934</v>
      </c>
      <c r="D64" s="770">
        <v>2018</v>
      </c>
      <c r="E64" s="770"/>
      <c r="F64" s="363"/>
      <c r="G64" s="363"/>
      <c r="H64" s="363"/>
      <c r="I64" s="363"/>
      <c r="J64" s="363"/>
      <c r="K64" s="363"/>
      <c r="L64" s="363"/>
      <c r="M64" s="363"/>
      <c r="N64" s="363"/>
    </row>
    <row r="65" spans="1:14">
      <c r="A65" s="363"/>
      <c r="B65" s="767" t="s">
        <v>937</v>
      </c>
      <c r="C65" s="363"/>
      <c r="D65" s="363"/>
      <c r="E65" s="363"/>
      <c r="F65" s="363"/>
      <c r="G65" s="363"/>
      <c r="H65" s="363"/>
      <c r="I65" s="363"/>
      <c r="J65" s="363"/>
      <c r="K65" s="363"/>
      <c r="L65" s="363"/>
      <c r="M65" s="363"/>
      <c r="N65" s="363"/>
    </row>
    <row r="66" spans="1:14">
      <c r="A66" s="363"/>
      <c r="B66" s="363"/>
      <c r="C66" s="363"/>
      <c r="D66" s="363"/>
      <c r="E66" s="363"/>
      <c r="F66" s="363"/>
      <c r="G66" s="363"/>
      <c r="H66" s="363"/>
      <c r="I66" s="363"/>
      <c r="J66" s="363"/>
      <c r="K66" s="363"/>
      <c r="L66" s="363"/>
      <c r="M66" s="363"/>
      <c r="N66" s="363"/>
    </row>
    <row r="67" spans="1:14">
      <c r="A67" s="363"/>
      <c r="B67" s="1030"/>
      <c r="C67" s="1030"/>
      <c r="D67" s="1030"/>
      <c r="E67" s="1030"/>
      <c r="F67" s="1031" t="s">
        <v>2906</v>
      </c>
      <c r="G67" s="1030"/>
      <c r="H67" s="363"/>
      <c r="I67" s="363"/>
      <c r="J67" s="363"/>
      <c r="K67" s="363"/>
      <c r="L67" s="363"/>
      <c r="M67" s="363"/>
      <c r="N67" s="363"/>
    </row>
    <row r="68" spans="1:14">
      <c r="A68" s="363"/>
      <c r="B68" s="1032" t="s">
        <v>2907</v>
      </c>
      <c r="C68" s="1033"/>
      <c r="D68" s="1033" t="s">
        <v>2908</v>
      </c>
      <c r="E68" s="1033"/>
      <c r="F68" s="1092" t="s">
        <v>3003</v>
      </c>
      <c r="G68" s="1034"/>
      <c r="H68" s="363"/>
      <c r="I68" s="363"/>
      <c r="J68" s="363"/>
      <c r="K68" s="363"/>
      <c r="L68" s="363"/>
      <c r="M68" s="363"/>
      <c r="N68" s="363"/>
    </row>
    <row r="69" spans="1:14">
      <c r="B69" s="1032" t="s">
        <v>2909</v>
      </c>
      <c r="C69" s="1033"/>
      <c r="D69" s="1033" t="s">
        <v>2908</v>
      </c>
      <c r="E69" s="1033"/>
      <c r="F69" s="1092" t="s">
        <v>3004</v>
      </c>
      <c r="G69" s="1034"/>
    </row>
    <row r="70" spans="1:14">
      <c r="B70" s="1035"/>
      <c r="C70" s="1033"/>
      <c r="D70" s="1033"/>
      <c r="E70" s="1033"/>
      <c r="F70" s="1033"/>
      <c r="G70" s="1033"/>
    </row>
    <row r="71" spans="1:14">
      <c r="B71" s="1032" t="s">
        <v>2910</v>
      </c>
      <c r="C71" s="1033"/>
      <c r="D71" s="1033" t="s">
        <v>2911</v>
      </c>
      <c r="E71" s="1033"/>
      <c r="F71" s="1092" t="s">
        <v>3005</v>
      </c>
      <c r="G71" s="1034"/>
    </row>
    <row r="72" spans="1:14">
      <c r="B72" s="1032" t="s">
        <v>2912</v>
      </c>
      <c r="C72" s="1033"/>
      <c r="D72" s="1033" t="s">
        <v>2911</v>
      </c>
      <c r="E72" s="1033"/>
      <c r="F72" s="1092" t="s">
        <v>3006</v>
      </c>
      <c r="G72" s="1034"/>
    </row>
    <row r="73" spans="1:14" ht="14">
      <c r="B73" s="251"/>
      <c r="C73" s="251"/>
      <c r="D73" s="251"/>
      <c r="E73" s="1036"/>
      <c r="F73" s="1037"/>
      <c r="G73" s="1037"/>
    </row>
    <row r="74" spans="1:14" ht="14">
      <c r="B74" s="1032" t="s">
        <v>2913</v>
      </c>
      <c r="C74" s="251"/>
      <c r="D74" s="251"/>
      <c r="E74" s="1036"/>
      <c r="F74" s="1037"/>
      <c r="G74" s="1037"/>
    </row>
  </sheetData>
  <pageMargins left="0.7" right="0.7" top="0.75" bottom="0.75" header="0.3" footer="0.3"/>
  <pageSetup scale="63" orientation="landscape" r:id="rId1"/>
  <headerFooter>
    <oddHeader>&amp;CSchedule 9-ADIT-2
EDIT&amp;RTO2023 Draft Annual Update 
Attachment 1</oddHeader>
    <oddFooter>&amp;R&amp;A</oddFooter>
  </headerFooter>
  <rowBreaks count="1" manualBreakCount="1">
    <brk id="5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topLeftCell="A16" zoomScale="90" zoomScaleNormal="90" zoomScalePageLayoutView="70" workbookViewId="0"/>
  </sheetViews>
  <sheetFormatPr defaultColWidth="14.54296875" defaultRowHeight="12.5"/>
  <cols>
    <col min="1" max="1" width="5.54296875" customWidth="1"/>
    <col min="2" max="2" width="37.54296875" customWidth="1"/>
    <col min="3" max="3" width="6.54296875" customWidth="1"/>
    <col min="4" max="9" width="15.54296875" customWidth="1"/>
  </cols>
  <sheetData>
    <row r="1" spans="1:10" ht="14.5">
      <c r="A1" s="760" t="s">
        <v>938</v>
      </c>
      <c r="B1" s="771"/>
      <c r="C1" s="726"/>
      <c r="D1" s="726"/>
      <c r="E1" s="726"/>
      <c r="F1" s="726"/>
      <c r="G1" s="726"/>
      <c r="H1" s="726"/>
      <c r="I1" s="726"/>
      <c r="J1" s="727"/>
    </row>
    <row r="2" spans="1:10" ht="14.5">
      <c r="A2" s="760"/>
      <c r="B2" s="771"/>
      <c r="C2" s="726"/>
      <c r="D2" s="726"/>
      <c r="E2" s="726"/>
      <c r="F2" s="726"/>
      <c r="G2" s="726"/>
      <c r="H2" s="729" t="s">
        <v>641</v>
      </c>
      <c r="I2" s="730">
        <v>2021</v>
      </c>
      <c r="J2" s="727"/>
    </row>
    <row r="3" spans="1:10" ht="14.5">
      <c r="A3" s="760"/>
      <c r="B3" s="771"/>
      <c r="C3" s="726"/>
      <c r="D3" s="726"/>
      <c r="E3" s="726"/>
      <c r="F3" s="726"/>
      <c r="G3" s="726"/>
      <c r="H3" s="729" t="s">
        <v>939</v>
      </c>
      <c r="I3" s="772" t="s">
        <v>940</v>
      </c>
      <c r="J3" s="727"/>
    </row>
    <row r="4" spans="1:10" ht="13">
      <c r="A4" s="728"/>
      <c r="B4" s="728"/>
      <c r="C4" s="728"/>
      <c r="D4" s="728"/>
      <c r="E4" s="728"/>
      <c r="F4" s="728"/>
      <c r="G4" s="728"/>
      <c r="H4" s="773" t="s">
        <v>941</v>
      </c>
      <c r="I4" s="774"/>
      <c r="J4" s="363"/>
    </row>
    <row r="5" spans="1:10" ht="13">
      <c r="A5" s="728"/>
      <c r="B5" s="728"/>
      <c r="C5" s="728"/>
      <c r="D5" s="728"/>
      <c r="E5" s="728"/>
      <c r="F5" s="728"/>
      <c r="G5" s="728"/>
      <c r="H5" s="773"/>
      <c r="I5" s="773"/>
      <c r="J5" s="363"/>
    </row>
    <row r="6" spans="1:10" ht="13">
      <c r="A6" s="731"/>
      <c r="B6" s="732" t="s">
        <v>884</v>
      </c>
      <c r="C6" s="732" t="s">
        <v>885</v>
      </c>
      <c r="D6" s="732" t="s">
        <v>886</v>
      </c>
      <c r="E6" s="732" t="s">
        <v>887</v>
      </c>
      <c r="F6" s="732" t="s">
        <v>888</v>
      </c>
      <c r="G6" s="732" t="s">
        <v>889</v>
      </c>
      <c r="H6" s="732" t="s">
        <v>890</v>
      </c>
      <c r="I6" s="732" t="s">
        <v>891</v>
      </c>
      <c r="J6" s="363"/>
    </row>
    <row r="7" spans="1:10" ht="13.5" thickBot="1">
      <c r="A7" s="728"/>
      <c r="B7" s="731"/>
      <c r="C7" s="731"/>
      <c r="D7" s="1071" t="s">
        <v>144</v>
      </c>
      <c r="E7" s="1071" t="s">
        <v>144</v>
      </c>
      <c r="F7" s="728"/>
      <c r="G7" s="728"/>
      <c r="H7" s="728"/>
      <c r="I7" s="728"/>
      <c r="J7" s="363"/>
    </row>
    <row r="8" spans="1:10" ht="13.5" thickBot="1">
      <c r="A8" s="728"/>
      <c r="B8" s="731"/>
      <c r="C8" s="731"/>
      <c r="D8" s="1113" t="s">
        <v>2921</v>
      </c>
      <c r="E8" s="1114"/>
      <c r="F8" s="1114"/>
      <c r="G8" s="1114"/>
      <c r="H8" s="1114"/>
      <c r="I8" s="1115"/>
      <c r="J8" s="363"/>
    </row>
    <row r="9" spans="1:10" ht="13.5" thickBot="1">
      <c r="A9" s="728"/>
      <c r="B9" s="731"/>
      <c r="C9" s="731"/>
      <c r="D9" s="775" t="s">
        <v>895</v>
      </c>
      <c r="E9" s="776" t="s">
        <v>895</v>
      </c>
      <c r="F9" s="777" t="s">
        <v>942</v>
      </c>
      <c r="G9" s="778" t="s">
        <v>943</v>
      </c>
      <c r="H9" s="777" t="s">
        <v>944</v>
      </c>
      <c r="I9" s="777" t="s">
        <v>945</v>
      </c>
      <c r="J9" s="363"/>
    </row>
    <row r="10" spans="1:10" ht="55.5" customHeight="1" thickBot="1">
      <c r="A10" s="737" t="s">
        <v>273</v>
      </c>
      <c r="B10" s="728"/>
      <c r="C10" s="779" t="s">
        <v>946</v>
      </c>
      <c r="D10" s="1043" t="s">
        <v>947</v>
      </c>
      <c r="E10" s="1043" t="s">
        <v>2917</v>
      </c>
      <c r="F10" s="1043" t="s">
        <v>2918</v>
      </c>
      <c r="G10" s="1043" t="s">
        <v>2929</v>
      </c>
      <c r="H10" s="1043" t="s">
        <v>2919</v>
      </c>
      <c r="I10" s="1043" t="s">
        <v>2920</v>
      </c>
      <c r="J10" s="363"/>
    </row>
    <row r="11" spans="1:10" ht="13">
      <c r="A11" s="740">
        <v>1</v>
      </c>
      <c r="B11" s="741" t="s">
        <v>948</v>
      </c>
      <c r="C11" s="742"/>
      <c r="D11" s="728"/>
      <c r="E11" s="728"/>
      <c r="F11" s="728"/>
      <c r="G11" s="728"/>
      <c r="H11" s="728"/>
      <c r="I11" s="728"/>
      <c r="J11" s="363"/>
    </row>
    <row r="12" spans="1:10" ht="13">
      <c r="A12" s="740">
        <f t="shared" ref="A12:A16" si="0">+A11+1</f>
        <v>2</v>
      </c>
      <c r="B12" s="743" t="s">
        <v>902</v>
      </c>
      <c r="C12" s="744">
        <v>282</v>
      </c>
      <c r="D12" s="780"/>
      <c r="E12" s="745"/>
      <c r="F12" s="785">
        <f>+D12*$I$4</f>
        <v>0</v>
      </c>
      <c r="G12" s="785">
        <f>+E12-F12</f>
        <v>0</v>
      </c>
      <c r="H12" s="785">
        <f>IF($I$3="No", 0,'9-ADIT-2'!J9)</f>
        <v>0</v>
      </c>
      <c r="I12" s="785">
        <f>+G12-H12</f>
        <v>0</v>
      </c>
      <c r="J12" s="363"/>
    </row>
    <row r="13" spans="1:10" ht="13">
      <c r="A13" s="740">
        <f t="shared" si="0"/>
        <v>3</v>
      </c>
      <c r="B13" s="743" t="s">
        <v>903</v>
      </c>
      <c r="C13" s="744">
        <v>282</v>
      </c>
      <c r="D13" s="780"/>
      <c r="E13" s="745"/>
      <c r="F13" s="785">
        <f t="shared" ref="F13:F15" si="1">+D13*$I$4</f>
        <v>0</v>
      </c>
      <c r="G13" s="785">
        <f>+E13-F13</f>
        <v>0</v>
      </c>
      <c r="H13" s="785">
        <f>IF($I$3="No", 0,'9-ADIT-2'!J10)</f>
        <v>0</v>
      </c>
      <c r="I13" s="785">
        <f t="shared" ref="I13:I15" si="2">+G13-H13</f>
        <v>0</v>
      </c>
      <c r="J13" s="363"/>
    </row>
    <row r="14" spans="1:10" ht="13">
      <c r="A14" s="740">
        <f t="shared" si="0"/>
        <v>4</v>
      </c>
      <c r="B14" s="743" t="s">
        <v>904</v>
      </c>
      <c r="C14" s="744">
        <v>282</v>
      </c>
      <c r="D14" s="780"/>
      <c r="E14" s="745"/>
      <c r="F14" s="785">
        <f t="shared" si="1"/>
        <v>0</v>
      </c>
      <c r="G14" s="785">
        <f>+E14-F14</f>
        <v>0</v>
      </c>
      <c r="H14" s="785">
        <f>IF($I$3="No", 0,'9-ADIT-2'!J11)</f>
        <v>0</v>
      </c>
      <c r="I14" s="785">
        <f t="shared" si="2"/>
        <v>0</v>
      </c>
      <c r="J14" s="363"/>
    </row>
    <row r="15" spans="1:10" ht="13">
      <c r="A15" s="740">
        <f t="shared" si="0"/>
        <v>5</v>
      </c>
      <c r="B15" s="743" t="s">
        <v>905</v>
      </c>
      <c r="C15" s="744">
        <v>190</v>
      </c>
      <c r="D15" s="780"/>
      <c r="E15" s="745"/>
      <c r="F15" s="785">
        <f t="shared" si="1"/>
        <v>0</v>
      </c>
      <c r="G15" s="785">
        <f>+E15-F15</f>
        <v>0</v>
      </c>
      <c r="H15" s="785">
        <f>IF($I$3="No", 0,'9-ADIT-2'!J12)</f>
        <v>0</v>
      </c>
      <c r="I15" s="785">
        <f t="shared" si="2"/>
        <v>0</v>
      </c>
      <c r="J15" s="363"/>
    </row>
    <row r="16" spans="1:10" ht="13">
      <c r="A16" s="740">
        <f t="shared" si="0"/>
        <v>6</v>
      </c>
      <c r="B16" s="746" t="s">
        <v>823</v>
      </c>
      <c r="C16" s="747"/>
      <c r="D16" s="745"/>
      <c r="E16" s="745"/>
      <c r="F16" s="743"/>
      <c r="G16" s="728"/>
      <c r="H16" s="743"/>
      <c r="I16" s="743"/>
      <c r="J16" s="363"/>
    </row>
    <row r="17" spans="1:10" ht="13">
      <c r="A17" s="748" t="s">
        <v>906</v>
      </c>
      <c r="B17" s="743"/>
      <c r="C17" s="750"/>
      <c r="D17" s="786">
        <f t="shared" ref="D17:H17" si="3">SUM(D12:D16)</f>
        <v>0</v>
      </c>
      <c r="E17" s="786">
        <f t="shared" si="3"/>
        <v>0</v>
      </c>
      <c r="F17" s="786">
        <f t="shared" si="3"/>
        <v>0</v>
      </c>
      <c r="G17" s="794">
        <f t="shared" si="3"/>
        <v>0</v>
      </c>
      <c r="H17" s="786">
        <f t="shared" si="3"/>
        <v>0</v>
      </c>
      <c r="I17" s="786">
        <f>SUM(I12:I16)</f>
        <v>0</v>
      </c>
      <c r="J17" s="363"/>
    </row>
    <row r="18" spans="1:10" ht="13">
      <c r="A18" s="740"/>
      <c r="B18" s="743"/>
      <c r="C18" s="750"/>
      <c r="D18" s="743"/>
      <c r="E18" s="743"/>
      <c r="F18" s="743"/>
      <c r="G18" s="728"/>
      <c r="H18" s="743"/>
      <c r="I18" s="743"/>
      <c r="J18" s="363"/>
    </row>
    <row r="19" spans="1:10" ht="13">
      <c r="A19" s="740">
        <v>100</v>
      </c>
      <c r="B19" s="781" t="s">
        <v>949</v>
      </c>
      <c r="C19" s="752"/>
      <c r="D19" s="743"/>
      <c r="E19" s="743"/>
      <c r="F19" s="743"/>
      <c r="G19" s="728"/>
      <c r="H19" s="743"/>
      <c r="I19" s="743"/>
      <c r="J19" s="363"/>
    </row>
    <row r="20" spans="1:10" ht="13">
      <c r="A20" s="740">
        <f t="shared" ref="A20:A48" si="4">+A19+1</f>
        <v>101</v>
      </c>
      <c r="B20" s="743" t="s">
        <v>909</v>
      </c>
      <c r="C20" s="744">
        <v>282</v>
      </c>
      <c r="D20" s="745"/>
      <c r="E20" s="745"/>
      <c r="F20" s="785">
        <f t="shared" ref="F20:F25" si="5">+D20*$I$4</f>
        <v>0</v>
      </c>
      <c r="G20" s="785">
        <f t="shared" ref="G20:G25" si="6">+E20-F20</f>
        <v>0</v>
      </c>
      <c r="H20" s="785">
        <f>IF($I$3="No", 0,'9-ADIT-2'!J17)</f>
        <v>0</v>
      </c>
      <c r="I20" s="785">
        <f t="shared" ref="I20:I25" si="7">+G20-H20</f>
        <v>0</v>
      </c>
      <c r="J20" s="363"/>
    </row>
    <row r="21" spans="1:10" ht="13">
      <c r="A21" s="740">
        <f t="shared" si="4"/>
        <v>102</v>
      </c>
      <c r="B21" s="743" t="s">
        <v>910</v>
      </c>
      <c r="C21" s="744">
        <v>282</v>
      </c>
      <c r="D21" s="745"/>
      <c r="E21" s="745"/>
      <c r="F21" s="785">
        <f t="shared" si="5"/>
        <v>0</v>
      </c>
      <c r="G21" s="785">
        <f t="shared" si="6"/>
        <v>0</v>
      </c>
      <c r="H21" s="785">
        <f>IF($I$3="No", 0,'9-ADIT-2'!J18)</f>
        <v>0</v>
      </c>
      <c r="I21" s="785">
        <f t="shared" si="7"/>
        <v>0</v>
      </c>
      <c r="J21" s="363"/>
    </row>
    <row r="22" spans="1:10" ht="13">
      <c r="A22" s="740">
        <f t="shared" si="4"/>
        <v>103</v>
      </c>
      <c r="B22" s="743" t="s">
        <v>911</v>
      </c>
      <c r="C22" s="744">
        <v>282</v>
      </c>
      <c r="D22" s="745"/>
      <c r="E22" s="745"/>
      <c r="F22" s="785">
        <f t="shared" si="5"/>
        <v>0</v>
      </c>
      <c r="G22" s="785">
        <f t="shared" si="6"/>
        <v>0</v>
      </c>
      <c r="H22" s="785">
        <f>IF($I$3="No", 0,'9-ADIT-2'!J19)</f>
        <v>0</v>
      </c>
      <c r="I22" s="785">
        <f t="shared" si="7"/>
        <v>0</v>
      </c>
      <c r="J22" s="363"/>
    </row>
    <row r="23" spans="1:10" ht="13">
      <c r="A23" s="740">
        <f t="shared" si="4"/>
        <v>104</v>
      </c>
      <c r="B23" s="743" t="s">
        <v>912</v>
      </c>
      <c r="C23" s="744">
        <v>282</v>
      </c>
      <c r="D23" s="745"/>
      <c r="E23" s="745"/>
      <c r="F23" s="785">
        <f t="shared" si="5"/>
        <v>0</v>
      </c>
      <c r="G23" s="785">
        <f t="shared" si="6"/>
        <v>0</v>
      </c>
      <c r="H23" s="785">
        <f>IF($I$3="No", 0,'9-ADIT-2'!J20)</f>
        <v>0</v>
      </c>
      <c r="I23" s="785">
        <f t="shared" si="7"/>
        <v>0</v>
      </c>
      <c r="J23" s="363"/>
    </row>
    <row r="24" spans="1:10" ht="13">
      <c r="A24" s="740">
        <f t="shared" si="4"/>
        <v>105</v>
      </c>
      <c r="B24" s="743" t="s">
        <v>913</v>
      </c>
      <c r="C24" s="744">
        <v>282</v>
      </c>
      <c r="D24" s="745"/>
      <c r="E24" s="745"/>
      <c r="F24" s="785">
        <f t="shared" si="5"/>
        <v>0</v>
      </c>
      <c r="G24" s="785">
        <f t="shared" si="6"/>
        <v>0</v>
      </c>
      <c r="H24" s="785">
        <f>IF($I$3="No", 0,'9-ADIT-2'!J21)</f>
        <v>0</v>
      </c>
      <c r="I24" s="785">
        <f t="shared" si="7"/>
        <v>0</v>
      </c>
      <c r="J24" s="363"/>
    </row>
    <row r="25" spans="1:10" ht="13">
      <c r="A25" s="740">
        <f t="shared" si="4"/>
        <v>106</v>
      </c>
      <c r="B25" s="743" t="s">
        <v>914</v>
      </c>
      <c r="C25" s="744">
        <v>190</v>
      </c>
      <c r="D25" s="745"/>
      <c r="E25" s="745"/>
      <c r="F25" s="785">
        <f t="shared" si="5"/>
        <v>0</v>
      </c>
      <c r="G25" s="785">
        <f t="shared" si="6"/>
        <v>0</v>
      </c>
      <c r="H25" s="785">
        <f>IF($I$3="No", 0,'9-ADIT-2'!J22)</f>
        <v>0</v>
      </c>
      <c r="I25" s="785">
        <f t="shared" si="7"/>
        <v>0</v>
      </c>
      <c r="J25" s="363"/>
    </row>
    <row r="26" spans="1:10" ht="13">
      <c r="A26" s="740">
        <f t="shared" si="4"/>
        <v>107</v>
      </c>
      <c r="B26" s="746" t="s">
        <v>823</v>
      </c>
      <c r="C26" s="747"/>
      <c r="D26" s="745"/>
      <c r="E26" s="745"/>
      <c r="F26" s="743"/>
      <c r="G26" s="743"/>
      <c r="H26" s="743"/>
      <c r="I26" s="743"/>
      <c r="J26" s="363"/>
    </row>
    <row r="27" spans="1:10" ht="13">
      <c r="A27" s="740">
        <v>150</v>
      </c>
      <c r="B27" s="743"/>
      <c r="C27" s="750"/>
      <c r="D27" s="787">
        <f t="shared" ref="D27:I27" si="8">SUM(D20:D26)</f>
        <v>0</v>
      </c>
      <c r="E27" s="787">
        <f t="shared" si="8"/>
        <v>0</v>
      </c>
      <c r="F27" s="787">
        <f t="shared" si="8"/>
        <v>0</v>
      </c>
      <c r="G27" s="787">
        <f t="shared" si="8"/>
        <v>0</v>
      </c>
      <c r="H27" s="787">
        <f t="shared" si="8"/>
        <v>0</v>
      </c>
      <c r="I27" s="787">
        <f t="shared" si="8"/>
        <v>0</v>
      </c>
      <c r="J27" s="363"/>
    </row>
    <row r="28" spans="1:10" ht="13">
      <c r="A28" s="740"/>
      <c r="B28" s="743"/>
      <c r="C28" s="750"/>
      <c r="D28" s="117"/>
      <c r="E28" s="753"/>
      <c r="F28" s="117"/>
      <c r="G28" s="117"/>
      <c r="H28" s="117"/>
      <c r="I28" s="117"/>
      <c r="J28" s="363"/>
    </row>
    <row r="29" spans="1:10" ht="13">
      <c r="A29" s="740">
        <v>200</v>
      </c>
      <c r="B29" s="756" t="s">
        <v>950</v>
      </c>
      <c r="C29" s="744">
        <v>282</v>
      </c>
      <c r="D29" s="755"/>
      <c r="E29" s="755"/>
      <c r="F29" s="795">
        <f t="shared" ref="F29" si="9">+D29*$I$4</f>
        <v>0</v>
      </c>
      <c r="G29" s="796">
        <f>+E29-F29</f>
        <v>0</v>
      </c>
      <c r="H29" s="795">
        <f>IF($I$3="No", 0,'9-ADIT-2'!J26)</f>
        <v>0</v>
      </c>
      <c r="I29" s="795">
        <f>+G29-H29</f>
        <v>0</v>
      </c>
      <c r="J29" s="363"/>
    </row>
    <row r="30" spans="1:10" ht="13">
      <c r="A30" s="740"/>
      <c r="B30" s="743"/>
      <c r="C30" s="750"/>
      <c r="D30" s="117"/>
      <c r="E30" s="117"/>
      <c r="F30" s="117"/>
      <c r="G30" s="117"/>
      <c r="H30" s="117"/>
      <c r="I30" s="117"/>
      <c r="J30" s="363"/>
    </row>
    <row r="31" spans="1:10" ht="13.5" thickBot="1">
      <c r="A31" s="740">
        <v>250</v>
      </c>
      <c r="B31" s="756" t="s">
        <v>951</v>
      </c>
      <c r="C31" s="757"/>
      <c r="D31" s="789">
        <f t="shared" ref="D31:I31" si="10">+D29+D27+D17</f>
        <v>0</v>
      </c>
      <c r="E31" s="789">
        <f t="shared" si="10"/>
        <v>0</v>
      </c>
      <c r="F31" s="789">
        <f t="shared" si="10"/>
        <v>0</v>
      </c>
      <c r="G31" s="789">
        <f t="shared" si="10"/>
        <v>0</v>
      </c>
      <c r="H31" s="789">
        <f t="shared" si="10"/>
        <v>0</v>
      </c>
      <c r="I31" s="789">
        <f t="shared" si="10"/>
        <v>0</v>
      </c>
      <c r="J31" s="363"/>
    </row>
    <row r="32" spans="1:10" ht="13.5" thickTop="1">
      <c r="A32" s="740"/>
      <c r="B32" s="758"/>
      <c r="C32" s="759"/>
      <c r="D32" s="743"/>
      <c r="E32" s="743"/>
      <c r="F32" s="743"/>
      <c r="G32" s="743"/>
      <c r="H32" s="743"/>
      <c r="I32" s="743"/>
      <c r="J32" s="363"/>
    </row>
    <row r="33" spans="1:10" ht="13">
      <c r="A33" s="740">
        <v>300</v>
      </c>
      <c r="B33" s="781" t="s">
        <v>952</v>
      </c>
      <c r="C33" s="752"/>
      <c r="D33" s="743"/>
      <c r="E33" s="743"/>
      <c r="F33" s="743"/>
      <c r="G33" s="743"/>
      <c r="H33" s="743"/>
      <c r="I33" s="743"/>
      <c r="J33" s="363"/>
    </row>
    <row r="34" spans="1:10" ht="13">
      <c r="A34" s="740">
        <f t="shared" si="4"/>
        <v>301</v>
      </c>
      <c r="B34" s="743" t="s">
        <v>816</v>
      </c>
      <c r="C34" s="744">
        <v>190</v>
      </c>
      <c r="D34" s="780"/>
      <c r="E34" s="745"/>
      <c r="F34" s="785">
        <f t="shared" ref="F34:F47" si="11">+D34*$I$4</f>
        <v>0</v>
      </c>
      <c r="G34" s="785">
        <f t="shared" ref="G34:G47" si="12">+E34-F34</f>
        <v>0</v>
      </c>
      <c r="H34" s="785">
        <f>IF($I$3="No", 0,'9-ADIT-2'!J31)</f>
        <v>0</v>
      </c>
      <c r="I34" s="785">
        <f t="shared" ref="I34:I47" si="13">+G34-H34</f>
        <v>0</v>
      </c>
      <c r="J34" s="363"/>
    </row>
    <row r="35" spans="1:10" ht="13">
      <c r="A35" s="740">
        <f t="shared" si="4"/>
        <v>302</v>
      </c>
      <c r="B35" s="743" t="s">
        <v>817</v>
      </c>
      <c r="C35" s="744">
        <v>190</v>
      </c>
      <c r="D35" s="780"/>
      <c r="E35" s="745"/>
      <c r="F35" s="785">
        <f t="shared" si="11"/>
        <v>0</v>
      </c>
      <c r="G35" s="785">
        <f t="shared" si="12"/>
        <v>0</v>
      </c>
      <c r="H35" s="785">
        <f>IF($I$3="No", 0,'9-ADIT-2'!J32)</f>
        <v>0</v>
      </c>
      <c r="I35" s="785">
        <f t="shared" si="13"/>
        <v>0</v>
      </c>
      <c r="J35" s="363"/>
    </row>
    <row r="36" spans="1:10" ht="13">
      <c r="A36" s="740">
        <f t="shared" si="4"/>
        <v>303</v>
      </c>
      <c r="B36" s="743" t="s">
        <v>818</v>
      </c>
      <c r="C36" s="744">
        <v>190</v>
      </c>
      <c r="D36" s="780"/>
      <c r="E36" s="745"/>
      <c r="F36" s="785">
        <f t="shared" si="11"/>
        <v>0</v>
      </c>
      <c r="G36" s="785">
        <f t="shared" si="12"/>
        <v>0</v>
      </c>
      <c r="H36" s="785">
        <f>IF($I$3="No", 0,'9-ADIT-2'!J33)</f>
        <v>0</v>
      </c>
      <c r="I36" s="785">
        <f t="shared" si="13"/>
        <v>0</v>
      </c>
      <c r="J36" s="363"/>
    </row>
    <row r="37" spans="1:10" ht="13">
      <c r="A37" s="740">
        <f t="shared" si="4"/>
        <v>304</v>
      </c>
      <c r="B37" s="743" t="s">
        <v>923</v>
      </c>
      <c r="C37" s="744">
        <v>190</v>
      </c>
      <c r="D37" s="780"/>
      <c r="E37" s="745"/>
      <c r="F37" s="785">
        <f t="shared" si="11"/>
        <v>0</v>
      </c>
      <c r="G37" s="785">
        <f t="shared" si="12"/>
        <v>0</v>
      </c>
      <c r="H37" s="785">
        <f>IF($I$3="No", 0,'9-ADIT-2'!J34)</f>
        <v>0</v>
      </c>
      <c r="I37" s="785">
        <f t="shared" si="13"/>
        <v>0</v>
      </c>
      <c r="J37" s="363"/>
    </row>
    <row r="38" spans="1:10" ht="13">
      <c r="A38" s="740">
        <f t="shared" si="4"/>
        <v>305</v>
      </c>
      <c r="B38" s="743" t="s">
        <v>924</v>
      </c>
      <c r="C38" s="744">
        <v>190</v>
      </c>
      <c r="D38" s="780"/>
      <c r="E38" s="745"/>
      <c r="F38" s="785">
        <f t="shared" si="11"/>
        <v>0</v>
      </c>
      <c r="G38" s="785">
        <f t="shared" si="12"/>
        <v>0</v>
      </c>
      <c r="H38" s="785">
        <f>IF($I$3="No", 0,'9-ADIT-2'!J35)</f>
        <v>0</v>
      </c>
      <c r="I38" s="785">
        <f t="shared" si="13"/>
        <v>0</v>
      </c>
      <c r="J38" s="363"/>
    </row>
    <row r="39" spans="1:10" ht="13">
      <c r="A39" s="740">
        <f t="shared" si="4"/>
        <v>306</v>
      </c>
      <c r="B39" s="743" t="s">
        <v>819</v>
      </c>
      <c r="C39" s="744">
        <v>190</v>
      </c>
      <c r="D39" s="780"/>
      <c r="E39" s="745"/>
      <c r="F39" s="785">
        <f t="shared" si="11"/>
        <v>0</v>
      </c>
      <c r="G39" s="785">
        <f t="shared" si="12"/>
        <v>0</v>
      </c>
      <c r="H39" s="785">
        <f>IF($I$3="No", 0,'9-ADIT-2'!J36)</f>
        <v>0</v>
      </c>
      <c r="I39" s="785">
        <f t="shared" si="13"/>
        <v>0</v>
      </c>
      <c r="J39" s="363"/>
    </row>
    <row r="40" spans="1:10" ht="13">
      <c r="A40" s="740">
        <f t="shared" si="4"/>
        <v>307</v>
      </c>
      <c r="B40" s="743" t="s">
        <v>820</v>
      </c>
      <c r="C40" s="744">
        <v>190</v>
      </c>
      <c r="D40" s="780"/>
      <c r="E40" s="745"/>
      <c r="F40" s="785">
        <f t="shared" si="11"/>
        <v>0</v>
      </c>
      <c r="G40" s="785">
        <f t="shared" si="12"/>
        <v>0</v>
      </c>
      <c r="H40" s="785">
        <f>IF($I$3="No", 0,'9-ADIT-2'!J37)</f>
        <v>0</v>
      </c>
      <c r="I40" s="785">
        <f t="shared" si="13"/>
        <v>0</v>
      </c>
      <c r="J40" s="363"/>
    </row>
    <row r="41" spans="1:10" ht="13">
      <c r="A41" s="740">
        <f t="shared" si="4"/>
        <v>308</v>
      </c>
      <c r="B41" s="743" t="s">
        <v>925</v>
      </c>
      <c r="C41" s="744">
        <v>190</v>
      </c>
      <c r="D41" s="780"/>
      <c r="E41" s="745"/>
      <c r="F41" s="785">
        <f t="shared" si="11"/>
        <v>0</v>
      </c>
      <c r="G41" s="785">
        <f t="shared" si="12"/>
        <v>0</v>
      </c>
      <c r="H41" s="785">
        <f>IF($I$3="No", 0,'9-ADIT-2'!J38)</f>
        <v>0</v>
      </c>
      <c r="I41" s="785">
        <f t="shared" si="13"/>
        <v>0</v>
      </c>
      <c r="J41" s="363"/>
    </row>
    <row r="42" spans="1:10" ht="13">
      <c r="A42" s="740">
        <f t="shared" si="4"/>
        <v>309</v>
      </c>
      <c r="B42" s="743" t="s">
        <v>828</v>
      </c>
      <c r="C42" s="744">
        <v>190</v>
      </c>
      <c r="D42" s="780"/>
      <c r="E42" s="745"/>
      <c r="F42" s="785">
        <f t="shared" si="11"/>
        <v>0</v>
      </c>
      <c r="G42" s="785">
        <f t="shared" si="12"/>
        <v>0</v>
      </c>
      <c r="H42" s="785">
        <f>IF($I$3="No", 0,'9-ADIT-2'!J39)</f>
        <v>0</v>
      </c>
      <c r="I42" s="785">
        <f t="shared" si="13"/>
        <v>0</v>
      </c>
      <c r="J42" s="363"/>
    </row>
    <row r="43" spans="1:10" ht="13">
      <c r="A43" s="740">
        <f t="shared" si="4"/>
        <v>310</v>
      </c>
      <c r="B43" s="743" t="s">
        <v>821</v>
      </c>
      <c r="C43" s="744">
        <v>190</v>
      </c>
      <c r="D43" s="780"/>
      <c r="E43" s="745"/>
      <c r="F43" s="785">
        <f t="shared" si="11"/>
        <v>0</v>
      </c>
      <c r="G43" s="785">
        <f t="shared" si="12"/>
        <v>0</v>
      </c>
      <c r="H43" s="785">
        <f>IF($I$3="No", 0,'9-ADIT-2'!J40)</f>
        <v>0</v>
      </c>
      <c r="I43" s="785">
        <f t="shared" si="13"/>
        <v>0</v>
      </c>
      <c r="J43" s="363"/>
    </row>
    <row r="44" spans="1:10" ht="13">
      <c r="A44" s="740">
        <f t="shared" si="4"/>
        <v>311</v>
      </c>
      <c r="B44" s="743" t="s">
        <v>822</v>
      </c>
      <c r="C44" s="744">
        <v>190</v>
      </c>
      <c r="D44" s="780"/>
      <c r="E44" s="745"/>
      <c r="F44" s="785">
        <f t="shared" si="11"/>
        <v>0</v>
      </c>
      <c r="G44" s="785">
        <f t="shared" si="12"/>
        <v>0</v>
      </c>
      <c r="H44" s="785">
        <f>IF($I$3="No", 0,'9-ADIT-2'!J41)</f>
        <v>0</v>
      </c>
      <c r="I44" s="785">
        <f t="shared" si="13"/>
        <v>0</v>
      </c>
      <c r="J44" s="363"/>
    </row>
    <row r="45" spans="1:10" ht="13">
      <c r="A45" s="740">
        <f t="shared" si="4"/>
        <v>312</v>
      </c>
      <c r="B45" s="743" t="s">
        <v>926</v>
      </c>
      <c r="C45" s="744">
        <v>283</v>
      </c>
      <c r="D45" s="780"/>
      <c r="E45" s="745"/>
      <c r="F45" s="785">
        <f t="shared" si="11"/>
        <v>0</v>
      </c>
      <c r="G45" s="785">
        <f t="shared" si="12"/>
        <v>0</v>
      </c>
      <c r="H45" s="785">
        <f>IF($I$3="No", 0,'9-ADIT-2'!J42)</f>
        <v>0</v>
      </c>
      <c r="I45" s="785">
        <f t="shared" si="13"/>
        <v>0</v>
      </c>
      <c r="J45" s="363"/>
    </row>
    <row r="46" spans="1:10" ht="13">
      <c r="A46" s="740">
        <f t="shared" si="4"/>
        <v>313</v>
      </c>
      <c r="B46" s="743" t="s">
        <v>844</v>
      </c>
      <c r="C46" s="744">
        <v>283</v>
      </c>
      <c r="D46" s="780"/>
      <c r="E46" s="745"/>
      <c r="F46" s="785">
        <f t="shared" si="11"/>
        <v>0</v>
      </c>
      <c r="G46" s="785">
        <f t="shared" si="12"/>
        <v>0</v>
      </c>
      <c r="H46" s="785">
        <f>IF($I$3="No", 0,'9-ADIT-2'!J43)</f>
        <v>0</v>
      </c>
      <c r="I46" s="785">
        <f t="shared" si="13"/>
        <v>0</v>
      </c>
      <c r="J46" s="363"/>
    </row>
    <row r="47" spans="1:10" ht="13">
      <c r="A47" s="740">
        <f t="shared" si="4"/>
        <v>314</v>
      </c>
      <c r="B47" s="743" t="s">
        <v>845</v>
      </c>
      <c r="C47" s="744">
        <v>283</v>
      </c>
      <c r="D47" s="780"/>
      <c r="E47" s="745"/>
      <c r="F47" s="785">
        <f t="shared" si="11"/>
        <v>0</v>
      </c>
      <c r="G47" s="785">
        <f t="shared" si="12"/>
        <v>0</v>
      </c>
      <c r="H47" s="785">
        <f>IF($I$3="No", 0,'9-ADIT-2'!J44)</f>
        <v>0</v>
      </c>
      <c r="I47" s="785">
        <f t="shared" si="13"/>
        <v>0</v>
      </c>
      <c r="J47" s="363"/>
    </row>
    <row r="48" spans="1:10" ht="13">
      <c r="A48" s="740">
        <f t="shared" si="4"/>
        <v>315</v>
      </c>
      <c r="B48" s="746" t="s">
        <v>823</v>
      </c>
      <c r="C48" s="745"/>
      <c r="D48" s="745"/>
      <c r="E48" s="745"/>
      <c r="F48" s="743"/>
      <c r="G48" s="743"/>
      <c r="H48" s="728"/>
      <c r="I48" s="728"/>
      <c r="J48" s="363"/>
    </row>
    <row r="49" spans="1:10" ht="13.5" thickBot="1">
      <c r="A49" s="740">
        <v>350</v>
      </c>
      <c r="B49" s="760" t="s">
        <v>953</v>
      </c>
      <c r="C49" s="760"/>
      <c r="D49" s="791">
        <f t="shared" ref="D49:I49" si="14">SUM(D34:D48)</f>
        <v>0</v>
      </c>
      <c r="E49" s="791">
        <f t="shared" si="14"/>
        <v>0</v>
      </c>
      <c r="F49" s="791">
        <f t="shared" si="14"/>
        <v>0</v>
      </c>
      <c r="G49" s="791">
        <f t="shared" si="14"/>
        <v>0</v>
      </c>
      <c r="H49" s="791">
        <f t="shared" si="14"/>
        <v>0</v>
      </c>
      <c r="I49" s="791">
        <f t="shared" si="14"/>
        <v>0</v>
      </c>
      <c r="J49" s="363"/>
    </row>
    <row r="50" spans="1:10" ht="13.5" thickTop="1">
      <c r="A50" s="740"/>
      <c r="B50" s="728"/>
      <c r="C50" s="728"/>
      <c r="D50" s="761"/>
      <c r="E50" s="761"/>
      <c r="F50" s="761"/>
      <c r="G50" s="761"/>
      <c r="H50" s="761"/>
      <c r="I50" s="761"/>
      <c r="J50" s="363"/>
    </row>
    <row r="51" spans="1:10" ht="13.5" thickBot="1">
      <c r="A51" s="740">
        <v>400</v>
      </c>
      <c r="B51" s="760" t="s">
        <v>929</v>
      </c>
      <c r="C51" s="760"/>
      <c r="D51" s="792">
        <f t="shared" ref="D51:I51" si="15">D31+D49</f>
        <v>0</v>
      </c>
      <c r="E51" s="792">
        <f t="shared" si="15"/>
        <v>0</v>
      </c>
      <c r="F51" s="792">
        <f t="shared" si="15"/>
        <v>0</v>
      </c>
      <c r="G51" s="792">
        <f t="shared" si="15"/>
        <v>0</v>
      </c>
      <c r="H51" s="792">
        <f t="shared" si="15"/>
        <v>0</v>
      </c>
      <c r="I51" s="792">
        <f t="shared" si="15"/>
        <v>0</v>
      </c>
      <c r="J51" s="363"/>
    </row>
    <row r="52" spans="1:10" ht="13.5" thickTop="1">
      <c r="A52" s="740"/>
      <c r="B52" s="762"/>
      <c r="C52" s="762"/>
      <c r="D52" s="728"/>
      <c r="E52" s="728"/>
      <c r="F52" s="728"/>
      <c r="G52" s="728"/>
      <c r="H52" s="728"/>
      <c r="I52" s="728"/>
      <c r="J52" s="363"/>
    </row>
    <row r="53" spans="1:10" ht="13">
      <c r="A53" s="740"/>
      <c r="B53" s="764" t="s">
        <v>433</v>
      </c>
      <c r="C53" s="762"/>
      <c r="D53" s="728"/>
      <c r="E53" s="728"/>
      <c r="F53" s="728"/>
      <c r="G53" s="728"/>
      <c r="H53" s="728"/>
      <c r="I53" s="728"/>
      <c r="J53" s="363"/>
    </row>
    <row r="54" spans="1:10" ht="16">
      <c r="A54" s="740"/>
      <c r="B54" s="782" t="s">
        <v>954</v>
      </c>
      <c r="C54" s="762"/>
      <c r="D54" s="728"/>
      <c r="E54" s="728"/>
      <c r="F54" s="728"/>
      <c r="G54" s="728"/>
      <c r="H54" s="728"/>
      <c r="I54" s="728"/>
      <c r="J54" s="363"/>
    </row>
    <row r="55" spans="1:10" ht="13">
      <c r="A55" s="740"/>
      <c r="B55" s="767" t="s">
        <v>955</v>
      </c>
      <c r="C55" s="762"/>
      <c r="D55" s="728"/>
      <c r="E55" s="728"/>
      <c r="F55" s="728"/>
      <c r="G55" s="728"/>
      <c r="H55" s="728"/>
      <c r="I55" s="728"/>
      <c r="J55" s="363"/>
    </row>
    <row r="56" spans="1:10" ht="13">
      <c r="A56" s="740"/>
      <c r="B56" s="764"/>
      <c r="C56" s="765"/>
      <c r="D56" s="728"/>
      <c r="E56" s="728"/>
      <c r="F56" s="728"/>
      <c r="G56" s="728"/>
      <c r="H56" s="728"/>
      <c r="I56" s="728"/>
      <c r="J56" s="363"/>
    </row>
    <row r="57" spans="1:10" ht="13">
      <c r="A57" s="740"/>
      <c r="B57" s="1044" t="s">
        <v>228</v>
      </c>
      <c r="C57" s="728"/>
      <c r="D57" s="728"/>
      <c r="E57" s="728"/>
      <c r="F57" s="728"/>
      <c r="G57" s="728"/>
      <c r="H57" s="728"/>
      <c r="I57" s="728"/>
      <c r="J57" s="363"/>
    </row>
    <row r="58" spans="1:10" ht="13">
      <c r="A58" s="740"/>
      <c r="B58" s="1045" t="s">
        <v>2922</v>
      </c>
      <c r="C58" s="728"/>
      <c r="D58" s="728"/>
      <c r="E58" s="728"/>
      <c r="F58" s="728"/>
      <c r="G58" s="728"/>
      <c r="H58" s="728"/>
      <c r="I58" s="728"/>
      <c r="J58" s="363"/>
    </row>
    <row r="59" spans="1:10" ht="13">
      <c r="A59" s="740"/>
      <c r="B59" s="1046" t="s">
        <v>2924</v>
      </c>
      <c r="C59" s="768"/>
      <c r="D59" s="728"/>
      <c r="E59" s="728"/>
      <c r="F59" s="728"/>
      <c r="G59" s="728"/>
      <c r="H59" s="728"/>
      <c r="I59" s="728"/>
      <c r="J59" s="363"/>
    </row>
    <row r="60" spans="1:10" ht="13">
      <c r="A60" s="740"/>
      <c r="B60" s="1046" t="s">
        <v>2923</v>
      </c>
      <c r="C60" s="768"/>
      <c r="D60" s="728"/>
      <c r="E60" s="728"/>
      <c r="F60" s="728"/>
      <c r="G60" s="728"/>
      <c r="H60" s="728"/>
      <c r="I60" s="728"/>
      <c r="J60" s="363"/>
    </row>
    <row r="61" spans="1:10" ht="13">
      <c r="A61" s="740"/>
      <c r="B61" s="1046" t="s">
        <v>2928</v>
      </c>
      <c r="C61" s="728"/>
      <c r="D61" s="728"/>
      <c r="E61" s="728"/>
      <c r="F61" s="728"/>
      <c r="G61" s="728"/>
      <c r="H61" s="728"/>
      <c r="I61" s="728"/>
      <c r="J61" s="363"/>
    </row>
    <row r="62" spans="1:10" ht="13">
      <c r="A62" s="740"/>
      <c r="B62" s="363"/>
      <c r="C62" s="768"/>
      <c r="D62" s="728"/>
      <c r="E62" s="728"/>
      <c r="F62" s="728"/>
      <c r="G62" s="728"/>
      <c r="H62" s="728"/>
      <c r="I62" s="728"/>
      <c r="J62" s="363"/>
    </row>
    <row r="63" spans="1:10" ht="13">
      <c r="A63" s="740"/>
      <c r="B63" s="363"/>
      <c r="C63" s="768"/>
      <c r="D63" s="728"/>
      <c r="E63" s="728"/>
      <c r="F63" s="728"/>
      <c r="G63" s="728"/>
      <c r="H63" s="728"/>
      <c r="I63" s="728"/>
      <c r="J63" s="363"/>
    </row>
    <row r="64" spans="1:10" ht="13">
      <c r="A64" s="740"/>
      <c r="B64" s="767"/>
      <c r="C64" s="363"/>
      <c r="D64" s="728"/>
      <c r="E64" s="363"/>
      <c r="F64" s="363"/>
      <c r="G64" s="363"/>
      <c r="H64" s="728"/>
      <c r="I64" s="728"/>
      <c r="J64" s="363"/>
    </row>
    <row r="65" spans="1:10">
      <c r="A65" s="363"/>
      <c r="B65" s="363"/>
      <c r="C65" s="768"/>
      <c r="D65" s="728"/>
      <c r="E65" s="363"/>
      <c r="F65" s="363"/>
      <c r="G65" s="363"/>
      <c r="H65" s="363"/>
      <c r="I65" s="363"/>
      <c r="J65" s="363"/>
    </row>
    <row r="66" spans="1:10">
      <c r="A66" s="363"/>
      <c r="B66" s="363"/>
      <c r="C66" s="768"/>
      <c r="D66" s="728"/>
      <c r="E66" s="363"/>
      <c r="F66" s="363"/>
      <c r="G66" s="363"/>
      <c r="H66" s="363"/>
      <c r="I66" s="363"/>
      <c r="J66" s="363"/>
    </row>
    <row r="67" spans="1:10">
      <c r="A67" s="363"/>
      <c r="B67" s="767"/>
      <c r="C67" s="363"/>
      <c r="D67" s="728"/>
      <c r="E67" s="363"/>
      <c r="F67" s="363"/>
      <c r="G67" s="363"/>
      <c r="H67" s="363"/>
      <c r="I67" s="363"/>
      <c r="J67" s="363"/>
    </row>
    <row r="68" spans="1:10">
      <c r="A68" s="363"/>
      <c r="B68" s="363"/>
      <c r="C68" s="363"/>
      <c r="D68" s="363"/>
      <c r="E68" s="363"/>
      <c r="F68" s="363"/>
      <c r="G68" s="363"/>
      <c r="H68" s="363"/>
      <c r="I68" s="363"/>
      <c r="J68" s="363"/>
    </row>
    <row r="69" spans="1:10">
      <c r="A69" s="363"/>
      <c r="B69" s="363"/>
      <c r="C69" s="363"/>
      <c r="D69" s="363"/>
      <c r="E69" s="363"/>
      <c r="F69" s="363"/>
      <c r="G69" s="363"/>
      <c r="H69" s="363"/>
      <c r="I69" s="363"/>
      <c r="J69" s="363"/>
    </row>
    <row r="70" spans="1:10">
      <c r="A70" s="363"/>
      <c r="B70" s="363"/>
      <c r="C70" s="363"/>
      <c r="D70" s="363"/>
      <c r="E70" s="363"/>
      <c r="F70" s="363"/>
      <c r="G70" s="363"/>
      <c r="H70" s="363"/>
      <c r="I70" s="363"/>
      <c r="J70" s="363"/>
    </row>
    <row r="71" spans="1:10">
      <c r="A71" s="363"/>
      <c r="B71" s="363"/>
      <c r="C71" s="363"/>
      <c r="D71" s="363"/>
      <c r="E71" s="363"/>
      <c r="F71" s="363"/>
      <c r="G71" s="363"/>
      <c r="H71" s="363"/>
      <c r="I71" s="363"/>
      <c r="J71" s="363"/>
    </row>
  </sheetData>
  <mergeCells count="1">
    <mergeCell ref="D8:I8"/>
  </mergeCells>
  <pageMargins left="0.7" right="0.7" top="0.75" bottom="0.75" header="0.3" footer="0.3"/>
  <pageSetup scale="63" orientation="landscape" r:id="rId1"/>
  <headerFooter>
    <oddHeader>&amp;CSchedule 9-ADIT-3
EDIT - Tax Rate Change&amp;RTO2023 Draft Annual Update 
Attachment 1</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4"/>
  <sheetViews>
    <sheetView topLeftCell="I476" zoomScaleNormal="100" zoomScalePageLayoutView="50" workbookViewId="0">
      <selection activeCell="G419" sqref="G419:H442"/>
    </sheetView>
  </sheetViews>
  <sheetFormatPr defaultRowHeight="12.5"/>
  <cols>
    <col min="1" max="1" width="4.54296875"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6.7265625" bestFit="1" customWidth="1"/>
    <col min="10" max="10" width="15.453125" customWidth="1"/>
    <col min="11" max="11" width="17.453125" customWidth="1"/>
    <col min="12" max="12" width="14.54296875" bestFit="1" customWidth="1"/>
    <col min="13" max="13" width="13.453125" bestFit="1" customWidth="1"/>
  </cols>
  <sheetData>
    <row r="1" spans="1:12" ht="13">
      <c r="A1" s="1" t="s">
        <v>956</v>
      </c>
      <c r="K1" s="1"/>
    </row>
    <row r="2" spans="1:12" ht="13">
      <c r="A2" s="1"/>
      <c r="K2" s="1"/>
    </row>
    <row r="3" spans="1:12" ht="13">
      <c r="A3" s="1"/>
      <c r="B3" s="251" t="s">
        <v>957</v>
      </c>
      <c r="K3" s="1"/>
    </row>
    <row r="4" spans="1:12" ht="13">
      <c r="B4" s="251" t="s">
        <v>958</v>
      </c>
      <c r="K4" s="1"/>
      <c r="L4" s="251"/>
    </row>
    <row r="5" spans="1:12" ht="13">
      <c r="B5" s="251"/>
      <c r="K5" s="1"/>
    </row>
    <row r="6" spans="1:12" ht="13">
      <c r="A6" s="251"/>
      <c r="B6" s="1" t="s">
        <v>959</v>
      </c>
      <c r="E6" s="39" t="s">
        <v>195</v>
      </c>
      <c r="F6" s="258" t="s">
        <v>960</v>
      </c>
      <c r="G6" s="55"/>
      <c r="K6" s="1"/>
    </row>
    <row r="7" spans="1:12" ht="13">
      <c r="A7" s="251"/>
      <c r="B7" s="710"/>
      <c r="D7" s="48" t="s">
        <v>336</v>
      </c>
      <c r="E7" s="48" t="s">
        <v>337</v>
      </c>
      <c r="F7" s="48" t="s">
        <v>338</v>
      </c>
      <c r="G7" s="48" t="s">
        <v>339</v>
      </c>
      <c r="H7" s="48" t="s">
        <v>340</v>
      </c>
      <c r="I7" s="48" t="s">
        <v>341</v>
      </c>
      <c r="J7" s="48"/>
      <c r="K7" s="1"/>
      <c r="L7" s="48"/>
    </row>
    <row r="8" spans="1:12">
      <c r="D8" s="252" t="s">
        <v>961</v>
      </c>
    </row>
    <row r="9" spans="1:12">
      <c r="D9" s="37" t="s">
        <v>962</v>
      </c>
    </row>
    <row r="10" spans="1:12" ht="13">
      <c r="B10" s="2"/>
    </row>
    <row r="11" spans="1:12" ht="13">
      <c r="B11" s="2"/>
      <c r="D11" s="2" t="s">
        <v>360</v>
      </c>
      <c r="F11" s="2" t="s">
        <v>963</v>
      </c>
      <c r="G11" s="189" t="s">
        <v>964</v>
      </c>
      <c r="H11" s="189" t="s">
        <v>965</v>
      </c>
      <c r="I11" s="2"/>
      <c r="J11" s="2"/>
      <c r="K11" s="251"/>
    </row>
    <row r="12" spans="1:12" ht="13">
      <c r="A12" s="30" t="s">
        <v>273</v>
      </c>
      <c r="B12" s="348" t="s">
        <v>371</v>
      </c>
      <c r="C12" s="348" t="s">
        <v>372</v>
      </c>
      <c r="D12" s="3" t="s">
        <v>966</v>
      </c>
      <c r="E12" s="3" t="s">
        <v>967</v>
      </c>
      <c r="F12" s="3" t="s">
        <v>968</v>
      </c>
      <c r="G12" s="190" t="s">
        <v>969</v>
      </c>
      <c r="H12" s="190" t="s">
        <v>970</v>
      </c>
      <c r="I12" s="3" t="s">
        <v>971</v>
      </c>
      <c r="J12" s="3"/>
      <c r="K12" s="251"/>
    </row>
    <row r="13" spans="1:12" ht="13">
      <c r="A13" s="2">
        <v>1</v>
      </c>
      <c r="B13" s="349" t="s">
        <v>379</v>
      </c>
      <c r="C13" s="350">
        <v>2020</v>
      </c>
      <c r="D13" s="6">
        <f>SUM(E13:I13)+SUM(D33:I33)</f>
        <v>974174702.11999989</v>
      </c>
      <c r="E13" s="281">
        <v>160227</v>
      </c>
      <c r="F13" s="60">
        <v>0</v>
      </c>
      <c r="G13" s="60">
        <v>5772572.9199999999</v>
      </c>
      <c r="H13" s="60">
        <v>650835316.65999997</v>
      </c>
      <c r="I13" s="60">
        <v>0</v>
      </c>
      <c r="J13" s="351"/>
    </row>
    <row r="14" spans="1:12" ht="13">
      <c r="A14" s="2">
        <f>A13+1</f>
        <v>2</v>
      </c>
      <c r="B14" s="349" t="s">
        <v>381</v>
      </c>
      <c r="C14" s="350">
        <v>2021</v>
      </c>
      <c r="D14" s="6">
        <f t="shared" ref="D14:D25" si="0">SUM(E14:I14)+SUM(D34:I34)</f>
        <v>979339676.26999998</v>
      </c>
      <c r="E14" s="281">
        <v>172054.72</v>
      </c>
      <c r="F14" s="60">
        <v>0</v>
      </c>
      <c r="G14" s="60">
        <v>5804649.21</v>
      </c>
      <c r="H14" s="60">
        <v>648626886.13</v>
      </c>
      <c r="I14" s="60">
        <v>0</v>
      </c>
      <c r="J14" s="351"/>
    </row>
    <row r="15" spans="1:12" ht="13">
      <c r="A15" s="2">
        <f t="shared" ref="A15:A26" si="1">A14+1</f>
        <v>3</v>
      </c>
      <c r="B15" s="349" t="s">
        <v>382</v>
      </c>
      <c r="C15" s="350">
        <v>2021</v>
      </c>
      <c r="D15" s="6">
        <f t="shared" si="0"/>
        <v>994562113.09000015</v>
      </c>
      <c r="E15" s="281">
        <v>399231.34</v>
      </c>
      <c r="F15" s="60">
        <v>0</v>
      </c>
      <c r="G15" s="60">
        <v>5826630.4900000002</v>
      </c>
      <c r="H15" s="60">
        <v>655989194.52999997</v>
      </c>
      <c r="I15" s="60">
        <v>0</v>
      </c>
      <c r="J15" s="351"/>
    </row>
    <row r="16" spans="1:12" ht="13">
      <c r="A16" s="2">
        <f t="shared" si="1"/>
        <v>4</v>
      </c>
      <c r="B16" s="349" t="s">
        <v>383</v>
      </c>
      <c r="C16" s="350">
        <v>2021</v>
      </c>
      <c r="D16" s="6">
        <f t="shared" si="0"/>
        <v>1009312817.62</v>
      </c>
      <c r="E16" s="281">
        <v>790244.81</v>
      </c>
      <c r="F16" s="60">
        <v>0</v>
      </c>
      <c r="G16" s="60">
        <v>5842227.7599999998</v>
      </c>
      <c r="H16" s="60">
        <v>658393178.02999997</v>
      </c>
      <c r="I16" s="60">
        <v>0</v>
      </c>
      <c r="J16" s="351"/>
    </row>
    <row r="17" spans="1:11" ht="13">
      <c r="A17" s="2">
        <f t="shared" si="1"/>
        <v>5</v>
      </c>
      <c r="B17" s="349" t="s">
        <v>384</v>
      </c>
      <c r="C17" s="350">
        <v>2021</v>
      </c>
      <c r="D17" s="6">
        <f t="shared" si="0"/>
        <v>1028225530.6400001</v>
      </c>
      <c r="E17" s="281">
        <v>1565158.83</v>
      </c>
      <c r="F17" s="60">
        <v>0</v>
      </c>
      <c r="G17" s="60">
        <v>5871055.2800000003</v>
      </c>
      <c r="H17" s="60">
        <v>664569402.25</v>
      </c>
      <c r="I17" s="60">
        <v>0</v>
      </c>
      <c r="J17" s="351"/>
    </row>
    <row r="18" spans="1:11" ht="13">
      <c r="A18" s="2">
        <f t="shared" si="1"/>
        <v>6</v>
      </c>
      <c r="B18" s="349" t="s">
        <v>385</v>
      </c>
      <c r="C18" s="350">
        <v>2021</v>
      </c>
      <c r="D18" s="6">
        <f t="shared" si="0"/>
        <v>382373171.63999999</v>
      </c>
      <c r="E18" s="281">
        <v>2010755.91</v>
      </c>
      <c r="F18" s="60">
        <v>0</v>
      </c>
      <c r="G18" s="60">
        <v>5888272.75</v>
      </c>
      <c r="H18" s="60">
        <v>7623375.4000000004</v>
      </c>
      <c r="I18" s="60">
        <v>0</v>
      </c>
      <c r="J18" s="351"/>
    </row>
    <row r="19" spans="1:11" ht="13">
      <c r="A19" s="2">
        <f t="shared" si="1"/>
        <v>7</v>
      </c>
      <c r="B19" s="349" t="s">
        <v>386</v>
      </c>
      <c r="C19" s="350">
        <v>2021</v>
      </c>
      <c r="D19" s="6">
        <f t="shared" si="0"/>
        <v>394833882.44999999</v>
      </c>
      <c r="E19" s="281">
        <v>2580400.2400000002</v>
      </c>
      <c r="F19" s="60">
        <v>0</v>
      </c>
      <c r="G19" s="60">
        <v>5903287.3899999997</v>
      </c>
      <c r="H19" s="60">
        <v>7627118.4299999997</v>
      </c>
      <c r="I19" s="60">
        <v>0</v>
      </c>
      <c r="J19" s="351"/>
    </row>
    <row r="20" spans="1:11" ht="13">
      <c r="A20" s="2">
        <f t="shared" si="1"/>
        <v>8</v>
      </c>
      <c r="B20" s="349" t="s">
        <v>387</v>
      </c>
      <c r="C20" s="350">
        <v>2021</v>
      </c>
      <c r="D20" s="6">
        <f t="shared" si="0"/>
        <v>405480698.21000004</v>
      </c>
      <c r="E20" s="281">
        <v>3058278</v>
      </c>
      <c r="F20" s="60">
        <v>0</v>
      </c>
      <c r="G20" s="60">
        <v>5945431.9500000002</v>
      </c>
      <c r="H20" s="60">
        <v>7699225.2199999997</v>
      </c>
      <c r="I20" s="60">
        <v>0</v>
      </c>
      <c r="J20" s="351"/>
    </row>
    <row r="21" spans="1:11" ht="13">
      <c r="A21" s="2">
        <f t="shared" si="1"/>
        <v>9</v>
      </c>
      <c r="B21" s="349" t="s">
        <v>388</v>
      </c>
      <c r="C21" s="350">
        <v>2021</v>
      </c>
      <c r="D21" s="6">
        <f t="shared" si="0"/>
        <v>417167934.21000004</v>
      </c>
      <c r="E21" s="281">
        <v>3334104.78</v>
      </c>
      <c r="F21" s="60">
        <v>0</v>
      </c>
      <c r="G21" s="60">
        <v>5995311.7199999997</v>
      </c>
      <c r="H21" s="60">
        <v>9884338.6799999997</v>
      </c>
      <c r="I21" s="60">
        <v>0</v>
      </c>
      <c r="J21" s="351"/>
    </row>
    <row r="22" spans="1:11" ht="13">
      <c r="A22" s="2">
        <f t="shared" si="1"/>
        <v>10</v>
      </c>
      <c r="B22" s="349" t="s">
        <v>389</v>
      </c>
      <c r="C22" s="350">
        <v>2021</v>
      </c>
      <c r="D22" s="6">
        <f t="shared" si="0"/>
        <v>430692591.87</v>
      </c>
      <c r="E22" s="281">
        <v>3517730.5</v>
      </c>
      <c r="F22" s="60">
        <v>0</v>
      </c>
      <c r="G22" s="60">
        <v>6025117.2000000002</v>
      </c>
      <c r="H22" s="60">
        <v>9887649.0600000005</v>
      </c>
      <c r="I22" s="60">
        <v>0</v>
      </c>
      <c r="J22" s="351"/>
    </row>
    <row r="23" spans="1:11" ht="13">
      <c r="A23" s="2">
        <f t="shared" si="1"/>
        <v>11</v>
      </c>
      <c r="B23" s="349" t="s">
        <v>972</v>
      </c>
      <c r="C23" s="350">
        <v>2021</v>
      </c>
      <c r="D23" s="6">
        <f t="shared" si="0"/>
        <v>442312913.18000007</v>
      </c>
      <c r="E23" s="281">
        <v>3769907.18</v>
      </c>
      <c r="F23" s="60">
        <v>0</v>
      </c>
      <c r="G23" s="60">
        <v>5925995.04</v>
      </c>
      <c r="H23" s="60">
        <v>10085140.460000001</v>
      </c>
      <c r="I23" s="60">
        <v>0</v>
      </c>
      <c r="J23" s="351"/>
    </row>
    <row r="24" spans="1:11" ht="13">
      <c r="A24" s="2">
        <f t="shared" si="1"/>
        <v>12</v>
      </c>
      <c r="B24" s="349" t="s">
        <v>391</v>
      </c>
      <c r="C24" s="350">
        <v>2021</v>
      </c>
      <c r="D24" s="6">
        <f t="shared" si="0"/>
        <v>444224700.5</v>
      </c>
      <c r="E24" s="281">
        <v>3975889.21</v>
      </c>
      <c r="F24" s="60">
        <v>0</v>
      </c>
      <c r="G24" s="60">
        <v>5973514.5099999998</v>
      </c>
      <c r="H24" s="60">
        <v>10096970.02</v>
      </c>
      <c r="I24" s="60">
        <v>0</v>
      </c>
      <c r="J24" s="351"/>
    </row>
    <row r="25" spans="1:11" ht="13">
      <c r="A25" s="2">
        <f t="shared" si="1"/>
        <v>13</v>
      </c>
      <c r="B25" s="349" t="s">
        <v>379</v>
      </c>
      <c r="C25" s="350">
        <v>2021</v>
      </c>
      <c r="D25" s="53">
        <f t="shared" si="0"/>
        <v>457540028.63</v>
      </c>
      <c r="E25" s="218">
        <v>4598499.51</v>
      </c>
      <c r="F25" s="62">
        <v>0</v>
      </c>
      <c r="G25" s="62">
        <v>6065998.96</v>
      </c>
      <c r="H25" s="62">
        <v>371163.37</v>
      </c>
      <c r="I25" s="62">
        <v>0</v>
      </c>
      <c r="J25" s="351"/>
    </row>
    <row r="26" spans="1:11" ht="13">
      <c r="A26" s="2">
        <f t="shared" si="1"/>
        <v>14</v>
      </c>
      <c r="B26" s="349"/>
      <c r="C26" s="352" t="s">
        <v>973</v>
      </c>
      <c r="D26" s="279">
        <f t="shared" ref="D26:I26" si="2">SUM(D13:D25)/13</f>
        <v>643095443.11000001</v>
      </c>
      <c r="E26" s="279">
        <f t="shared" si="2"/>
        <v>2302498.6176923076</v>
      </c>
      <c r="F26" s="279">
        <f t="shared" si="2"/>
        <v>0</v>
      </c>
      <c r="G26" s="279">
        <f t="shared" si="2"/>
        <v>5910774.2446153844</v>
      </c>
      <c r="H26" s="279">
        <f t="shared" si="2"/>
        <v>257052996.78769225</v>
      </c>
      <c r="I26" s="279">
        <f t="shared" si="2"/>
        <v>0</v>
      </c>
      <c r="J26" s="351"/>
      <c r="K26" s="351"/>
    </row>
    <row r="27" spans="1:11" ht="13">
      <c r="A27" s="2"/>
      <c r="B27" s="349"/>
      <c r="C27" s="352"/>
      <c r="D27" s="279"/>
      <c r="E27" s="279"/>
      <c r="F27" s="279"/>
      <c r="G27" s="279"/>
      <c r="H27" s="279"/>
      <c r="I27" s="351"/>
      <c r="J27" s="250"/>
      <c r="K27" s="351"/>
    </row>
    <row r="28" spans="1:11" ht="13">
      <c r="A28" s="2"/>
      <c r="B28" s="349"/>
      <c r="C28" s="352"/>
      <c r="D28" s="48" t="s">
        <v>342</v>
      </c>
      <c r="E28" s="48" t="s">
        <v>343</v>
      </c>
      <c r="F28" s="48" t="s">
        <v>344</v>
      </c>
      <c r="G28" s="48" t="s">
        <v>589</v>
      </c>
      <c r="H28" s="48" t="s">
        <v>590</v>
      </c>
      <c r="I28" s="48" t="s">
        <v>591</v>
      </c>
      <c r="J28" s="869" t="s">
        <v>592</v>
      </c>
      <c r="K28" s="48"/>
    </row>
    <row r="29" spans="1:11" ht="13">
      <c r="A29" s="2"/>
      <c r="B29" s="349"/>
      <c r="C29" s="352"/>
      <c r="E29" s="189" t="s">
        <v>974</v>
      </c>
      <c r="F29" s="189"/>
      <c r="G29" s="189"/>
      <c r="H29" s="279"/>
      <c r="I29" s="351"/>
      <c r="J29" s="626"/>
      <c r="K29" s="351"/>
    </row>
    <row r="30" spans="1:11" ht="13">
      <c r="B30" s="2"/>
      <c r="D30" s="2" t="s">
        <v>975</v>
      </c>
      <c r="E30" s="2" t="s">
        <v>976</v>
      </c>
      <c r="F30" s="802"/>
      <c r="G30" s="802"/>
      <c r="H30" s="802"/>
      <c r="I30" s="189"/>
      <c r="J30" s="626"/>
      <c r="K30" s="351"/>
    </row>
    <row r="31" spans="1:11" ht="13">
      <c r="B31" s="2"/>
      <c r="D31" s="2" t="s">
        <v>710</v>
      </c>
      <c r="E31" s="2" t="s">
        <v>710</v>
      </c>
      <c r="F31" s="807"/>
      <c r="G31" s="807"/>
      <c r="H31" s="808" t="s">
        <v>977</v>
      </c>
      <c r="I31" s="189"/>
      <c r="J31" s="857"/>
      <c r="K31" s="189"/>
    </row>
    <row r="32" spans="1:11" ht="13">
      <c r="A32" s="30" t="s">
        <v>273</v>
      </c>
      <c r="B32" s="348" t="s">
        <v>371</v>
      </c>
      <c r="C32" s="348" t="s">
        <v>372</v>
      </c>
      <c r="D32" s="3" t="s">
        <v>978</v>
      </c>
      <c r="E32" s="3" t="s">
        <v>978</v>
      </c>
      <c r="F32" s="807" t="s">
        <v>979</v>
      </c>
      <c r="G32" s="807" t="s">
        <v>980</v>
      </c>
      <c r="H32" s="807" t="s">
        <v>981</v>
      </c>
      <c r="I32" s="190" t="s">
        <v>982</v>
      </c>
      <c r="J32" s="191"/>
      <c r="K32" s="190"/>
    </row>
    <row r="33" spans="1:11" ht="13">
      <c r="A33" s="2">
        <f>+A26+1</f>
        <v>15</v>
      </c>
      <c r="B33" s="349" t="s">
        <v>379</v>
      </c>
      <c r="C33" s="350">
        <v>2020</v>
      </c>
      <c r="D33" s="60">
        <v>0</v>
      </c>
      <c r="E33" s="60">
        <v>5327831.78</v>
      </c>
      <c r="F33" s="60">
        <v>130044184.2</v>
      </c>
      <c r="G33" s="60">
        <v>23818399.359999999</v>
      </c>
      <c r="H33" s="60">
        <v>134608216.12</v>
      </c>
      <c r="I33" s="606">
        <v>23607954.079999998</v>
      </c>
      <c r="J33" s="606"/>
      <c r="K33" s="859"/>
    </row>
    <row r="34" spans="1:11" ht="13">
      <c r="A34" s="2">
        <f>A33+1</f>
        <v>16</v>
      </c>
      <c r="B34" s="349" t="s">
        <v>381</v>
      </c>
      <c r="C34" s="350">
        <v>2021</v>
      </c>
      <c r="D34" s="60">
        <v>0</v>
      </c>
      <c r="E34" s="60">
        <v>5915453.3600000003</v>
      </c>
      <c r="F34" s="60">
        <v>133186403.98999999</v>
      </c>
      <c r="G34" s="60">
        <v>23888633.760000002</v>
      </c>
      <c r="H34" s="60">
        <v>137644194.81</v>
      </c>
      <c r="I34" s="606">
        <v>24101400.289999999</v>
      </c>
      <c r="J34" s="606"/>
      <c r="K34" s="859"/>
    </row>
    <row r="35" spans="1:11" ht="13">
      <c r="A35" s="2">
        <f t="shared" ref="A35:A46" si="3">A34+1</f>
        <v>17</v>
      </c>
      <c r="B35" s="349" t="s">
        <v>382</v>
      </c>
      <c r="C35" s="350">
        <v>2021</v>
      </c>
      <c r="D35" s="60">
        <v>0</v>
      </c>
      <c r="E35" s="60">
        <v>6387946.7199999997</v>
      </c>
      <c r="F35" s="60">
        <v>136403077.34</v>
      </c>
      <c r="G35" s="60">
        <v>23978779.43</v>
      </c>
      <c r="H35" s="60">
        <v>141126388.58000001</v>
      </c>
      <c r="I35" s="606">
        <v>24450864.66</v>
      </c>
      <c r="J35" s="606"/>
      <c r="K35" s="859"/>
    </row>
    <row r="36" spans="1:11" ht="13">
      <c r="A36" s="2">
        <f t="shared" si="3"/>
        <v>18</v>
      </c>
      <c r="B36" s="349" t="s">
        <v>383</v>
      </c>
      <c r="C36" s="350">
        <v>2021</v>
      </c>
      <c r="D36" s="60">
        <v>0</v>
      </c>
      <c r="E36" s="60">
        <v>7247320.2599999998</v>
      </c>
      <c r="F36" s="60">
        <v>144437586.69999999</v>
      </c>
      <c r="G36" s="60">
        <v>24034308.140000001</v>
      </c>
      <c r="H36" s="60">
        <v>143839625.05000001</v>
      </c>
      <c r="I36" s="606">
        <v>24728326.870000001</v>
      </c>
      <c r="J36" s="606"/>
      <c r="K36" s="859"/>
    </row>
    <row r="37" spans="1:11" ht="13">
      <c r="A37" s="2">
        <f t="shared" si="3"/>
        <v>19</v>
      </c>
      <c r="B37" s="349" t="s">
        <v>384</v>
      </c>
      <c r="C37" s="350">
        <v>2021</v>
      </c>
      <c r="D37" s="60">
        <v>0</v>
      </c>
      <c r="E37" s="60">
        <v>9297795.6799999997</v>
      </c>
      <c r="F37" s="60">
        <v>150772624.75</v>
      </c>
      <c r="G37" s="60">
        <v>24180145.140000001</v>
      </c>
      <c r="H37" s="60">
        <v>146694897.27000001</v>
      </c>
      <c r="I37" s="606">
        <v>25274451.440000001</v>
      </c>
      <c r="J37" s="606"/>
      <c r="K37" s="859"/>
    </row>
    <row r="38" spans="1:11" ht="13">
      <c r="A38" s="2">
        <f t="shared" si="3"/>
        <v>20</v>
      </c>
      <c r="B38" s="349" t="s">
        <v>385</v>
      </c>
      <c r="C38" s="350">
        <v>2021</v>
      </c>
      <c r="D38" s="60">
        <v>0</v>
      </c>
      <c r="E38" s="60">
        <v>11124171.640000001</v>
      </c>
      <c r="F38" s="60">
        <v>155672653.36000001</v>
      </c>
      <c r="G38" s="60">
        <v>24280342.629999999</v>
      </c>
      <c r="H38" s="60">
        <v>150065487.52000001</v>
      </c>
      <c r="I38" s="606">
        <v>25708112.43</v>
      </c>
      <c r="J38" s="606"/>
      <c r="K38" s="859"/>
    </row>
    <row r="39" spans="1:11" ht="13">
      <c r="A39" s="2">
        <f t="shared" si="3"/>
        <v>21</v>
      </c>
      <c r="B39" s="349" t="s">
        <v>386</v>
      </c>
      <c r="C39" s="350">
        <v>2021</v>
      </c>
      <c r="D39" s="60">
        <v>0</v>
      </c>
      <c r="E39" s="60">
        <v>14228767.83</v>
      </c>
      <c r="F39" s="60">
        <v>160094691.41</v>
      </c>
      <c r="G39" s="60">
        <v>24358424.329999998</v>
      </c>
      <c r="H39" s="60">
        <v>153813251.25</v>
      </c>
      <c r="I39" s="606">
        <v>26227941.57</v>
      </c>
      <c r="J39" s="606"/>
      <c r="K39" s="859"/>
    </row>
    <row r="40" spans="1:11" ht="13">
      <c r="A40" s="2">
        <f t="shared" si="3"/>
        <v>22</v>
      </c>
      <c r="B40" s="349" t="s">
        <v>387</v>
      </c>
      <c r="C40" s="350">
        <v>2021</v>
      </c>
      <c r="D40" s="60">
        <v>0</v>
      </c>
      <c r="E40" s="60">
        <v>16296267.890000001</v>
      </c>
      <c r="F40" s="60">
        <v>165282702.90000001</v>
      </c>
      <c r="G40" s="60">
        <v>24434863.399999999</v>
      </c>
      <c r="H40" s="60">
        <v>156012267.63999999</v>
      </c>
      <c r="I40" s="606">
        <v>26751661.210000001</v>
      </c>
      <c r="J40" s="606"/>
      <c r="K40" s="859"/>
    </row>
    <row r="41" spans="1:11" ht="13">
      <c r="A41" s="2">
        <f>A40+1</f>
        <v>23</v>
      </c>
      <c r="B41" s="349" t="s">
        <v>388</v>
      </c>
      <c r="C41" s="350">
        <v>2021</v>
      </c>
      <c r="D41" s="60">
        <v>0</v>
      </c>
      <c r="E41" s="60">
        <v>18611885.27</v>
      </c>
      <c r="F41" s="60">
        <v>167396389.93000001</v>
      </c>
      <c r="G41" s="60">
        <v>24569756.170000002</v>
      </c>
      <c r="H41" s="60">
        <v>159970843.84</v>
      </c>
      <c r="I41" s="606">
        <v>27405303.82</v>
      </c>
      <c r="J41" s="606"/>
      <c r="K41" s="859"/>
    </row>
    <row r="42" spans="1:11" ht="13">
      <c r="A42" s="2">
        <f t="shared" si="3"/>
        <v>24</v>
      </c>
      <c r="B42" s="349" t="s">
        <v>389</v>
      </c>
      <c r="C42" s="350">
        <v>2021</v>
      </c>
      <c r="D42" s="60">
        <v>0</v>
      </c>
      <c r="E42" s="60">
        <v>19917460.809999999</v>
      </c>
      <c r="F42" s="60">
        <v>176850066.06999999</v>
      </c>
      <c r="G42" s="60">
        <v>24661473.109999999</v>
      </c>
      <c r="H42" s="60">
        <v>161982581.94</v>
      </c>
      <c r="I42" s="606">
        <v>27850513.18</v>
      </c>
      <c r="J42" s="606"/>
      <c r="K42" s="859"/>
    </row>
    <row r="43" spans="1:11" ht="13">
      <c r="A43" s="2">
        <f t="shared" si="3"/>
        <v>25</v>
      </c>
      <c r="B43" s="349" t="s">
        <v>972</v>
      </c>
      <c r="C43" s="350">
        <v>2021</v>
      </c>
      <c r="D43" s="60">
        <v>0</v>
      </c>
      <c r="E43" s="60">
        <v>22054683.829999998</v>
      </c>
      <c r="F43" s="60">
        <v>181917287.22999999</v>
      </c>
      <c r="G43" s="60">
        <v>24742987.420000002</v>
      </c>
      <c r="H43" s="60">
        <v>165178803.86000001</v>
      </c>
      <c r="I43" s="606">
        <v>28638108.16</v>
      </c>
      <c r="J43" s="606"/>
      <c r="K43" s="859"/>
    </row>
    <row r="44" spans="1:11" ht="13">
      <c r="A44" s="2">
        <f t="shared" si="3"/>
        <v>26</v>
      </c>
      <c r="B44" s="349" t="s">
        <v>391</v>
      </c>
      <c r="C44" s="350">
        <v>2021</v>
      </c>
      <c r="D44" s="60">
        <v>0</v>
      </c>
      <c r="E44" s="60">
        <v>0</v>
      </c>
      <c r="F44" s="606">
        <v>190077284.41999999</v>
      </c>
      <c r="G44" s="606">
        <v>24897970.07</v>
      </c>
      <c r="H44" s="281">
        <v>179601427.77000001</v>
      </c>
      <c r="I44" s="606">
        <v>29601644.5</v>
      </c>
      <c r="J44" s="606"/>
      <c r="K44" s="859"/>
    </row>
    <row r="45" spans="1:11" ht="13">
      <c r="A45" s="2">
        <f t="shared" si="3"/>
        <v>27</v>
      </c>
      <c r="B45" s="349" t="s">
        <v>379</v>
      </c>
      <c r="C45" s="350">
        <v>2021</v>
      </c>
      <c r="D45" s="62">
        <v>0</v>
      </c>
      <c r="E45" s="62">
        <v>0</v>
      </c>
      <c r="F45" s="858">
        <v>201436016.56999999</v>
      </c>
      <c r="G45" s="858">
        <v>25314115.41</v>
      </c>
      <c r="H45" s="218">
        <v>189682923.96000001</v>
      </c>
      <c r="I45" s="858">
        <v>30071310.850000001</v>
      </c>
      <c r="J45" s="858"/>
      <c r="K45" s="860"/>
    </row>
    <row r="46" spans="1:11" ht="13">
      <c r="A46" s="2">
        <f t="shared" si="3"/>
        <v>28</v>
      </c>
      <c r="B46" s="349"/>
      <c r="C46" s="352" t="s">
        <v>973</v>
      </c>
      <c r="D46" s="279">
        <f t="shared" ref="D46:I46" si="4">SUM(D33:D45)/13</f>
        <v>0</v>
      </c>
      <c r="E46" s="279">
        <f t="shared" si="4"/>
        <v>10493045.005384615</v>
      </c>
      <c r="F46" s="279">
        <f t="shared" si="4"/>
        <v>161043920.68230769</v>
      </c>
      <c r="G46" s="279">
        <f t="shared" si="4"/>
        <v>24396938.33615385</v>
      </c>
      <c r="H46" s="279">
        <f t="shared" si="4"/>
        <v>155401608.43153843</v>
      </c>
      <c r="I46" s="279">
        <f t="shared" si="4"/>
        <v>26493661.004615389</v>
      </c>
      <c r="J46" s="353" t="s">
        <v>380</v>
      </c>
      <c r="K46" s="353"/>
    </row>
    <row r="48" spans="1:11" ht="13">
      <c r="B48" s="354" t="s">
        <v>983</v>
      </c>
    </row>
    <row r="49" spans="1:13" ht="13">
      <c r="B49" s="354"/>
      <c r="D49" s="3" t="s">
        <v>336</v>
      </c>
      <c r="E49" s="3" t="s">
        <v>337</v>
      </c>
      <c r="F49" s="3" t="s">
        <v>338</v>
      </c>
      <c r="G49" s="3" t="s">
        <v>339</v>
      </c>
      <c r="H49" s="3" t="s">
        <v>340</v>
      </c>
      <c r="I49" s="3" t="s">
        <v>341</v>
      </c>
      <c r="J49" s="3" t="s">
        <v>342</v>
      </c>
      <c r="K49" s="3" t="s">
        <v>343</v>
      </c>
    </row>
    <row r="50" spans="1:13" s="369" customFormat="1">
      <c r="D50" s="252" t="s">
        <v>346</v>
      </c>
      <c r="E50" s="252" t="s">
        <v>346</v>
      </c>
      <c r="F50" s="252" t="s">
        <v>346</v>
      </c>
      <c r="G50" s="252" t="s">
        <v>346</v>
      </c>
      <c r="H50" s="252" t="s">
        <v>346</v>
      </c>
      <c r="I50" s="252" t="s">
        <v>346</v>
      </c>
      <c r="J50" s="252" t="s">
        <v>346</v>
      </c>
      <c r="K50" s="252" t="s">
        <v>346</v>
      </c>
    </row>
    <row r="51" spans="1:13" ht="13">
      <c r="G51" s="2" t="s">
        <v>984</v>
      </c>
      <c r="K51" s="2"/>
    </row>
    <row r="52" spans="1:13" ht="13">
      <c r="A52" s="2"/>
      <c r="B52" s="2"/>
      <c r="C52" s="2"/>
      <c r="D52" s="2" t="s">
        <v>985</v>
      </c>
      <c r="E52" s="2" t="s">
        <v>986</v>
      </c>
      <c r="F52" s="2" t="s">
        <v>987</v>
      </c>
      <c r="G52" s="2" t="s">
        <v>249</v>
      </c>
      <c r="H52" s="2" t="s">
        <v>988</v>
      </c>
      <c r="I52" s="370" t="s">
        <v>989</v>
      </c>
      <c r="J52" s="2" t="s">
        <v>985</v>
      </c>
      <c r="K52" s="2" t="s">
        <v>990</v>
      </c>
    </row>
    <row r="53" spans="1:13" ht="13">
      <c r="A53" s="30" t="s">
        <v>273</v>
      </c>
      <c r="B53" s="348" t="s">
        <v>371</v>
      </c>
      <c r="C53" s="348" t="s">
        <v>372</v>
      </c>
      <c r="D53" s="3" t="s">
        <v>991</v>
      </c>
      <c r="E53" s="3" t="s">
        <v>992</v>
      </c>
      <c r="F53" s="3" t="s">
        <v>993</v>
      </c>
      <c r="G53" s="3" t="s">
        <v>994</v>
      </c>
      <c r="H53" s="3" t="s">
        <v>995</v>
      </c>
      <c r="I53" s="3" t="s">
        <v>996</v>
      </c>
      <c r="J53" s="3" t="s">
        <v>997</v>
      </c>
      <c r="K53" s="3" t="s">
        <v>998</v>
      </c>
    </row>
    <row r="54" spans="1:13" ht="13">
      <c r="A54" s="2">
        <f>A46+1</f>
        <v>29</v>
      </c>
      <c r="B54" s="349" t="s">
        <v>379</v>
      </c>
      <c r="C54" s="350">
        <v>2021</v>
      </c>
      <c r="D54" s="257" t="s">
        <v>380</v>
      </c>
      <c r="E54" s="257" t="s">
        <v>380</v>
      </c>
      <c r="F54" s="257" t="s">
        <v>380</v>
      </c>
      <c r="G54" s="257" t="s">
        <v>380</v>
      </c>
      <c r="H54" s="257" t="s">
        <v>380</v>
      </c>
      <c r="I54" s="257" t="s">
        <v>380</v>
      </c>
      <c r="J54" s="6">
        <f>D25</f>
        <v>457540028.63</v>
      </c>
      <c r="K54" s="257" t="s">
        <v>380</v>
      </c>
    </row>
    <row r="55" spans="1:13" ht="13">
      <c r="A55" s="2">
        <f>A54+1</f>
        <v>30</v>
      </c>
      <c r="B55" s="349" t="s">
        <v>381</v>
      </c>
      <c r="C55" s="350">
        <v>2022</v>
      </c>
      <c r="D55" s="6">
        <f t="shared" ref="D55:K55" si="5">D89+D122+D155+D188+D221+D254+D287+D320+D353+D386+D419</f>
        <v>4392977.8745999997</v>
      </c>
      <c r="E55" s="6">
        <f t="shared" si="5"/>
        <v>329473.34059499996</v>
      </c>
      <c r="F55" s="6">
        <f t="shared" si="5"/>
        <v>4722451.2151949992</v>
      </c>
      <c r="G55" s="6">
        <f t="shared" si="5"/>
        <v>8955858.5836000033</v>
      </c>
      <c r="H55" s="6">
        <f t="shared" si="5"/>
        <v>8182275.8200000031</v>
      </c>
      <c r="I55" s="6">
        <f t="shared" si="5"/>
        <v>58018.707270000006</v>
      </c>
      <c r="J55" s="6">
        <f t="shared" si="5"/>
        <v>453248602.55432498</v>
      </c>
      <c r="K55" s="6">
        <f t="shared" si="5"/>
        <v>-4291426.0756750107</v>
      </c>
      <c r="L55" s="460"/>
      <c r="M55" s="6"/>
    </row>
    <row r="56" spans="1:13" ht="13">
      <c r="A56" s="2">
        <f t="shared" ref="A56:A79" si="6">A55+1</f>
        <v>31</v>
      </c>
      <c r="B56" s="349" t="s">
        <v>382</v>
      </c>
      <c r="C56" s="350">
        <v>2022</v>
      </c>
      <c r="D56" s="6">
        <f t="shared" ref="D56:K56" si="7">D90+D123+D156+D189+D222+D255+D288+D321+D354+D387+D420</f>
        <v>11180016.357999999</v>
      </c>
      <c r="E56" s="6">
        <f t="shared" si="7"/>
        <v>838501.22684999986</v>
      </c>
      <c r="F56" s="6">
        <f t="shared" si="7"/>
        <v>12018517.584849998</v>
      </c>
      <c r="G56" s="6">
        <f t="shared" si="7"/>
        <v>866694.16299999994</v>
      </c>
      <c r="H56" s="6">
        <f t="shared" si="7"/>
        <v>0</v>
      </c>
      <c r="I56" s="6">
        <f t="shared" si="7"/>
        <v>65002.062225000001</v>
      </c>
      <c r="J56" s="6">
        <f t="shared" si="7"/>
        <v>464335423.91395003</v>
      </c>
      <c r="K56" s="6">
        <f t="shared" si="7"/>
        <v>6795395.283950015</v>
      </c>
      <c r="L56" s="460"/>
      <c r="M56" s="6"/>
    </row>
    <row r="57" spans="1:13" ht="13">
      <c r="A57" s="2">
        <f t="shared" si="6"/>
        <v>32</v>
      </c>
      <c r="B57" s="349" t="s">
        <v>383</v>
      </c>
      <c r="C57" s="350">
        <v>2022</v>
      </c>
      <c r="D57" s="6">
        <f t="shared" ref="D57:K57" si="8">D91+D124+D157+D190+D223+D256+D289+D322+D355+D388+D421</f>
        <v>6281802.6301999995</v>
      </c>
      <c r="E57" s="6">
        <f t="shared" si="8"/>
        <v>471135.19726499991</v>
      </c>
      <c r="F57" s="6">
        <f t="shared" si="8"/>
        <v>6752937.8274649996</v>
      </c>
      <c r="G57" s="6">
        <f t="shared" si="8"/>
        <v>745468.19519999996</v>
      </c>
      <c r="H57" s="6">
        <f t="shared" si="8"/>
        <v>0</v>
      </c>
      <c r="I57" s="6">
        <f t="shared" si="8"/>
        <v>55910.11464</v>
      </c>
      <c r="J57" s="6">
        <f t="shared" si="8"/>
        <v>470286983.431575</v>
      </c>
      <c r="K57" s="6">
        <f t="shared" si="8"/>
        <v>12746954.801575024</v>
      </c>
      <c r="L57" s="460"/>
      <c r="M57" s="6"/>
    </row>
    <row r="58" spans="1:13" ht="13">
      <c r="A58" s="2">
        <f t="shared" si="6"/>
        <v>33</v>
      </c>
      <c r="B58" s="349" t="s">
        <v>384</v>
      </c>
      <c r="C58" s="350">
        <v>2022</v>
      </c>
      <c r="D58" s="6">
        <f t="shared" ref="D58:K58" si="9">D92+D125+D158+D191+D224+D257+D290+D323+D356+D389+D422</f>
        <v>7891662.9000000004</v>
      </c>
      <c r="E58" s="6">
        <f t="shared" si="9"/>
        <v>591874.71749999991</v>
      </c>
      <c r="F58" s="6">
        <f t="shared" si="9"/>
        <v>8483537.6174999997</v>
      </c>
      <c r="G58" s="6">
        <f t="shared" si="9"/>
        <v>570141</v>
      </c>
      <c r="H58" s="6">
        <f t="shared" si="9"/>
        <v>0</v>
      </c>
      <c r="I58" s="6">
        <f t="shared" si="9"/>
        <v>42760.574999999997</v>
      </c>
      <c r="J58" s="6">
        <f t="shared" si="9"/>
        <v>478157619.47407502</v>
      </c>
      <c r="K58" s="6">
        <f t="shared" si="9"/>
        <v>20617590.84407502</v>
      </c>
      <c r="L58" s="460"/>
      <c r="M58" s="6"/>
    </row>
    <row r="59" spans="1:13" ht="13">
      <c r="A59" s="2">
        <f t="shared" si="6"/>
        <v>34</v>
      </c>
      <c r="B59" s="349" t="s">
        <v>385</v>
      </c>
      <c r="C59" s="350">
        <v>2022</v>
      </c>
      <c r="D59" s="6">
        <f t="shared" ref="D59:K59" si="10">D93+D126+D159+D192+D225+D258+D291+D324+D357+D390+D423</f>
        <v>8125775.4000000004</v>
      </c>
      <c r="E59" s="6">
        <f t="shared" si="10"/>
        <v>609433.15499999991</v>
      </c>
      <c r="F59" s="6">
        <f t="shared" si="10"/>
        <v>8735208.5549999997</v>
      </c>
      <c r="G59" s="6">
        <f t="shared" si="10"/>
        <v>898251.14999999967</v>
      </c>
      <c r="H59" s="6">
        <f t="shared" si="10"/>
        <v>483115.14999999962</v>
      </c>
      <c r="I59" s="6">
        <f t="shared" si="10"/>
        <v>31135.200000000004</v>
      </c>
      <c r="J59" s="6">
        <f t="shared" si="10"/>
        <v>485963441.679075</v>
      </c>
      <c r="K59" s="6">
        <f t="shared" si="10"/>
        <v>28423413.049075011</v>
      </c>
      <c r="L59" s="460"/>
      <c r="M59" s="6"/>
    </row>
    <row r="60" spans="1:13" ht="13">
      <c r="A60" s="2">
        <f t="shared" si="6"/>
        <v>35</v>
      </c>
      <c r="B60" s="349" t="s">
        <v>594</v>
      </c>
      <c r="C60" s="350">
        <v>2022</v>
      </c>
      <c r="D60" s="6">
        <f t="shared" ref="D60:K60" si="11">D94+D127+D160+D193+D226+D259+D292+D325+D358+D391+D424</f>
        <v>13474736.9</v>
      </c>
      <c r="E60" s="6">
        <f t="shared" si="11"/>
        <v>1010605.2675000001</v>
      </c>
      <c r="F60" s="6">
        <f t="shared" si="11"/>
        <v>14485342.1675</v>
      </c>
      <c r="G60" s="6">
        <f t="shared" si="11"/>
        <v>100471263.97999999</v>
      </c>
      <c r="H60" s="6">
        <f t="shared" si="11"/>
        <v>92093010.979999989</v>
      </c>
      <c r="I60" s="6">
        <f t="shared" si="11"/>
        <v>628368.97500000102</v>
      </c>
      <c r="J60" s="6">
        <f t="shared" si="11"/>
        <v>399349150.89157504</v>
      </c>
      <c r="K60" s="6">
        <f t="shared" si="11"/>
        <v>-58190877.738424987</v>
      </c>
      <c r="L60" s="460"/>
      <c r="M60" s="6"/>
    </row>
    <row r="61" spans="1:13" ht="13">
      <c r="A61" s="2">
        <f t="shared" si="6"/>
        <v>36</v>
      </c>
      <c r="B61" s="349" t="s">
        <v>387</v>
      </c>
      <c r="C61" s="350">
        <v>2022</v>
      </c>
      <c r="D61" s="6">
        <f t="shared" ref="D61:K61" si="12">D95+D128+D161+D194+D227+D260+D293+D326+D359+D392+D425</f>
        <v>13287641.5</v>
      </c>
      <c r="E61" s="6">
        <f t="shared" si="12"/>
        <v>996573.11249999993</v>
      </c>
      <c r="F61" s="6">
        <f t="shared" si="12"/>
        <v>14284214.612500001</v>
      </c>
      <c r="G61" s="6">
        <f t="shared" si="12"/>
        <v>2083296.3900000001</v>
      </c>
      <c r="H61" s="6">
        <f t="shared" si="12"/>
        <v>215268.39000000016</v>
      </c>
      <c r="I61" s="6">
        <f t="shared" si="12"/>
        <v>140102.1</v>
      </c>
      <c r="J61" s="6">
        <f t="shared" si="12"/>
        <v>411409967.01407504</v>
      </c>
      <c r="K61" s="6">
        <f t="shared" si="12"/>
        <v>-46130061.615924992</v>
      </c>
      <c r="L61" s="460"/>
      <c r="M61" s="6"/>
    </row>
    <row r="62" spans="1:13" ht="13">
      <c r="A62" s="2">
        <f t="shared" si="6"/>
        <v>37</v>
      </c>
      <c r="B62" s="349" t="s">
        <v>388</v>
      </c>
      <c r="C62" s="350">
        <v>2022</v>
      </c>
      <c r="D62" s="6">
        <f t="shared" ref="D62:K62" si="13">D96+D129+D162+D195+D228+D261+D294+D327+D360+D393+D426</f>
        <v>20919527.092</v>
      </c>
      <c r="E62" s="6">
        <f t="shared" si="13"/>
        <v>1568964.5318999998</v>
      </c>
      <c r="F62" s="6">
        <f t="shared" si="13"/>
        <v>22488491.6239</v>
      </c>
      <c r="G62" s="6">
        <f t="shared" si="13"/>
        <v>1349216</v>
      </c>
      <c r="H62" s="6">
        <f t="shared" si="13"/>
        <v>0</v>
      </c>
      <c r="I62" s="6">
        <f t="shared" si="13"/>
        <v>101191.2</v>
      </c>
      <c r="J62" s="6">
        <f t="shared" si="13"/>
        <v>432448051.43797505</v>
      </c>
      <c r="K62" s="6">
        <f t="shared" si="13"/>
        <v>-25091977.192024998</v>
      </c>
      <c r="L62" s="460"/>
      <c r="M62" s="6"/>
    </row>
    <row r="63" spans="1:13" ht="13">
      <c r="A63" s="2">
        <f t="shared" si="6"/>
        <v>38</v>
      </c>
      <c r="B63" s="349" t="s">
        <v>389</v>
      </c>
      <c r="C63" s="350">
        <v>2022</v>
      </c>
      <c r="D63" s="6">
        <f t="shared" ref="D63:K63" si="14">D97+D130+D163+D196+D229+D262+D295+D328+D361+D394+D427</f>
        <v>25541676.491999999</v>
      </c>
      <c r="E63" s="6">
        <f t="shared" si="14"/>
        <v>1915625.7368999999</v>
      </c>
      <c r="F63" s="6">
        <f t="shared" si="14"/>
        <v>27457302.2289</v>
      </c>
      <c r="G63" s="6">
        <f t="shared" si="14"/>
        <v>2389200.5099999998</v>
      </c>
      <c r="H63" s="6">
        <f t="shared" si="14"/>
        <v>1056270.5099999998</v>
      </c>
      <c r="I63" s="6">
        <f t="shared" si="14"/>
        <v>99969.75</v>
      </c>
      <c r="J63" s="6">
        <f t="shared" si="14"/>
        <v>457416183.40687495</v>
      </c>
      <c r="K63" s="6">
        <f t="shared" si="14"/>
        <v>-123845.22312498838</v>
      </c>
      <c r="L63" s="460"/>
      <c r="M63" s="6"/>
    </row>
    <row r="64" spans="1:13" ht="13">
      <c r="A64" s="2">
        <f t="shared" si="6"/>
        <v>39</v>
      </c>
      <c r="B64" s="349" t="s">
        <v>390</v>
      </c>
      <c r="C64" s="350">
        <v>2022</v>
      </c>
      <c r="D64" s="6">
        <f t="shared" ref="D64:K64" si="15">D98+D131+D164+D197+D230+D263+D296+D329+D362+D395+D428</f>
        <v>13112894.492000001</v>
      </c>
      <c r="E64" s="6">
        <f t="shared" si="15"/>
        <v>983467.08689999999</v>
      </c>
      <c r="F64" s="6">
        <f t="shared" si="15"/>
        <v>14096361.5789</v>
      </c>
      <c r="G64" s="6">
        <f t="shared" si="15"/>
        <v>790000</v>
      </c>
      <c r="H64" s="6">
        <f t="shared" si="15"/>
        <v>0</v>
      </c>
      <c r="I64" s="6">
        <f t="shared" si="15"/>
        <v>59250</v>
      </c>
      <c r="J64" s="6">
        <f t="shared" si="15"/>
        <v>470663294.98577499</v>
      </c>
      <c r="K64" s="6">
        <f t="shared" si="15"/>
        <v>13123266.355775006</v>
      </c>
      <c r="L64" s="460"/>
      <c r="M64" s="6"/>
    </row>
    <row r="65" spans="1:13" ht="13">
      <c r="A65" s="2">
        <f t="shared" si="6"/>
        <v>40</v>
      </c>
      <c r="B65" s="349" t="s">
        <v>391</v>
      </c>
      <c r="C65" s="350">
        <v>2022</v>
      </c>
      <c r="D65" s="6">
        <f t="shared" ref="D65:K65" si="16">D99+D132+D165+D198+D231+D264+D297+D330+D363+D396+D429</f>
        <v>12982421.622</v>
      </c>
      <c r="E65" s="6">
        <f t="shared" si="16"/>
        <v>973681.62164999987</v>
      </c>
      <c r="F65" s="6">
        <f t="shared" si="16"/>
        <v>13956103.243649999</v>
      </c>
      <c r="G65" s="6">
        <f t="shared" si="16"/>
        <v>983000</v>
      </c>
      <c r="H65" s="6">
        <f t="shared" si="16"/>
        <v>0</v>
      </c>
      <c r="I65" s="6">
        <f t="shared" si="16"/>
        <v>73725</v>
      </c>
      <c r="J65" s="6">
        <f t="shared" si="16"/>
        <v>483562673.22942495</v>
      </c>
      <c r="K65" s="6">
        <f t="shared" si="16"/>
        <v>26022644.599424988</v>
      </c>
      <c r="L65" s="460"/>
      <c r="M65" s="6"/>
    </row>
    <row r="66" spans="1:13" ht="13">
      <c r="A66" s="2">
        <f t="shared" si="6"/>
        <v>41</v>
      </c>
      <c r="B66" s="349" t="s">
        <v>379</v>
      </c>
      <c r="C66" s="350">
        <v>2022</v>
      </c>
      <c r="D66" s="6">
        <f t="shared" ref="D66:K66" si="17">D100+D133+D166+D199+D232+D265+D298+D331+D364+D397+D430</f>
        <v>21149495.667399999</v>
      </c>
      <c r="E66" s="6">
        <f t="shared" si="17"/>
        <v>1586212.175055</v>
      </c>
      <c r="F66" s="6">
        <f t="shared" si="17"/>
        <v>22735707.842455</v>
      </c>
      <c r="G66" s="6">
        <f t="shared" si="17"/>
        <v>282942823.8287102</v>
      </c>
      <c r="H66" s="6">
        <f t="shared" si="17"/>
        <v>194263290.67431018</v>
      </c>
      <c r="I66" s="6">
        <f t="shared" si="17"/>
        <v>6650964.9865800012</v>
      </c>
      <c r="J66" s="6">
        <f t="shared" si="17"/>
        <v>216704592.2565898</v>
      </c>
      <c r="K66" s="6">
        <f t="shared" si="17"/>
        <v>-240835436.37341017</v>
      </c>
      <c r="L66" s="460"/>
      <c r="M66" s="6"/>
    </row>
    <row r="67" spans="1:13" ht="13">
      <c r="A67" s="2">
        <f t="shared" si="6"/>
        <v>42</v>
      </c>
      <c r="B67" s="349" t="s">
        <v>381</v>
      </c>
      <c r="C67" s="350">
        <v>2023</v>
      </c>
      <c r="D67" s="6">
        <f t="shared" ref="D67:K67" si="18">D101+D134+D167+D200+D233+D266+D299+D332+D365+D398+D431</f>
        <v>7869481</v>
      </c>
      <c r="E67" s="6">
        <f t="shared" si="18"/>
        <v>590211.07499999995</v>
      </c>
      <c r="F67" s="6">
        <f t="shared" si="18"/>
        <v>8459692.0749999993</v>
      </c>
      <c r="G67" s="6">
        <f t="shared" si="18"/>
        <v>470000</v>
      </c>
      <c r="H67" s="6">
        <f t="shared" si="18"/>
        <v>0</v>
      </c>
      <c r="I67" s="6">
        <f t="shared" si="18"/>
        <v>35250</v>
      </c>
      <c r="J67" s="6">
        <f t="shared" si="18"/>
        <v>224659034.33158982</v>
      </c>
      <c r="K67" s="6">
        <f t="shared" si="18"/>
        <v>-232880994.29841018</v>
      </c>
      <c r="L67" s="460"/>
      <c r="M67" s="6"/>
    </row>
    <row r="68" spans="1:13" ht="13">
      <c r="A68" s="2">
        <f t="shared" si="6"/>
        <v>43</v>
      </c>
      <c r="B68" s="349" t="s">
        <v>382</v>
      </c>
      <c r="C68" s="350">
        <v>2023</v>
      </c>
      <c r="D68" s="6">
        <f t="shared" ref="D68:K68" si="19">D102+D135+D168+D201+D234+D267+D300+D333+D366+D399+D432</f>
        <v>8442081</v>
      </c>
      <c r="E68" s="6">
        <f t="shared" si="19"/>
        <v>633156.07499999995</v>
      </c>
      <c r="F68" s="6">
        <f t="shared" si="19"/>
        <v>9075237.0749999993</v>
      </c>
      <c r="G68" s="6">
        <f t="shared" si="19"/>
        <v>570000</v>
      </c>
      <c r="H68" s="6">
        <f t="shared" si="19"/>
        <v>0</v>
      </c>
      <c r="I68" s="6">
        <f t="shared" si="19"/>
        <v>42750</v>
      </c>
      <c r="J68" s="6">
        <f t="shared" si="19"/>
        <v>233121521.40658981</v>
      </c>
      <c r="K68" s="6">
        <f t="shared" si="19"/>
        <v>-224418507.22341016</v>
      </c>
      <c r="L68" s="460"/>
      <c r="M68" s="6"/>
    </row>
    <row r="69" spans="1:13" ht="13">
      <c r="A69" s="2">
        <f t="shared" si="6"/>
        <v>44</v>
      </c>
      <c r="B69" s="349" t="s">
        <v>383</v>
      </c>
      <c r="C69" s="350">
        <v>2023</v>
      </c>
      <c r="D69" s="6">
        <f t="shared" ref="D69:K69" si="20">D103+D136+D169+D202+D235+D268+D301+D334+D367+D400+D433</f>
        <v>8752081</v>
      </c>
      <c r="E69" s="6">
        <f t="shared" si="20"/>
        <v>656406.07499999995</v>
      </c>
      <c r="F69" s="6">
        <f t="shared" si="20"/>
        <v>9408487.0749999993</v>
      </c>
      <c r="G69" s="6">
        <f t="shared" si="20"/>
        <v>51236675.530000001</v>
      </c>
      <c r="H69" s="6">
        <f t="shared" si="20"/>
        <v>6189635.5300000012</v>
      </c>
      <c r="I69" s="6">
        <f t="shared" si="20"/>
        <v>3378528</v>
      </c>
      <c r="J69" s="6">
        <f t="shared" si="20"/>
        <v>187914804.95158982</v>
      </c>
      <c r="K69" s="6">
        <f t="shared" si="20"/>
        <v>-269625223.67841017</v>
      </c>
      <c r="L69" s="460"/>
      <c r="M69" s="6"/>
    </row>
    <row r="70" spans="1:13" ht="13">
      <c r="A70" s="2">
        <f t="shared" si="6"/>
        <v>45</v>
      </c>
      <c r="B70" s="349" t="s">
        <v>384</v>
      </c>
      <c r="C70" s="350">
        <v>2023</v>
      </c>
      <c r="D70" s="6">
        <f t="shared" ref="D70:K70" si="21">D104+D137+D170+D203+D236+D269+D302+D335+D368+D401+D434</f>
        <v>8892081</v>
      </c>
      <c r="E70" s="6">
        <f t="shared" si="21"/>
        <v>666906.07499999995</v>
      </c>
      <c r="F70" s="6">
        <f t="shared" si="21"/>
        <v>9558987.0749999993</v>
      </c>
      <c r="G70" s="6">
        <f t="shared" si="21"/>
        <v>5730570</v>
      </c>
      <c r="H70" s="6">
        <f t="shared" si="21"/>
        <v>0</v>
      </c>
      <c r="I70" s="6">
        <f t="shared" si="21"/>
        <v>429792.75</v>
      </c>
      <c r="J70" s="6">
        <f t="shared" si="21"/>
        <v>191313429.27658981</v>
      </c>
      <c r="K70" s="6">
        <f t="shared" si="21"/>
        <v>-266226599.35341015</v>
      </c>
      <c r="L70" s="460"/>
      <c r="M70" s="6"/>
    </row>
    <row r="71" spans="1:13" ht="13">
      <c r="A71" s="2">
        <f t="shared" si="6"/>
        <v>46</v>
      </c>
      <c r="B71" s="349" t="s">
        <v>385</v>
      </c>
      <c r="C71" s="350">
        <v>2023</v>
      </c>
      <c r="D71" s="6">
        <f t="shared" ref="D71:K71" si="22">D105+D138+D171+D204+D237+D270+D303+D336+D369+D402+D435</f>
        <v>9054081</v>
      </c>
      <c r="E71" s="6">
        <f t="shared" si="22"/>
        <v>679056.07499999995</v>
      </c>
      <c r="F71" s="6">
        <f t="shared" si="22"/>
        <v>9733137.0749999993</v>
      </c>
      <c r="G71" s="6">
        <f t="shared" si="22"/>
        <v>5812570</v>
      </c>
      <c r="H71" s="6">
        <f t="shared" si="22"/>
        <v>0</v>
      </c>
      <c r="I71" s="6">
        <f t="shared" si="22"/>
        <v>435942.75</v>
      </c>
      <c r="J71" s="6">
        <f t="shared" si="22"/>
        <v>194798053.6015898</v>
      </c>
      <c r="K71" s="6">
        <f t="shared" si="22"/>
        <v>-262741975.02841017</v>
      </c>
      <c r="L71" s="460"/>
      <c r="M71" s="6"/>
    </row>
    <row r="72" spans="1:13" ht="13">
      <c r="A72" s="2">
        <f t="shared" si="6"/>
        <v>47</v>
      </c>
      <c r="B72" s="349" t="s">
        <v>594</v>
      </c>
      <c r="C72" s="350">
        <v>2023</v>
      </c>
      <c r="D72" s="6">
        <f t="shared" ref="D72:K72" si="23">D106+D139+D172+D205+D238+D271+D304+D337+D370+D403+D436</f>
        <v>9576081</v>
      </c>
      <c r="E72" s="6">
        <f t="shared" si="23"/>
        <v>718206.07499999995</v>
      </c>
      <c r="F72" s="6">
        <f t="shared" si="23"/>
        <v>10294287.074999999</v>
      </c>
      <c r="G72" s="6">
        <f t="shared" si="23"/>
        <v>120235065.94999985</v>
      </c>
      <c r="H72" s="6">
        <f t="shared" si="23"/>
        <v>94439495.949999854</v>
      </c>
      <c r="I72" s="6">
        <f t="shared" si="23"/>
        <v>1934667.75</v>
      </c>
      <c r="J72" s="6">
        <f t="shared" si="23"/>
        <v>82922606.976589978</v>
      </c>
      <c r="K72" s="6">
        <f t="shared" si="23"/>
        <v>-374617421.65341002</v>
      </c>
      <c r="L72" s="460"/>
      <c r="M72" s="6"/>
    </row>
    <row r="73" spans="1:13" ht="13">
      <c r="A73" s="2">
        <f t="shared" si="6"/>
        <v>48</v>
      </c>
      <c r="B73" s="349" t="s">
        <v>387</v>
      </c>
      <c r="C73" s="350">
        <v>2023</v>
      </c>
      <c r="D73" s="6">
        <f t="shared" ref="D73:K73" si="24">D107+D140+D173+D206+D239+D272+D305+D338+D371+D404+D437</f>
        <v>9616081</v>
      </c>
      <c r="E73" s="6">
        <f t="shared" si="24"/>
        <v>721206.07499999995</v>
      </c>
      <c r="F73" s="6">
        <f t="shared" si="24"/>
        <v>10337287.074999999</v>
      </c>
      <c r="G73" s="6">
        <f t="shared" si="24"/>
        <v>20654314.830000032</v>
      </c>
      <c r="H73" s="6">
        <f t="shared" si="24"/>
        <v>13449744.830000034</v>
      </c>
      <c r="I73" s="6">
        <f t="shared" si="24"/>
        <v>540342.74999999977</v>
      </c>
      <c r="J73" s="6">
        <f t="shared" si="24"/>
        <v>72065236.471589953</v>
      </c>
      <c r="K73" s="6">
        <f t="shared" si="24"/>
        <v>-385474792.15841007</v>
      </c>
      <c r="L73" s="460"/>
      <c r="M73" s="6"/>
    </row>
    <row r="74" spans="1:13" ht="13">
      <c r="A74" s="2">
        <f t="shared" si="6"/>
        <v>49</v>
      </c>
      <c r="B74" s="349" t="s">
        <v>388</v>
      </c>
      <c r="C74" s="350">
        <v>2023</v>
      </c>
      <c r="D74" s="6">
        <f>D108+D141+D174+D207+D240+D273+D306+D339+D372+D405+D438</f>
        <v>9306081</v>
      </c>
      <c r="E74" s="6">
        <f t="shared" ref="E74:K74" si="25">E108+E141+E174+E207+E240+E273+E306+E339+E372+E405+E438</f>
        <v>697956.07499999995</v>
      </c>
      <c r="F74" s="6">
        <f t="shared" si="25"/>
        <v>10004037.074999999</v>
      </c>
      <c r="G74" s="6">
        <f t="shared" si="25"/>
        <v>8870702.5199999996</v>
      </c>
      <c r="H74" s="6">
        <f t="shared" si="25"/>
        <v>1071879.5200000005</v>
      </c>
      <c r="I74" s="6">
        <f t="shared" si="25"/>
        <v>584911.72499999998</v>
      </c>
      <c r="J74" s="6">
        <f t="shared" si="25"/>
        <v>72613659.301589936</v>
      </c>
      <c r="K74" s="6">
        <f t="shared" si="25"/>
        <v>-384926369.32841003</v>
      </c>
      <c r="L74" s="460"/>
      <c r="M74" s="6"/>
    </row>
    <row r="75" spans="1:13" ht="13">
      <c r="A75" s="2">
        <f t="shared" si="6"/>
        <v>50</v>
      </c>
      <c r="B75" s="349" t="s">
        <v>389</v>
      </c>
      <c r="C75" s="350">
        <v>2023</v>
      </c>
      <c r="D75" s="6">
        <f t="shared" ref="D75:K75" si="26">D109+D142+D175+D208+D241+D274+D307+D340+D373+D406+D439</f>
        <v>8828081</v>
      </c>
      <c r="E75" s="6">
        <f t="shared" si="26"/>
        <v>662106.07499999995</v>
      </c>
      <c r="F75" s="6">
        <f t="shared" si="26"/>
        <v>9490187.0749999993</v>
      </c>
      <c r="G75" s="6">
        <f t="shared" si="26"/>
        <v>6416570</v>
      </c>
      <c r="H75" s="6">
        <f t="shared" si="26"/>
        <v>0</v>
      </c>
      <c r="I75" s="6">
        <f t="shared" si="26"/>
        <v>481242.75</v>
      </c>
      <c r="J75" s="6">
        <f t="shared" si="26"/>
        <v>75206033.626589954</v>
      </c>
      <c r="K75" s="6">
        <f t="shared" si="26"/>
        <v>-382333995.00341004</v>
      </c>
      <c r="L75" s="460"/>
      <c r="M75" s="6"/>
    </row>
    <row r="76" spans="1:13" ht="13">
      <c r="A76" s="2">
        <f t="shared" si="6"/>
        <v>51</v>
      </c>
      <c r="B76" s="349" t="s">
        <v>390</v>
      </c>
      <c r="C76" s="350">
        <v>2023</v>
      </c>
      <c r="D76" s="6">
        <f t="shared" ref="D76:K76" si="27">D110+D143+D176+D209+D242+D275+D308+D341+D374+D407+D440</f>
        <v>34278081</v>
      </c>
      <c r="E76" s="6">
        <f t="shared" si="27"/>
        <v>2570856.0750000002</v>
      </c>
      <c r="F76" s="6">
        <f t="shared" si="27"/>
        <v>36848937.075000003</v>
      </c>
      <c r="G76" s="6">
        <f t="shared" si="27"/>
        <v>31866570</v>
      </c>
      <c r="H76" s="6">
        <f t="shared" si="27"/>
        <v>0</v>
      </c>
      <c r="I76" s="6">
        <f t="shared" si="27"/>
        <v>2389992.75</v>
      </c>
      <c r="J76" s="6">
        <f t="shared" si="27"/>
        <v>77798407.951589942</v>
      </c>
      <c r="K76" s="6">
        <f t="shared" si="27"/>
        <v>-379741620.67841005</v>
      </c>
      <c r="L76" s="460"/>
      <c r="M76" s="6"/>
    </row>
    <row r="77" spans="1:13" ht="13">
      <c r="A77" s="2">
        <f t="shared" si="6"/>
        <v>52</v>
      </c>
      <c r="B77" s="349" t="s">
        <v>391</v>
      </c>
      <c r="C77" s="350">
        <v>2023</v>
      </c>
      <c r="D77" s="6">
        <f t="shared" ref="D77:K77" si="28">D111+D144+D177+D210+D243+D276+D309+D342+D375+D408+D441</f>
        <v>34134135</v>
      </c>
      <c r="E77" s="6">
        <f t="shared" si="28"/>
        <v>2560060.125</v>
      </c>
      <c r="F77" s="6">
        <f t="shared" si="28"/>
        <v>36694195.125</v>
      </c>
      <c r="G77" s="6">
        <f t="shared" si="28"/>
        <v>31740570</v>
      </c>
      <c r="H77" s="6">
        <f t="shared" si="28"/>
        <v>0</v>
      </c>
      <c r="I77" s="6">
        <f t="shared" si="28"/>
        <v>2380542.75</v>
      </c>
      <c r="J77" s="6">
        <f t="shared" si="28"/>
        <v>80371490.326589957</v>
      </c>
      <c r="K77" s="6">
        <f t="shared" si="28"/>
        <v>-377168538.30341005</v>
      </c>
      <c r="L77" s="460"/>
      <c r="M77" s="6"/>
    </row>
    <row r="78" spans="1:13" ht="13">
      <c r="A78" s="2">
        <f t="shared" si="6"/>
        <v>53</v>
      </c>
      <c r="B78" s="349" t="s">
        <v>379</v>
      </c>
      <c r="C78" s="350">
        <v>2023</v>
      </c>
      <c r="D78" s="6">
        <f t="shared" ref="D78:K78" si="29">D112+D145+D178+D211+D244+D277+D310+D343+D376+D409+D442</f>
        <v>43918190</v>
      </c>
      <c r="E78" s="6">
        <f t="shared" si="29"/>
        <v>3293864.25</v>
      </c>
      <c r="F78" s="6">
        <f t="shared" si="29"/>
        <v>47212054.25</v>
      </c>
      <c r="G78" s="6">
        <f t="shared" si="29"/>
        <v>26179875</v>
      </c>
      <c r="H78" s="6">
        <f t="shared" si="29"/>
        <v>0</v>
      </c>
      <c r="I78" s="6">
        <f t="shared" si="29"/>
        <v>1963490.625</v>
      </c>
      <c r="J78" s="6">
        <f t="shared" si="29"/>
        <v>99440178.951589972</v>
      </c>
      <c r="K78" s="53">
        <f t="shared" si="29"/>
        <v>-358099849.67841005</v>
      </c>
      <c r="L78" s="461"/>
      <c r="M78" s="6"/>
    </row>
    <row r="79" spans="1:13" ht="13">
      <c r="A79" s="2">
        <f t="shared" si="6"/>
        <v>54</v>
      </c>
      <c r="C79" s="371" t="s">
        <v>999</v>
      </c>
      <c r="K79" s="42">
        <f>AVERAGE(K66:K78)</f>
        <v>-318391640.21225625</v>
      </c>
      <c r="L79" s="462"/>
    </row>
    <row r="81" spans="1:11" ht="13">
      <c r="B81" s="354" t="s">
        <v>1000</v>
      </c>
      <c r="F81" s="39" t="s">
        <v>195</v>
      </c>
      <c r="G81" s="258" t="s">
        <v>1001</v>
      </c>
      <c r="H81" s="55"/>
    </row>
    <row r="82" spans="1:11" ht="13">
      <c r="B82" s="34" t="s">
        <v>1002</v>
      </c>
      <c r="D82" s="1116" t="s">
        <v>967</v>
      </c>
      <c r="E82" s="1116"/>
    </row>
    <row r="83" spans="1:11" s="3" customFormat="1" ht="13">
      <c r="D83" s="3" t="s">
        <v>336</v>
      </c>
      <c r="E83" s="3" t="s">
        <v>337</v>
      </c>
      <c r="F83" s="3" t="s">
        <v>338</v>
      </c>
      <c r="G83" s="3" t="s">
        <v>339</v>
      </c>
      <c r="H83" s="3" t="s">
        <v>340</v>
      </c>
      <c r="I83" s="3" t="s">
        <v>341</v>
      </c>
      <c r="J83" s="3" t="s">
        <v>342</v>
      </c>
      <c r="K83" s="3" t="s">
        <v>343</v>
      </c>
    </row>
    <row r="84" spans="1:11" ht="26.15" customHeight="1">
      <c r="D84" s="48"/>
      <c r="E84" s="372" t="s">
        <v>1003</v>
      </c>
      <c r="F84" s="257" t="s">
        <v>1004</v>
      </c>
      <c r="G84" s="257"/>
      <c r="H84" s="48"/>
      <c r="I84" s="372" t="s">
        <v>1005</v>
      </c>
      <c r="J84" s="372" t="s">
        <v>1006</v>
      </c>
      <c r="K84" s="372" t="s">
        <v>1007</v>
      </c>
    </row>
    <row r="85" spans="1:11" ht="13">
      <c r="D85" s="48"/>
      <c r="E85" s="373"/>
      <c r="F85" s="373"/>
      <c r="G85" s="2" t="str">
        <f>G51</f>
        <v>Unloaded</v>
      </c>
      <c r="H85" s="48"/>
      <c r="I85" s="373"/>
      <c r="J85" s="373"/>
      <c r="K85" s="2"/>
    </row>
    <row r="86" spans="1:11" s="2" customFormat="1" ht="13">
      <c r="D86" s="2" t="str">
        <f>D$52</f>
        <v>Forecast</v>
      </c>
      <c r="E86" s="2" t="str">
        <f t="shared" ref="E86:J86" si="30">E$52</f>
        <v>Corporate</v>
      </c>
      <c r="F86" s="2" t="str">
        <f t="shared" si="30"/>
        <v xml:space="preserve">Total </v>
      </c>
      <c r="G86" s="2" t="str">
        <f>G52</f>
        <v>Total</v>
      </c>
      <c r="H86" s="2" t="str">
        <f t="shared" si="30"/>
        <v>Prior Period</v>
      </c>
      <c r="I86" s="2" t="str">
        <f t="shared" si="30"/>
        <v>Over Heads</v>
      </c>
      <c r="J86" s="2" t="str">
        <f t="shared" si="30"/>
        <v>Forecast</v>
      </c>
      <c r="K86" s="2" t="str">
        <f>K$52</f>
        <v>Forecast Period</v>
      </c>
    </row>
    <row r="87" spans="1:11" ht="13">
      <c r="A87" s="30" t="s">
        <v>273</v>
      </c>
      <c r="B87" s="348" t="s">
        <v>371</v>
      </c>
      <c r="C87" s="348" t="s">
        <v>372</v>
      </c>
      <c r="D87" s="3" t="str">
        <f>D$53</f>
        <v>Expenditures</v>
      </c>
      <c r="E87" s="3" t="str">
        <f t="shared" ref="E87:J87" si="31">E$53</f>
        <v>Overheads</v>
      </c>
      <c r="F87" s="3" t="str">
        <f t="shared" si="31"/>
        <v>CWIP Exp</v>
      </c>
      <c r="G87" s="3" t="str">
        <f>G53</f>
        <v>Plant Adds</v>
      </c>
      <c r="H87" s="3" t="str">
        <f t="shared" si="31"/>
        <v>CWIP Closed</v>
      </c>
      <c r="I87" s="3" t="str">
        <f t="shared" si="31"/>
        <v>Closed to PIS</v>
      </c>
      <c r="J87" s="3" t="str">
        <f t="shared" si="31"/>
        <v>Period CWIP</v>
      </c>
      <c r="K87" s="3" t="str">
        <f>K$53</f>
        <v>Incremental CWIP</v>
      </c>
    </row>
    <row r="88" spans="1:11" ht="13">
      <c r="A88" s="2">
        <f>A79+1</f>
        <v>55</v>
      </c>
      <c r="B88" s="349" t="s">
        <v>379</v>
      </c>
      <c r="C88" s="350">
        <v>2021</v>
      </c>
      <c r="D88" s="257" t="s">
        <v>380</v>
      </c>
      <c r="E88" s="257" t="s">
        <v>380</v>
      </c>
      <c r="F88" s="257" t="s">
        <v>380</v>
      </c>
      <c r="G88" s="257" t="s">
        <v>380</v>
      </c>
      <c r="H88" s="257" t="s">
        <v>380</v>
      </c>
      <c r="I88" s="257" t="s">
        <v>380</v>
      </c>
      <c r="J88" s="6">
        <f>E25</f>
        <v>4598499.51</v>
      </c>
      <c r="K88" s="257" t="s">
        <v>380</v>
      </c>
    </row>
    <row r="89" spans="1:11" ht="13">
      <c r="A89" s="2">
        <f>A88+1</f>
        <v>56</v>
      </c>
      <c r="B89" s="349" t="s">
        <v>381</v>
      </c>
      <c r="C89" s="350">
        <v>2022</v>
      </c>
      <c r="D89" s="60">
        <v>21144</v>
      </c>
      <c r="E89" s="6">
        <f>D89*'16-PlantAdditions'!$E$103</f>
        <v>1585.8</v>
      </c>
      <c r="F89" s="6">
        <f>E89+D89</f>
        <v>22729.8</v>
      </c>
      <c r="G89" s="60">
        <v>852</v>
      </c>
      <c r="H89" s="60">
        <v>0</v>
      </c>
      <c r="I89" s="6">
        <f>(G89-H89)*'16-PlantAdditions'!$E$103</f>
        <v>63.9</v>
      </c>
      <c r="J89" s="6">
        <f>J88+F89-G89-I89</f>
        <v>4620313.4099999992</v>
      </c>
      <c r="K89" s="6">
        <f>J89-$J$88</f>
        <v>21813.899999999441</v>
      </c>
    </row>
    <row r="90" spans="1:11" ht="13">
      <c r="A90" s="2">
        <f t="shared" ref="A90:A108" si="32">A89+1</f>
        <v>57</v>
      </c>
      <c r="B90" s="349" t="s">
        <v>382</v>
      </c>
      <c r="C90" s="350">
        <v>2022</v>
      </c>
      <c r="D90" s="60">
        <v>133606.00000000003</v>
      </c>
      <c r="E90" s="6">
        <f>D90*'16-PlantAdditions'!$E$103</f>
        <v>10020.450000000003</v>
      </c>
      <c r="F90" s="6">
        <f t="shared" ref="F90:F112" si="33">E90+D90</f>
        <v>143626.45000000004</v>
      </c>
      <c r="G90" s="60">
        <v>6883</v>
      </c>
      <c r="H90" s="60">
        <v>0</v>
      </c>
      <c r="I90" s="6">
        <f>(G90-H90)*'16-PlantAdditions'!$E$103</f>
        <v>516.22500000000002</v>
      </c>
      <c r="J90" s="6">
        <f t="shared" ref="J90:J108" si="34">J89+F90-G90-I90</f>
        <v>4756540.6349999998</v>
      </c>
      <c r="K90" s="6">
        <f t="shared" ref="K90:K112" si="35">J90-$J$88</f>
        <v>158041.125</v>
      </c>
    </row>
    <row r="91" spans="1:11" ht="13">
      <c r="A91" s="2">
        <f t="shared" si="32"/>
        <v>58</v>
      </c>
      <c r="B91" s="349" t="s">
        <v>383</v>
      </c>
      <c r="C91" s="350">
        <v>2022</v>
      </c>
      <c r="D91" s="60">
        <v>176248</v>
      </c>
      <c r="E91" s="6">
        <f>D91*'16-PlantAdditions'!$E$103</f>
        <v>13218.6</v>
      </c>
      <c r="F91" s="6">
        <f t="shared" si="33"/>
        <v>189466.6</v>
      </c>
      <c r="G91" s="60">
        <v>5689.9999999999991</v>
      </c>
      <c r="H91" s="60">
        <v>0</v>
      </c>
      <c r="I91" s="6">
        <f>(G91-H91)*'16-PlantAdditions'!$E$103</f>
        <v>426.74999999999994</v>
      </c>
      <c r="J91" s="6">
        <f t="shared" si="34"/>
        <v>4939890.4849999994</v>
      </c>
      <c r="K91" s="6">
        <f>J91-$J$88</f>
        <v>341390.97499999963</v>
      </c>
    </row>
    <row r="92" spans="1:11" ht="13">
      <c r="A92" s="2">
        <f t="shared" si="32"/>
        <v>59</v>
      </c>
      <c r="B92" s="349" t="s">
        <v>384</v>
      </c>
      <c r="C92" s="350">
        <v>2022</v>
      </c>
      <c r="D92" s="60">
        <v>310000</v>
      </c>
      <c r="E92" s="6">
        <f>D92*'16-PlantAdditions'!$E$103</f>
        <v>23250</v>
      </c>
      <c r="F92" s="6">
        <f t="shared" si="33"/>
        <v>333250</v>
      </c>
      <c r="G92" s="60">
        <v>0</v>
      </c>
      <c r="H92" s="60">
        <v>0</v>
      </c>
      <c r="I92" s="6">
        <f>(G92-H92)*'16-PlantAdditions'!$E$103</f>
        <v>0</v>
      </c>
      <c r="J92" s="6">
        <f>J91+F92-G92-I92</f>
        <v>5273140.4849999994</v>
      </c>
      <c r="K92" s="6">
        <f>J92-$J$88</f>
        <v>674640.97499999963</v>
      </c>
    </row>
    <row r="93" spans="1:11" ht="13">
      <c r="A93" s="2">
        <f t="shared" si="32"/>
        <v>60</v>
      </c>
      <c r="B93" s="349" t="s">
        <v>385</v>
      </c>
      <c r="C93" s="350">
        <v>2022</v>
      </c>
      <c r="D93" s="60">
        <v>340000</v>
      </c>
      <c r="E93" s="6">
        <f>D93*'16-PlantAdditions'!$E$103</f>
        <v>25500</v>
      </c>
      <c r="F93" s="6">
        <f t="shared" si="33"/>
        <v>365500</v>
      </c>
      <c r="G93" s="60">
        <v>0</v>
      </c>
      <c r="H93" s="60">
        <v>0</v>
      </c>
      <c r="I93" s="6">
        <f>(G93-H93)*'16-PlantAdditions'!$E$103</f>
        <v>0</v>
      </c>
      <c r="J93" s="6">
        <f t="shared" si="34"/>
        <v>5638640.4849999994</v>
      </c>
      <c r="K93" s="6">
        <f t="shared" si="35"/>
        <v>1040140.9749999996</v>
      </c>
    </row>
    <row r="94" spans="1:11" ht="13">
      <c r="A94" s="2">
        <f t="shared" si="32"/>
        <v>61</v>
      </c>
      <c r="B94" s="349" t="s">
        <v>594</v>
      </c>
      <c r="C94" s="350">
        <v>2022</v>
      </c>
      <c r="D94" s="60">
        <v>360000</v>
      </c>
      <c r="E94" s="6">
        <f>D94*'16-PlantAdditions'!$E$103</f>
        <v>27000</v>
      </c>
      <c r="F94" s="6">
        <f t="shared" si="33"/>
        <v>387000</v>
      </c>
      <c r="G94" s="60">
        <v>163522.48000000001</v>
      </c>
      <c r="H94" s="60">
        <v>163271.48000000001</v>
      </c>
      <c r="I94" s="6">
        <f>(G94-H94)*'16-PlantAdditions'!$E$103</f>
        <v>18.824999999999999</v>
      </c>
      <c r="J94" s="6">
        <f t="shared" si="34"/>
        <v>5862099.1799999988</v>
      </c>
      <c r="K94" s="6">
        <f t="shared" si="35"/>
        <v>1263599.669999999</v>
      </c>
    </row>
    <row r="95" spans="1:11" ht="13">
      <c r="A95" s="2">
        <f t="shared" si="32"/>
        <v>62</v>
      </c>
      <c r="B95" s="349" t="s">
        <v>387</v>
      </c>
      <c r="C95" s="350">
        <v>2022</v>
      </c>
      <c r="D95" s="60">
        <v>426891</v>
      </c>
      <c r="E95" s="6">
        <f>D95*'16-PlantAdditions'!$E$103</f>
        <v>32016.824999999997</v>
      </c>
      <c r="F95" s="6">
        <f t="shared" si="33"/>
        <v>458907.82500000001</v>
      </c>
      <c r="G95" s="60">
        <v>0</v>
      </c>
      <c r="H95" s="60">
        <v>0</v>
      </c>
      <c r="I95" s="6">
        <f>(G95-H95)*'16-PlantAdditions'!$E$103</f>
        <v>0</v>
      </c>
      <c r="J95" s="6">
        <f t="shared" si="34"/>
        <v>6321007.004999999</v>
      </c>
      <c r="K95" s="6">
        <f t="shared" si="35"/>
        <v>1722507.4949999992</v>
      </c>
    </row>
    <row r="96" spans="1:11" ht="13">
      <c r="A96" s="2">
        <f t="shared" si="32"/>
        <v>63</v>
      </c>
      <c r="B96" s="349" t="s">
        <v>388</v>
      </c>
      <c r="C96" s="350">
        <v>2022</v>
      </c>
      <c r="D96" s="60">
        <v>380000</v>
      </c>
      <c r="E96" s="6">
        <f>D96*'16-PlantAdditions'!$E$103</f>
        <v>28500</v>
      </c>
      <c r="F96" s="6">
        <f t="shared" si="33"/>
        <v>408500</v>
      </c>
      <c r="G96" s="60">
        <v>0</v>
      </c>
      <c r="H96" s="60">
        <v>0</v>
      </c>
      <c r="I96" s="6">
        <f>(G96-H96)*'16-PlantAdditions'!$E$103</f>
        <v>0</v>
      </c>
      <c r="J96" s="6">
        <f t="shared" si="34"/>
        <v>6729507.004999999</v>
      </c>
      <c r="K96" s="6">
        <f t="shared" si="35"/>
        <v>2131007.4949999992</v>
      </c>
    </row>
    <row r="97" spans="1:11" ht="13">
      <c r="A97" s="2">
        <f t="shared" si="32"/>
        <v>64</v>
      </c>
      <c r="B97" s="349" t="s">
        <v>389</v>
      </c>
      <c r="C97" s="350">
        <v>2022</v>
      </c>
      <c r="D97" s="60">
        <v>449741</v>
      </c>
      <c r="E97" s="6">
        <f>D97*'16-PlantAdditions'!$E$103</f>
        <v>33730.574999999997</v>
      </c>
      <c r="F97" s="6">
        <f t="shared" si="33"/>
        <v>483471.57500000001</v>
      </c>
      <c r="G97" s="60">
        <v>0</v>
      </c>
      <c r="H97" s="60">
        <v>0</v>
      </c>
      <c r="I97" s="6">
        <f>(G97-H97)*'16-PlantAdditions'!$E$103</f>
        <v>0</v>
      </c>
      <c r="J97" s="6">
        <f t="shared" si="34"/>
        <v>7212978.5799999991</v>
      </c>
      <c r="K97" s="6">
        <f t="shared" si="35"/>
        <v>2614479.0699999994</v>
      </c>
    </row>
    <row r="98" spans="1:11" ht="13">
      <c r="A98" s="2">
        <f t="shared" si="32"/>
        <v>65</v>
      </c>
      <c r="B98" s="349" t="s">
        <v>390</v>
      </c>
      <c r="C98" s="350">
        <v>2022</v>
      </c>
      <c r="D98" s="60">
        <v>446465</v>
      </c>
      <c r="E98" s="6">
        <f>D98*'16-PlantAdditions'!$E$103</f>
        <v>33484.875</v>
      </c>
      <c r="F98" s="6">
        <f t="shared" si="33"/>
        <v>479949.875</v>
      </c>
      <c r="G98" s="60">
        <v>0</v>
      </c>
      <c r="H98" s="60">
        <v>0</v>
      </c>
      <c r="I98" s="6">
        <f>(G98-H98)*'16-PlantAdditions'!$E$103</f>
        <v>0</v>
      </c>
      <c r="J98" s="6">
        <f t="shared" si="34"/>
        <v>7692928.4549999991</v>
      </c>
      <c r="K98" s="6">
        <f t="shared" si="35"/>
        <v>3094428.9449999994</v>
      </c>
    </row>
    <row r="99" spans="1:11" ht="13">
      <c r="A99" s="2">
        <f t="shared" si="32"/>
        <v>66</v>
      </c>
      <c r="B99" s="349" t="s">
        <v>391</v>
      </c>
      <c r="C99" s="350">
        <v>2022</v>
      </c>
      <c r="D99" s="60">
        <v>426868</v>
      </c>
      <c r="E99" s="6">
        <f>D99*'16-PlantAdditions'!$E$103</f>
        <v>32015.1</v>
      </c>
      <c r="F99" s="6">
        <f t="shared" si="33"/>
        <v>458883.1</v>
      </c>
      <c r="G99" s="60">
        <v>0</v>
      </c>
      <c r="H99" s="60">
        <v>0</v>
      </c>
      <c r="I99" s="6">
        <f>(G99-H99)*'16-PlantAdditions'!$E$103</f>
        <v>0</v>
      </c>
      <c r="J99" s="6">
        <f t="shared" si="34"/>
        <v>8151811.5549999988</v>
      </c>
      <c r="K99" s="6">
        <f t="shared" si="35"/>
        <v>3553312.044999999</v>
      </c>
    </row>
    <row r="100" spans="1:11" ht="13">
      <c r="A100" s="2">
        <f t="shared" si="32"/>
        <v>67</v>
      </c>
      <c r="B100" s="349" t="s">
        <v>379</v>
      </c>
      <c r="C100" s="350">
        <v>2022</v>
      </c>
      <c r="D100" s="60">
        <v>532713</v>
      </c>
      <c r="E100" s="6">
        <f>D100*'16-PlantAdditions'!$E$103</f>
        <v>39953.474999999999</v>
      </c>
      <c r="F100" s="6">
        <f t="shared" si="33"/>
        <v>572666.47499999998</v>
      </c>
      <c r="G100" s="60">
        <v>304384.14</v>
      </c>
      <c r="H100" s="60">
        <v>104384.14</v>
      </c>
      <c r="I100" s="6">
        <f>(G100-H100)*'16-PlantAdditions'!$E$103</f>
        <v>15000</v>
      </c>
      <c r="J100" s="6">
        <f t="shared" si="34"/>
        <v>8405093.8899999987</v>
      </c>
      <c r="K100" s="6">
        <f t="shared" si="35"/>
        <v>3806594.379999999</v>
      </c>
    </row>
    <row r="101" spans="1:11" ht="13">
      <c r="A101" s="2">
        <f t="shared" si="32"/>
        <v>68</v>
      </c>
      <c r="B101" s="349" t="s">
        <v>381</v>
      </c>
      <c r="C101" s="350">
        <v>2023</v>
      </c>
      <c r="D101" s="60">
        <v>5000</v>
      </c>
      <c r="E101" s="6">
        <f>D101*'16-PlantAdditions'!$E$103</f>
        <v>375</v>
      </c>
      <c r="F101" s="6">
        <f t="shared" si="33"/>
        <v>5375</v>
      </c>
      <c r="G101" s="60">
        <v>0</v>
      </c>
      <c r="H101" s="60">
        <v>0</v>
      </c>
      <c r="I101" s="6">
        <f>(G101-H101)*'16-PlantAdditions'!$E$103</f>
        <v>0</v>
      </c>
      <c r="J101" s="6">
        <f t="shared" si="34"/>
        <v>8410468.8899999987</v>
      </c>
      <c r="K101" s="6">
        <f t="shared" si="35"/>
        <v>3811969.379999999</v>
      </c>
    </row>
    <row r="102" spans="1:11" ht="13">
      <c r="A102" s="2">
        <f t="shared" si="32"/>
        <v>69</v>
      </c>
      <c r="B102" s="349" t="s">
        <v>382</v>
      </c>
      <c r="C102" s="350">
        <v>2023</v>
      </c>
      <c r="D102" s="60">
        <v>168000</v>
      </c>
      <c r="E102" s="6">
        <f>D102*'16-PlantAdditions'!$E$103</f>
        <v>12600</v>
      </c>
      <c r="F102" s="6">
        <f t="shared" si="33"/>
        <v>180600</v>
      </c>
      <c r="G102" s="60">
        <v>0</v>
      </c>
      <c r="H102" s="60">
        <v>0</v>
      </c>
      <c r="I102" s="6">
        <f>(G102-H102)*'16-PlantAdditions'!$E$103</f>
        <v>0</v>
      </c>
      <c r="J102" s="6">
        <f t="shared" si="34"/>
        <v>8591068.8899999987</v>
      </c>
      <c r="K102" s="6">
        <f t="shared" si="35"/>
        <v>3992569.379999999</v>
      </c>
    </row>
    <row r="103" spans="1:11" ht="13">
      <c r="A103" s="2">
        <f t="shared" si="32"/>
        <v>70</v>
      </c>
      <c r="B103" s="349" t="s">
        <v>383</v>
      </c>
      <c r="C103" s="350">
        <v>2023</v>
      </c>
      <c r="D103" s="60">
        <v>328000</v>
      </c>
      <c r="E103" s="6">
        <f>D103*'16-PlantAdditions'!$E$103</f>
        <v>24600</v>
      </c>
      <c r="F103" s="6">
        <f t="shared" si="33"/>
        <v>352600</v>
      </c>
      <c r="G103" s="60">
        <v>0</v>
      </c>
      <c r="H103" s="60">
        <v>0</v>
      </c>
      <c r="I103" s="6">
        <f>(G103-H103)*'16-PlantAdditions'!$E$103</f>
        <v>0</v>
      </c>
      <c r="J103" s="6">
        <f t="shared" si="34"/>
        <v>8943668.8899999987</v>
      </c>
      <c r="K103" s="6">
        <f t="shared" si="35"/>
        <v>4345169.379999999</v>
      </c>
    </row>
    <row r="104" spans="1:11" ht="13">
      <c r="A104" s="2">
        <f t="shared" si="32"/>
        <v>71</v>
      </c>
      <c r="B104" s="349" t="s">
        <v>384</v>
      </c>
      <c r="C104" s="350">
        <v>2023</v>
      </c>
      <c r="D104" s="60">
        <v>328000</v>
      </c>
      <c r="E104" s="6">
        <f>D104*'16-PlantAdditions'!$E$103</f>
        <v>24600</v>
      </c>
      <c r="F104" s="6">
        <f t="shared" si="33"/>
        <v>352600</v>
      </c>
      <c r="G104" s="60">
        <v>0</v>
      </c>
      <c r="H104" s="60">
        <v>0</v>
      </c>
      <c r="I104" s="6">
        <f>(G104-H104)*'16-PlantAdditions'!$E$103</f>
        <v>0</v>
      </c>
      <c r="J104" s="6">
        <f t="shared" si="34"/>
        <v>9296268.8899999987</v>
      </c>
      <c r="K104" s="6">
        <f t="shared" si="35"/>
        <v>4697769.379999999</v>
      </c>
    </row>
    <row r="105" spans="1:11" ht="13">
      <c r="A105" s="2">
        <f t="shared" si="32"/>
        <v>72</v>
      </c>
      <c r="B105" s="349" t="s">
        <v>385</v>
      </c>
      <c r="C105" s="350">
        <v>2023</v>
      </c>
      <c r="D105" s="60">
        <v>328000</v>
      </c>
      <c r="E105" s="6">
        <f>D105*'16-PlantAdditions'!$E$103</f>
        <v>24600</v>
      </c>
      <c r="F105" s="6">
        <f t="shared" si="33"/>
        <v>352600</v>
      </c>
      <c r="G105" s="60">
        <v>0</v>
      </c>
      <c r="H105" s="60">
        <v>0</v>
      </c>
      <c r="I105" s="6">
        <f>(G105-H105)*'16-PlantAdditions'!$E$103</f>
        <v>0</v>
      </c>
      <c r="J105" s="6">
        <f t="shared" si="34"/>
        <v>9648868.8899999987</v>
      </c>
      <c r="K105" s="6">
        <f t="shared" si="35"/>
        <v>5050369.379999999</v>
      </c>
    </row>
    <row r="106" spans="1:11" ht="13">
      <c r="A106" s="2">
        <f t="shared" si="32"/>
        <v>73</v>
      </c>
      <c r="B106" s="349" t="s">
        <v>594</v>
      </c>
      <c r="C106" s="350">
        <v>2023</v>
      </c>
      <c r="D106" s="60">
        <v>328000</v>
      </c>
      <c r="E106" s="6">
        <f>D106*'16-PlantAdditions'!$E$103</f>
        <v>24600</v>
      </c>
      <c r="F106" s="6">
        <f t="shared" si="33"/>
        <v>352600</v>
      </c>
      <c r="G106" s="60">
        <v>0</v>
      </c>
      <c r="H106" s="60">
        <v>0</v>
      </c>
      <c r="I106" s="6">
        <f>(G106-H106)*'16-PlantAdditions'!$E$103</f>
        <v>0</v>
      </c>
      <c r="J106" s="6">
        <f t="shared" si="34"/>
        <v>10001468.889999999</v>
      </c>
      <c r="K106" s="6">
        <f t="shared" si="35"/>
        <v>5402969.379999999</v>
      </c>
    </row>
    <row r="107" spans="1:11" ht="13">
      <c r="A107" s="2">
        <f t="shared" si="32"/>
        <v>74</v>
      </c>
      <c r="B107" s="349" t="s">
        <v>387</v>
      </c>
      <c r="C107" s="350">
        <v>2023</v>
      </c>
      <c r="D107" s="60">
        <v>328000</v>
      </c>
      <c r="E107" s="6">
        <f>D107*'16-PlantAdditions'!$E$103</f>
        <v>24600</v>
      </c>
      <c r="F107" s="6">
        <f t="shared" si="33"/>
        <v>352600</v>
      </c>
      <c r="G107" s="60">
        <v>0</v>
      </c>
      <c r="H107" s="60">
        <v>0</v>
      </c>
      <c r="I107" s="6">
        <f>(G107-H107)*'16-PlantAdditions'!$E$103</f>
        <v>0</v>
      </c>
      <c r="J107" s="6">
        <f t="shared" si="34"/>
        <v>10354068.889999999</v>
      </c>
      <c r="K107" s="6">
        <f t="shared" si="35"/>
        <v>5755569.379999999</v>
      </c>
    </row>
    <row r="108" spans="1:11" ht="13">
      <c r="A108" s="2">
        <f t="shared" si="32"/>
        <v>75</v>
      </c>
      <c r="B108" s="349" t="s">
        <v>388</v>
      </c>
      <c r="C108" s="350">
        <v>2023</v>
      </c>
      <c r="D108" s="60">
        <v>328000</v>
      </c>
      <c r="E108" s="6">
        <f>D108*'16-PlantAdditions'!$E$103</f>
        <v>24600</v>
      </c>
      <c r="F108" s="6">
        <f t="shared" si="33"/>
        <v>352600</v>
      </c>
      <c r="G108" s="60">
        <v>0</v>
      </c>
      <c r="H108" s="60">
        <v>0</v>
      </c>
      <c r="I108" s="6">
        <f>(G108-H108)*'16-PlantAdditions'!$E$103</f>
        <v>0</v>
      </c>
      <c r="J108" s="6">
        <f t="shared" si="34"/>
        <v>10706668.889999999</v>
      </c>
      <c r="K108" s="6">
        <f t="shared" si="35"/>
        <v>6108169.379999999</v>
      </c>
    </row>
    <row r="109" spans="1:11" ht="13">
      <c r="A109" s="2">
        <f>A108+1</f>
        <v>76</v>
      </c>
      <c r="B109" s="349" t="s">
        <v>389</v>
      </c>
      <c r="C109" s="350">
        <v>2023</v>
      </c>
      <c r="D109" s="60">
        <v>328000</v>
      </c>
      <c r="E109" s="6">
        <f>D109*'16-PlantAdditions'!$E$103</f>
        <v>24600</v>
      </c>
      <c r="F109" s="6">
        <f t="shared" si="33"/>
        <v>352600</v>
      </c>
      <c r="G109" s="60">
        <v>0</v>
      </c>
      <c r="H109" s="60">
        <v>0</v>
      </c>
      <c r="I109" s="6">
        <f>(G109-H109)*'16-PlantAdditions'!$E$103</f>
        <v>0</v>
      </c>
      <c r="J109" s="6">
        <f>J108+F109-G109-I109</f>
        <v>11059268.889999999</v>
      </c>
      <c r="K109" s="6">
        <f t="shared" si="35"/>
        <v>6460769.379999999</v>
      </c>
    </row>
    <row r="110" spans="1:11" ht="13">
      <c r="A110" s="2">
        <f t="shared" ref="A110:A113" si="36">A109+1</f>
        <v>77</v>
      </c>
      <c r="B110" s="349" t="s">
        <v>390</v>
      </c>
      <c r="C110" s="350">
        <v>2023</v>
      </c>
      <c r="D110" s="60">
        <v>328000</v>
      </c>
      <c r="E110" s="6">
        <f>D110*'16-PlantAdditions'!$E$103</f>
        <v>24600</v>
      </c>
      <c r="F110" s="6">
        <f t="shared" si="33"/>
        <v>352600</v>
      </c>
      <c r="G110" s="60">
        <v>0</v>
      </c>
      <c r="H110" s="60">
        <v>0</v>
      </c>
      <c r="I110" s="6">
        <f>(G110-H110)*'16-PlantAdditions'!$E$103</f>
        <v>0</v>
      </c>
      <c r="J110" s="6">
        <f t="shared" ref="J110:J112" si="37">J109+F110-G110-I110</f>
        <v>11411868.889999999</v>
      </c>
      <c r="K110" s="6">
        <f t="shared" si="35"/>
        <v>6813369.379999999</v>
      </c>
    </row>
    <row r="111" spans="1:11" ht="13">
      <c r="A111" s="2">
        <f t="shared" si="36"/>
        <v>78</v>
      </c>
      <c r="B111" s="349" t="s">
        <v>391</v>
      </c>
      <c r="C111" s="350">
        <v>2023</v>
      </c>
      <c r="D111" s="60">
        <v>310054</v>
      </c>
      <c r="E111" s="6">
        <f>D111*'16-PlantAdditions'!$E$103</f>
        <v>23254.05</v>
      </c>
      <c r="F111" s="6">
        <f t="shared" si="33"/>
        <v>333308.05</v>
      </c>
      <c r="G111" s="60">
        <v>0</v>
      </c>
      <c r="H111" s="60">
        <v>0</v>
      </c>
      <c r="I111" s="6">
        <f>(G111-H111)*'16-PlantAdditions'!$E$103</f>
        <v>0</v>
      </c>
      <c r="J111" s="6">
        <f t="shared" si="37"/>
        <v>11745176.939999999</v>
      </c>
      <c r="K111" s="6">
        <f t="shared" si="35"/>
        <v>7146677.4299999997</v>
      </c>
    </row>
    <row r="112" spans="1:11" ht="13">
      <c r="A112" s="2">
        <f t="shared" si="36"/>
        <v>79</v>
      </c>
      <c r="B112" s="349" t="s">
        <v>379</v>
      </c>
      <c r="C112" s="350">
        <v>2023</v>
      </c>
      <c r="D112" s="60">
        <v>522406.00000000006</v>
      </c>
      <c r="E112" s="6">
        <f>D112*'16-PlantAdditions'!$E$103</f>
        <v>39180.450000000004</v>
      </c>
      <c r="F112" s="6">
        <f t="shared" si="33"/>
        <v>561586.45000000007</v>
      </c>
      <c r="G112" s="60">
        <v>0</v>
      </c>
      <c r="H112" s="60">
        <v>0</v>
      </c>
      <c r="I112" s="6">
        <f>(G112-H112)*'16-PlantAdditions'!$E$103</f>
        <v>0</v>
      </c>
      <c r="J112" s="6">
        <f t="shared" si="37"/>
        <v>12306763.389999999</v>
      </c>
      <c r="K112" s="53">
        <f t="shared" si="35"/>
        <v>7708263.879999999</v>
      </c>
    </row>
    <row r="113" spans="1:11" ht="13">
      <c r="A113" s="2">
        <f t="shared" si="36"/>
        <v>80</v>
      </c>
      <c r="C113" s="371" t="s">
        <v>999</v>
      </c>
      <c r="K113" s="42">
        <f>AVERAGE(K100:K112)</f>
        <v>5469248.4223076906</v>
      </c>
    </row>
    <row r="114" spans="1:11" ht="13">
      <c r="A114" s="2"/>
      <c r="C114" s="371"/>
      <c r="K114" s="42"/>
    </row>
    <row r="115" spans="1:11" ht="13">
      <c r="B115" s="34" t="s">
        <v>1008</v>
      </c>
      <c r="D115" s="1116" t="s">
        <v>1009</v>
      </c>
      <c r="E115" s="1116"/>
    </row>
    <row r="116" spans="1:11" ht="13">
      <c r="A116" s="3"/>
      <c r="B116" s="3"/>
      <c r="C116" s="3"/>
      <c r="D116" s="3" t="s">
        <v>336</v>
      </c>
      <c r="E116" s="3" t="s">
        <v>337</v>
      </c>
      <c r="F116" s="3" t="s">
        <v>338</v>
      </c>
      <c r="G116" s="3" t="s">
        <v>339</v>
      </c>
      <c r="H116" s="3" t="s">
        <v>340</v>
      </c>
      <c r="I116" s="3" t="s">
        <v>341</v>
      </c>
      <c r="J116" s="3" t="s">
        <v>342</v>
      </c>
      <c r="K116" s="3" t="s">
        <v>343</v>
      </c>
    </row>
    <row r="117" spans="1:11" ht="25.5">
      <c r="D117" s="48"/>
      <c r="E117" s="372" t="s">
        <v>1003</v>
      </c>
      <c r="F117" s="257" t="s">
        <v>1004</v>
      </c>
      <c r="G117" s="257"/>
      <c r="H117" s="48"/>
      <c r="I117" s="372" t="s">
        <v>1005</v>
      </c>
      <c r="J117" s="372" t="s">
        <v>1006</v>
      </c>
      <c r="K117" s="372" t="s">
        <v>1007</v>
      </c>
    </row>
    <row r="118" spans="1:11" ht="13">
      <c r="D118" s="48"/>
      <c r="E118" s="48"/>
      <c r="F118" s="48"/>
      <c r="G118" s="2" t="str">
        <f>G51</f>
        <v>Unloaded</v>
      </c>
      <c r="H118" s="48"/>
      <c r="I118" s="48"/>
    </row>
    <row r="119" spans="1:11" ht="13">
      <c r="A119" s="2"/>
      <c r="B119" s="2"/>
      <c r="C119" s="2"/>
      <c r="D119" s="2" t="str">
        <f>D$52</f>
        <v>Forecast</v>
      </c>
      <c r="E119" s="2" t="str">
        <f t="shared" ref="E119:J119" si="38">E$52</f>
        <v>Corporate</v>
      </c>
      <c r="F119" s="2" t="str">
        <f t="shared" si="38"/>
        <v xml:space="preserve">Total </v>
      </c>
      <c r="G119" s="2" t="str">
        <f>G52</f>
        <v>Total</v>
      </c>
      <c r="H119" s="2" t="str">
        <f t="shared" si="38"/>
        <v>Prior Period</v>
      </c>
      <c r="I119" s="2" t="str">
        <f t="shared" si="38"/>
        <v>Over Heads</v>
      </c>
      <c r="J119" s="2" t="str">
        <f t="shared" si="38"/>
        <v>Forecast</v>
      </c>
      <c r="K119" s="2" t="str">
        <f>K$52</f>
        <v>Forecast Period</v>
      </c>
    </row>
    <row r="120" spans="1:11" ht="13">
      <c r="A120" s="30" t="s">
        <v>273</v>
      </c>
      <c r="B120" s="348" t="s">
        <v>371</v>
      </c>
      <c r="C120" s="348" t="s">
        <v>372</v>
      </c>
      <c r="D120" s="3" t="str">
        <f>D$53</f>
        <v>Expenditures</v>
      </c>
      <c r="E120" s="3" t="str">
        <f t="shared" ref="E120:J120" si="39">E$53</f>
        <v>Overheads</v>
      </c>
      <c r="F120" s="3" t="str">
        <f t="shared" si="39"/>
        <v>CWIP Exp</v>
      </c>
      <c r="G120" s="3" t="str">
        <f>G53</f>
        <v>Plant Adds</v>
      </c>
      <c r="H120" s="3" t="str">
        <f t="shared" si="39"/>
        <v>CWIP Closed</v>
      </c>
      <c r="I120" s="3" t="str">
        <f t="shared" si="39"/>
        <v>Closed to PIS</v>
      </c>
      <c r="J120" s="3" t="str">
        <f t="shared" si="39"/>
        <v>Period CWIP</v>
      </c>
      <c r="K120" s="3" t="str">
        <f>K$53</f>
        <v>Incremental CWIP</v>
      </c>
    </row>
    <row r="121" spans="1:11" ht="13">
      <c r="A121" s="2">
        <f>A113+1</f>
        <v>81</v>
      </c>
      <c r="B121" s="349" t="s">
        <v>379</v>
      </c>
      <c r="C121" s="350">
        <v>2021</v>
      </c>
      <c r="D121" s="257" t="s">
        <v>380</v>
      </c>
      <c r="E121" s="257" t="s">
        <v>380</v>
      </c>
      <c r="F121" s="257" t="s">
        <v>380</v>
      </c>
      <c r="G121" s="257" t="s">
        <v>380</v>
      </c>
      <c r="H121" s="257" t="s">
        <v>380</v>
      </c>
      <c r="I121" s="257" t="s">
        <v>380</v>
      </c>
      <c r="J121" s="6">
        <f>F25</f>
        <v>0</v>
      </c>
      <c r="K121" s="257" t="s">
        <v>380</v>
      </c>
    </row>
    <row r="122" spans="1:11" ht="13">
      <c r="A122" s="2">
        <f>A121+1</f>
        <v>82</v>
      </c>
      <c r="B122" s="349" t="s">
        <v>381</v>
      </c>
      <c r="C122" s="350">
        <v>2022</v>
      </c>
      <c r="D122" s="60">
        <v>0</v>
      </c>
      <c r="E122" s="6">
        <f>D122*'16-PlantAdditions'!$E$103</f>
        <v>0</v>
      </c>
      <c r="F122" s="6">
        <f>E122+D122</f>
        <v>0</v>
      </c>
      <c r="G122" s="60">
        <v>0</v>
      </c>
      <c r="H122" s="60">
        <v>0</v>
      </c>
      <c r="I122" s="6">
        <f>(G122-H122)*'16-PlantAdditions'!$E$103</f>
        <v>0</v>
      </c>
      <c r="J122" s="6">
        <f>J121+F122-G122-I122</f>
        <v>0</v>
      </c>
      <c r="K122" s="253">
        <f>J122-$J$121</f>
        <v>0</v>
      </c>
    </row>
    <row r="123" spans="1:11" ht="13">
      <c r="A123" s="2">
        <f t="shared" ref="A123:A146" si="40">A122+1</f>
        <v>83</v>
      </c>
      <c r="B123" s="349" t="s">
        <v>382</v>
      </c>
      <c r="C123" s="350">
        <v>2022</v>
      </c>
      <c r="D123" s="60">
        <v>0</v>
      </c>
      <c r="E123" s="6">
        <f>D123*'16-PlantAdditions'!$E$103</f>
        <v>0</v>
      </c>
      <c r="F123" s="6">
        <f t="shared" ref="F123:F145" si="41">E123+D123</f>
        <v>0</v>
      </c>
      <c r="G123" s="60">
        <v>0</v>
      </c>
      <c r="H123" s="60">
        <v>0</v>
      </c>
      <c r="I123" s="6">
        <f>(G123-H123)*'16-PlantAdditions'!$E$103</f>
        <v>0</v>
      </c>
      <c r="J123" s="6">
        <f t="shared" ref="J123:J145" si="42">J122+F123-G123-I123</f>
        <v>0</v>
      </c>
      <c r="K123" s="253">
        <f t="shared" ref="K123:K145" si="43">J123-$J$121</f>
        <v>0</v>
      </c>
    </row>
    <row r="124" spans="1:11" ht="13">
      <c r="A124" s="2">
        <f t="shared" si="40"/>
        <v>84</v>
      </c>
      <c r="B124" s="349" t="s">
        <v>383</v>
      </c>
      <c r="C124" s="350">
        <v>2022</v>
      </c>
      <c r="D124" s="60">
        <v>0</v>
      </c>
      <c r="E124" s="6">
        <f>D124*'16-PlantAdditions'!$E$103</f>
        <v>0</v>
      </c>
      <c r="F124" s="6">
        <f t="shared" si="41"/>
        <v>0</v>
      </c>
      <c r="G124" s="60">
        <v>0</v>
      </c>
      <c r="H124" s="60">
        <v>0</v>
      </c>
      <c r="I124" s="6">
        <f>(G124-H124)*'16-PlantAdditions'!$E$103</f>
        <v>0</v>
      </c>
      <c r="J124" s="6">
        <f t="shared" si="42"/>
        <v>0</v>
      </c>
      <c r="K124" s="253">
        <f t="shared" si="43"/>
        <v>0</v>
      </c>
    </row>
    <row r="125" spans="1:11" ht="13">
      <c r="A125" s="2">
        <f t="shared" si="40"/>
        <v>85</v>
      </c>
      <c r="B125" s="349" t="s">
        <v>384</v>
      </c>
      <c r="C125" s="350">
        <v>2022</v>
      </c>
      <c r="D125" s="60">
        <v>0</v>
      </c>
      <c r="E125" s="6">
        <f>D125*'16-PlantAdditions'!$E$103</f>
        <v>0</v>
      </c>
      <c r="F125" s="6">
        <f t="shared" si="41"/>
        <v>0</v>
      </c>
      <c r="G125" s="60">
        <v>0</v>
      </c>
      <c r="H125" s="60">
        <v>0</v>
      </c>
      <c r="I125" s="6">
        <f>(G125-H125)*'16-PlantAdditions'!$E$103</f>
        <v>0</v>
      </c>
      <c r="J125" s="6">
        <f t="shared" si="42"/>
        <v>0</v>
      </c>
      <c r="K125" s="253">
        <f t="shared" si="43"/>
        <v>0</v>
      </c>
    </row>
    <row r="126" spans="1:11" ht="13">
      <c r="A126" s="2">
        <f t="shared" si="40"/>
        <v>86</v>
      </c>
      <c r="B126" s="349" t="s">
        <v>385</v>
      </c>
      <c r="C126" s="350">
        <v>2022</v>
      </c>
      <c r="D126" s="60">
        <v>0</v>
      </c>
      <c r="E126" s="6">
        <f>D126*'16-PlantAdditions'!$E$103</f>
        <v>0</v>
      </c>
      <c r="F126" s="6">
        <f t="shared" si="41"/>
        <v>0</v>
      </c>
      <c r="G126" s="60">
        <v>0</v>
      </c>
      <c r="H126" s="60">
        <v>0</v>
      </c>
      <c r="I126" s="6">
        <f>(G126-H126)*'16-PlantAdditions'!$E$103</f>
        <v>0</v>
      </c>
      <c r="J126" s="6">
        <f t="shared" si="42"/>
        <v>0</v>
      </c>
      <c r="K126" s="253">
        <f t="shared" si="43"/>
        <v>0</v>
      </c>
    </row>
    <row r="127" spans="1:11" ht="13">
      <c r="A127" s="2">
        <f t="shared" si="40"/>
        <v>87</v>
      </c>
      <c r="B127" s="349" t="s">
        <v>594</v>
      </c>
      <c r="C127" s="350">
        <v>2022</v>
      </c>
      <c r="D127" s="60">
        <v>0</v>
      </c>
      <c r="E127" s="6">
        <f>D127*'16-PlantAdditions'!$E$103</f>
        <v>0</v>
      </c>
      <c r="F127" s="6">
        <f t="shared" si="41"/>
        <v>0</v>
      </c>
      <c r="G127" s="60">
        <v>0</v>
      </c>
      <c r="H127" s="60">
        <v>0</v>
      </c>
      <c r="I127" s="6">
        <f>(G127-H127)*'16-PlantAdditions'!$E$103</f>
        <v>0</v>
      </c>
      <c r="J127" s="6">
        <f t="shared" si="42"/>
        <v>0</v>
      </c>
      <c r="K127" s="253">
        <f t="shared" si="43"/>
        <v>0</v>
      </c>
    </row>
    <row r="128" spans="1:11" ht="13">
      <c r="A128" s="2">
        <f t="shared" si="40"/>
        <v>88</v>
      </c>
      <c r="B128" s="349" t="s">
        <v>387</v>
      </c>
      <c r="C128" s="350">
        <v>2022</v>
      </c>
      <c r="D128" s="60">
        <v>0</v>
      </c>
      <c r="E128" s="6">
        <f>D128*'16-PlantAdditions'!$E$103</f>
        <v>0</v>
      </c>
      <c r="F128" s="6">
        <f t="shared" si="41"/>
        <v>0</v>
      </c>
      <c r="G128" s="60">
        <v>0</v>
      </c>
      <c r="H128" s="60">
        <v>0</v>
      </c>
      <c r="I128" s="6">
        <f>(G128-H128)*'16-PlantAdditions'!$E$103</f>
        <v>0</v>
      </c>
      <c r="J128" s="6">
        <f t="shared" si="42"/>
        <v>0</v>
      </c>
      <c r="K128" s="253">
        <f t="shared" si="43"/>
        <v>0</v>
      </c>
    </row>
    <row r="129" spans="1:11" ht="13">
      <c r="A129" s="2">
        <f t="shared" si="40"/>
        <v>89</v>
      </c>
      <c r="B129" s="349" t="s">
        <v>388</v>
      </c>
      <c r="C129" s="350">
        <v>2022</v>
      </c>
      <c r="D129" s="60">
        <v>0</v>
      </c>
      <c r="E129" s="6">
        <f>D129*'16-PlantAdditions'!$E$103</f>
        <v>0</v>
      </c>
      <c r="F129" s="6">
        <f t="shared" si="41"/>
        <v>0</v>
      </c>
      <c r="G129" s="60">
        <v>0</v>
      </c>
      <c r="H129" s="60">
        <v>0</v>
      </c>
      <c r="I129" s="6">
        <f>(G129-H129)*'16-PlantAdditions'!$E$103</f>
        <v>0</v>
      </c>
      <c r="J129" s="6">
        <f t="shared" si="42"/>
        <v>0</v>
      </c>
      <c r="K129" s="253">
        <f t="shared" si="43"/>
        <v>0</v>
      </c>
    </row>
    <row r="130" spans="1:11" ht="13">
      <c r="A130" s="2">
        <f t="shared" si="40"/>
        <v>90</v>
      </c>
      <c r="B130" s="349" t="s">
        <v>389</v>
      </c>
      <c r="C130" s="350">
        <v>2022</v>
      </c>
      <c r="D130" s="60">
        <v>0</v>
      </c>
      <c r="E130" s="6">
        <f>D130*'16-PlantAdditions'!$E$103</f>
        <v>0</v>
      </c>
      <c r="F130" s="6">
        <f t="shared" si="41"/>
        <v>0</v>
      </c>
      <c r="G130" s="60">
        <v>0</v>
      </c>
      <c r="H130" s="60">
        <v>0</v>
      </c>
      <c r="I130" s="6">
        <f>(G130-H130)*'16-PlantAdditions'!$E$103</f>
        <v>0</v>
      </c>
      <c r="J130" s="6">
        <f t="shared" si="42"/>
        <v>0</v>
      </c>
      <c r="K130" s="253">
        <f t="shared" si="43"/>
        <v>0</v>
      </c>
    </row>
    <row r="131" spans="1:11" ht="13">
      <c r="A131" s="2">
        <f t="shared" si="40"/>
        <v>91</v>
      </c>
      <c r="B131" s="349" t="s">
        <v>390</v>
      </c>
      <c r="C131" s="350">
        <v>2022</v>
      </c>
      <c r="D131" s="60">
        <v>0</v>
      </c>
      <c r="E131" s="6">
        <f>D131*'16-PlantAdditions'!$E$103</f>
        <v>0</v>
      </c>
      <c r="F131" s="6">
        <f t="shared" si="41"/>
        <v>0</v>
      </c>
      <c r="G131" s="60">
        <v>0</v>
      </c>
      <c r="H131" s="60">
        <v>0</v>
      </c>
      <c r="I131" s="6">
        <f>(G131-H131)*'16-PlantAdditions'!$E$103</f>
        <v>0</v>
      </c>
      <c r="J131" s="6">
        <f t="shared" si="42"/>
        <v>0</v>
      </c>
      <c r="K131" s="253">
        <f t="shared" si="43"/>
        <v>0</v>
      </c>
    </row>
    <row r="132" spans="1:11" ht="13">
      <c r="A132" s="2">
        <f t="shared" si="40"/>
        <v>92</v>
      </c>
      <c r="B132" s="349" t="s">
        <v>391</v>
      </c>
      <c r="C132" s="350">
        <v>2022</v>
      </c>
      <c r="D132" s="60">
        <v>0</v>
      </c>
      <c r="E132" s="6">
        <f>D132*'16-PlantAdditions'!$E$103</f>
        <v>0</v>
      </c>
      <c r="F132" s="6">
        <f t="shared" si="41"/>
        <v>0</v>
      </c>
      <c r="G132" s="60">
        <v>0</v>
      </c>
      <c r="H132" s="60">
        <v>0</v>
      </c>
      <c r="I132" s="6">
        <f>(G132-H132)*'16-PlantAdditions'!$E$103</f>
        <v>0</v>
      </c>
      <c r="J132" s="6">
        <f t="shared" si="42"/>
        <v>0</v>
      </c>
      <c r="K132" s="253">
        <f t="shared" si="43"/>
        <v>0</v>
      </c>
    </row>
    <row r="133" spans="1:11" ht="13">
      <c r="A133" s="2">
        <f t="shared" si="40"/>
        <v>93</v>
      </c>
      <c r="B133" s="349" t="s">
        <v>379</v>
      </c>
      <c r="C133" s="350">
        <v>2022</v>
      </c>
      <c r="D133" s="60">
        <v>0</v>
      </c>
      <c r="E133" s="6">
        <f>D133*'16-PlantAdditions'!$E$103</f>
        <v>0</v>
      </c>
      <c r="F133" s="6">
        <f t="shared" si="41"/>
        <v>0</v>
      </c>
      <c r="G133" s="60">
        <v>0</v>
      </c>
      <c r="H133" s="60">
        <v>0</v>
      </c>
      <c r="I133" s="6">
        <f>(G133-H133)*'16-PlantAdditions'!$E$103</f>
        <v>0</v>
      </c>
      <c r="J133" s="6">
        <f t="shared" si="42"/>
        <v>0</v>
      </c>
      <c r="K133" s="253">
        <f t="shared" si="43"/>
        <v>0</v>
      </c>
    </row>
    <row r="134" spans="1:11" ht="13">
      <c r="A134" s="2">
        <f t="shared" si="40"/>
        <v>94</v>
      </c>
      <c r="B134" s="349" t="s">
        <v>381</v>
      </c>
      <c r="C134" s="350">
        <v>2023</v>
      </c>
      <c r="D134" s="60">
        <v>0</v>
      </c>
      <c r="E134" s="6">
        <f>D134*'16-PlantAdditions'!$E$103</f>
        <v>0</v>
      </c>
      <c r="F134" s="6">
        <f t="shared" si="41"/>
        <v>0</v>
      </c>
      <c r="G134" s="60">
        <v>0</v>
      </c>
      <c r="H134" s="60">
        <v>0</v>
      </c>
      <c r="I134" s="6">
        <f>(G134-H134)*'16-PlantAdditions'!$E$103</f>
        <v>0</v>
      </c>
      <c r="J134" s="6">
        <f t="shared" si="42"/>
        <v>0</v>
      </c>
      <c r="K134" s="253">
        <f t="shared" si="43"/>
        <v>0</v>
      </c>
    </row>
    <row r="135" spans="1:11" ht="13">
      <c r="A135" s="2">
        <f t="shared" si="40"/>
        <v>95</v>
      </c>
      <c r="B135" s="349" t="s">
        <v>382</v>
      </c>
      <c r="C135" s="350">
        <v>2023</v>
      </c>
      <c r="D135" s="60">
        <v>0</v>
      </c>
      <c r="E135" s="6">
        <f>D135*'16-PlantAdditions'!$E$103</f>
        <v>0</v>
      </c>
      <c r="F135" s="6">
        <f t="shared" si="41"/>
        <v>0</v>
      </c>
      <c r="G135" s="60">
        <v>0</v>
      </c>
      <c r="H135" s="60">
        <v>0</v>
      </c>
      <c r="I135" s="6">
        <f>(G135-H135)*'16-PlantAdditions'!$E$103</f>
        <v>0</v>
      </c>
      <c r="J135" s="6">
        <f t="shared" si="42"/>
        <v>0</v>
      </c>
      <c r="K135" s="253">
        <f t="shared" si="43"/>
        <v>0</v>
      </c>
    </row>
    <row r="136" spans="1:11" ht="13">
      <c r="A136" s="2">
        <f t="shared" si="40"/>
        <v>96</v>
      </c>
      <c r="B136" s="349" t="s">
        <v>383</v>
      </c>
      <c r="C136" s="350">
        <v>2023</v>
      </c>
      <c r="D136" s="60">
        <v>0</v>
      </c>
      <c r="E136" s="6">
        <f>D136*'16-PlantAdditions'!$E$103</f>
        <v>0</v>
      </c>
      <c r="F136" s="6">
        <f t="shared" si="41"/>
        <v>0</v>
      </c>
      <c r="G136" s="60">
        <v>0</v>
      </c>
      <c r="H136" s="60">
        <v>0</v>
      </c>
      <c r="I136" s="6">
        <f>(G136-H136)*'16-PlantAdditions'!$E$103</f>
        <v>0</v>
      </c>
      <c r="J136" s="6">
        <f t="shared" si="42"/>
        <v>0</v>
      </c>
      <c r="K136" s="253">
        <f t="shared" si="43"/>
        <v>0</v>
      </c>
    </row>
    <row r="137" spans="1:11" ht="13">
      <c r="A137" s="2">
        <f t="shared" si="40"/>
        <v>97</v>
      </c>
      <c r="B137" s="349" t="s">
        <v>384</v>
      </c>
      <c r="C137" s="350">
        <v>2023</v>
      </c>
      <c r="D137" s="60">
        <v>0</v>
      </c>
      <c r="E137" s="6">
        <f>D137*'16-PlantAdditions'!$E$103</f>
        <v>0</v>
      </c>
      <c r="F137" s="6">
        <f t="shared" si="41"/>
        <v>0</v>
      </c>
      <c r="G137" s="60">
        <v>0</v>
      </c>
      <c r="H137" s="60">
        <v>0</v>
      </c>
      <c r="I137" s="6">
        <f>(G137-H137)*'16-PlantAdditions'!$E$103</f>
        <v>0</v>
      </c>
      <c r="J137" s="6">
        <f t="shared" si="42"/>
        <v>0</v>
      </c>
      <c r="K137" s="253">
        <f t="shared" si="43"/>
        <v>0</v>
      </c>
    </row>
    <row r="138" spans="1:11" ht="13">
      <c r="A138" s="2">
        <f t="shared" si="40"/>
        <v>98</v>
      </c>
      <c r="B138" s="349" t="s">
        <v>385</v>
      </c>
      <c r="C138" s="350">
        <v>2023</v>
      </c>
      <c r="D138" s="60">
        <v>0</v>
      </c>
      <c r="E138" s="6">
        <f>D138*'16-PlantAdditions'!$E$103</f>
        <v>0</v>
      </c>
      <c r="F138" s="6">
        <f t="shared" si="41"/>
        <v>0</v>
      </c>
      <c r="G138" s="60">
        <v>0</v>
      </c>
      <c r="H138" s="60">
        <v>0</v>
      </c>
      <c r="I138" s="6">
        <f>(G138-H138)*'16-PlantAdditions'!$E$103</f>
        <v>0</v>
      </c>
      <c r="J138" s="6">
        <f t="shared" si="42"/>
        <v>0</v>
      </c>
      <c r="K138" s="253">
        <f t="shared" si="43"/>
        <v>0</v>
      </c>
    </row>
    <row r="139" spans="1:11" ht="13">
      <c r="A139" s="2">
        <f t="shared" si="40"/>
        <v>99</v>
      </c>
      <c r="B139" s="349" t="s">
        <v>594</v>
      </c>
      <c r="C139" s="350">
        <v>2023</v>
      </c>
      <c r="D139" s="60">
        <v>0</v>
      </c>
      <c r="E139" s="6">
        <f>D139*'16-PlantAdditions'!$E$103</f>
        <v>0</v>
      </c>
      <c r="F139" s="6">
        <f t="shared" si="41"/>
        <v>0</v>
      </c>
      <c r="G139" s="60">
        <v>0</v>
      </c>
      <c r="H139" s="60">
        <v>0</v>
      </c>
      <c r="I139" s="6">
        <f>(G139-H139)*'16-PlantAdditions'!$E$103</f>
        <v>0</v>
      </c>
      <c r="J139" s="6">
        <f t="shared" si="42"/>
        <v>0</v>
      </c>
      <c r="K139" s="253">
        <f t="shared" si="43"/>
        <v>0</v>
      </c>
    </row>
    <row r="140" spans="1:11" ht="13">
      <c r="A140" s="2">
        <f t="shared" si="40"/>
        <v>100</v>
      </c>
      <c r="B140" s="349" t="s">
        <v>387</v>
      </c>
      <c r="C140" s="350">
        <v>2023</v>
      </c>
      <c r="D140" s="60">
        <v>0</v>
      </c>
      <c r="E140" s="6">
        <f>D140*'16-PlantAdditions'!$E$103</f>
        <v>0</v>
      </c>
      <c r="F140" s="6">
        <f t="shared" si="41"/>
        <v>0</v>
      </c>
      <c r="G140" s="60">
        <v>0</v>
      </c>
      <c r="H140" s="60">
        <v>0</v>
      </c>
      <c r="I140" s="6">
        <f>(G140-H140)*'16-PlantAdditions'!$E$103</f>
        <v>0</v>
      </c>
      <c r="J140" s="6">
        <f t="shared" si="42"/>
        <v>0</v>
      </c>
      <c r="K140" s="253">
        <f t="shared" si="43"/>
        <v>0</v>
      </c>
    </row>
    <row r="141" spans="1:11" ht="13">
      <c r="A141" s="2">
        <f t="shared" si="40"/>
        <v>101</v>
      </c>
      <c r="B141" s="349" t="s">
        <v>388</v>
      </c>
      <c r="C141" s="350">
        <v>2023</v>
      </c>
      <c r="D141" s="60">
        <v>0</v>
      </c>
      <c r="E141" s="6">
        <f>D141*'16-PlantAdditions'!$E$103</f>
        <v>0</v>
      </c>
      <c r="F141" s="6">
        <f t="shared" si="41"/>
        <v>0</v>
      </c>
      <c r="G141" s="60">
        <v>0</v>
      </c>
      <c r="H141" s="60">
        <v>0</v>
      </c>
      <c r="I141" s="6">
        <f>(G141-H141)*'16-PlantAdditions'!$E$103</f>
        <v>0</v>
      </c>
      <c r="J141" s="6">
        <f t="shared" si="42"/>
        <v>0</v>
      </c>
      <c r="K141" s="253">
        <f t="shared" si="43"/>
        <v>0</v>
      </c>
    </row>
    <row r="142" spans="1:11" ht="13">
      <c r="A142" s="2">
        <f t="shared" si="40"/>
        <v>102</v>
      </c>
      <c r="B142" s="349" t="s">
        <v>389</v>
      </c>
      <c r="C142" s="350">
        <v>2023</v>
      </c>
      <c r="D142" s="60">
        <v>0</v>
      </c>
      <c r="E142" s="6">
        <f>D142*'16-PlantAdditions'!$E$103</f>
        <v>0</v>
      </c>
      <c r="F142" s="6">
        <f t="shared" si="41"/>
        <v>0</v>
      </c>
      <c r="G142" s="60">
        <v>0</v>
      </c>
      <c r="H142" s="60">
        <v>0</v>
      </c>
      <c r="I142" s="6">
        <f>(G142-H142)*'16-PlantAdditions'!$E$103</f>
        <v>0</v>
      </c>
      <c r="J142" s="6">
        <f t="shared" si="42"/>
        <v>0</v>
      </c>
      <c r="K142" s="253">
        <f t="shared" si="43"/>
        <v>0</v>
      </c>
    </row>
    <row r="143" spans="1:11" ht="13">
      <c r="A143" s="2">
        <f t="shared" si="40"/>
        <v>103</v>
      </c>
      <c r="B143" s="349" t="s">
        <v>390</v>
      </c>
      <c r="C143" s="350">
        <v>2023</v>
      </c>
      <c r="D143" s="60">
        <v>0</v>
      </c>
      <c r="E143" s="6">
        <f>D143*'16-PlantAdditions'!$E$103</f>
        <v>0</v>
      </c>
      <c r="F143" s="6">
        <f t="shared" si="41"/>
        <v>0</v>
      </c>
      <c r="G143" s="60">
        <v>0</v>
      </c>
      <c r="H143" s="60">
        <v>0</v>
      </c>
      <c r="I143" s="6">
        <f>(G143-H143)*'16-PlantAdditions'!$E$103</f>
        <v>0</v>
      </c>
      <c r="J143" s="6">
        <f t="shared" si="42"/>
        <v>0</v>
      </c>
      <c r="K143" s="253">
        <f t="shared" si="43"/>
        <v>0</v>
      </c>
    </row>
    <row r="144" spans="1:11" ht="13">
      <c r="A144" s="2">
        <f t="shared" si="40"/>
        <v>104</v>
      </c>
      <c r="B144" s="349" t="s">
        <v>391</v>
      </c>
      <c r="C144" s="350">
        <v>2023</v>
      </c>
      <c r="D144" s="60">
        <v>0</v>
      </c>
      <c r="E144" s="6">
        <f>D144*'16-PlantAdditions'!$E$103</f>
        <v>0</v>
      </c>
      <c r="F144" s="6">
        <f t="shared" si="41"/>
        <v>0</v>
      </c>
      <c r="G144" s="60">
        <v>0</v>
      </c>
      <c r="H144" s="60">
        <v>0</v>
      </c>
      <c r="I144" s="6">
        <f>(G144-H144)*'16-PlantAdditions'!$E$103</f>
        <v>0</v>
      </c>
      <c r="J144" s="6">
        <f t="shared" si="42"/>
        <v>0</v>
      </c>
      <c r="K144" s="253">
        <f t="shared" si="43"/>
        <v>0</v>
      </c>
    </row>
    <row r="145" spans="1:11" ht="13">
      <c r="A145" s="2">
        <f t="shared" si="40"/>
        <v>105</v>
      </c>
      <c r="B145" s="349" t="s">
        <v>379</v>
      </c>
      <c r="C145" s="350">
        <v>2023</v>
      </c>
      <c r="D145" s="60">
        <v>0</v>
      </c>
      <c r="E145" s="6">
        <f>D145*'16-PlantAdditions'!$E$103</f>
        <v>0</v>
      </c>
      <c r="F145" s="6">
        <f t="shared" si="41"/>
        <v>0</v>
      </c>
      <c r="G145" s="60">
        <v>0</v>
      </c>
      <c r="H145" s="60">
        <v>0</v>
      </c>
      <c r="I145" s="6">
        <f>(G145-H145)*'16-PlantAdditions'!$E$103</f>
        <v>0</v>
      </c>
      <c r="J145" s="6">
        <f t="shared" si="42"/>
        <v>0</v>
      </c>
      <c r="K145" s="53">
        <f t="shared" si="43"/>
        <v>0</v>
      </c>
    </row>
    <row r="146" spans="1:11" ht="13">
      <c r="A146" s="2">
        <f t="shared" si="40"/>
        <v>106</v>
      </c>
      <c r="C146" s="371" t="s">
        <v>999</v>
      </c>
      <c r="K146" s="42">
        <f>AVERAGE(K133:K145)</f>
        <v>0</v>
      </c>
    </row>
    <row r="147" spans="1:11" ht="13">
      <c r="A147" s="2"/>
      <c r="C147" s="371"/>
      <c r="K147" s="42"/>
    </row>
    <row r="148" spans="1:11" ht="13">
      <c r="B148" s="34" t="s">
        <v>1010</v>
      </c>
      <c r="D148" s="1116" t="s">
        <v>1011</v>
      </c>
      <c r="E148" s="1116"/>
    </row>
    <row r="149" spans="1:11" ht="13">
      <c r="B149" s="34"/>
      <c r="D149" s="3" t="s">
        <v>336</v>
      </c>
      <c r="E149" s="3" t="s">
        <v>337</v>
      </c>
      <c r="F149" s="3" t="s">
        <v>338</v>
      </c>
      <c r="G149" s="3" t="s">
        <v>339</v>
      </c>
      <c r="H149" s="3" t="s">
        <v>340</v>
      </c>
      <c r="I149" s="3" t="s">
        <v>341</v>
      </c>
      <c r="J149" s="3" t="s">
        <v>342</v>
      </c>
      <c r="K149" s="3" t="s">
        <v>343</v>
      </c>
    </row>
    <row r="150" spans="1:11" ht="25.5">
      <c r="B150" s="34"/>
      <c r="D150" s="48"/>
      <c r="E150" s="372" t="s">
        <v>1003</v>
      </c>
      <c r="F150" s="257" t="s">
        <v>1004</v>
      </c>
      <c r="G150" s="257"/>
      <c r="H150" s="48"/>
      <c r="I150" s="372" t="s">
        <v>1005</v>
      </c>
      <c r="J150" s="372" t="s">
        <v>1006</v>
      </c>
      <c r="K150" s="372" t="s">
        <v>1007</v>
      </c>
    </row>
    <row r="151" spans="1:11" ht="13">
      <c r="D151" s="48"/>
      <c r="E151" s="48"/>
      <c r="F151" s="48"/>
      <c r="G151" s="2" t="str">
        <f>G51</f>
        <v>Unloaded</v>
      </c>
      <c r="H151" s="48"/>
      <c r="I151" s="48"/>
    </row>
    <row r="152" spans="1:11" ht="13">
      <c r="A152" s="2"/>
      <c r="B152" s="2"/>
      <c r="C152" s="2"/>
      <c r="D152" s="2" t="str">
        <f>D$52</f>
        <v>Forecast</v>
      </c>
      <c r="E152" s="2" t="str">
        <f t="shared" ref="E152:J152" si="44">E$52</f>
        <v>Corporate</v>
      </c>
      <c r="F152" s="2" t="str">
        <f t="shared" si="44"/>
        <v xml:space="preserve">Total </v>
      </c>
      <c r="G152" s="2" t="str">
        <f>G52</f>
        <v>Total</v>
      </c>
      <c r="H152" s="2" t="str">
        <f t="shared" si="44"/>
        <v>Prior Period</v>
      </c>
      <c r="I152" s="2" t="str">
        <f t="shared" si="44"/>
        <v>Over Heads</v>
      </c>
      <c r="J152" s="2" t="str">
        <f t="shared" si="44"/>
        <v>Forecast</v>
      </c>
      <c r="K152" s="2" t="str">
        <f>K$52</f>
        <v>Forecast Period</v>
      </c>
    </row>
    <row r="153" spans="1:11" ht="13">
      <c r="A153" s="30" t="s">
        <v>273</v>
      </c>
      <c r="B153" s="348" t="s">
        <v>371</v>
      </c>
      <c r="C153" s="348" t="s">
        <v>372</v>
      </c>
      <c r="D153" s="3" t="str">
        <f>D$53</f>
        <v>Expenditures</v>
      </c>
      <c r="E153" s="3" t="str">
        <f t="shared" ref="E153:J153" si="45">E$53</f>
        <v>Overheads</v>
      </c>
      <c r="F153" s="3" t="str">
        <f t="shared" si="45"/>
        <v>CWIP Exp</v>
      </c>
      <c r="G153" s="3" t="str">
        <f>G53</f>
        <v>Plant Adds</v>
      </c>
      <c r="H153" s="3" t="str">
        <f t="shared" si="45"/>
        <v>CWIP Closed</v>
      </c>
      <c r="I153" s="3" t="str">
        <f t="shared" si="45"/>
        <v>Closed to PIS</v>
      </c>
      <c r="J153" s="3" t="str">
        <f t="shared" si="45"/>
        <v>Period CWIP</v>
      </c>
      <c r="K153" s="3" t="str">
        <f>K$53</f>
        <v>Incremental CWIP</v>
      </c>
    </row>
    <row r="154" spans="1:11" ht="13">
      <c r="A154" s="2">
        <f>A146+1</f>
        <v>107</v>
      </c>
      <c r="B154" s="349" t="s">
        <v>379</v>
      </c>
      <c r="C154" s="350">
        <v>2021</v>
      </c>
      <c r="D154" s="257" t="s">
        <v>380</v>
      </c>
      <c r="E154" s="257" t="s">
        <v>380</v>
      </c>
      <c r="F154" s="257" t="s">
        <v>380</v>
      </c>
      <c r="G154" s="257" t="s">
        <v>380</v>
      </c>
      <c r="H154" s="257" t="s">
        <v>380</v>
      </c>
      <c r="I154" s="257" t="s">
        <v>380</v>
      </c>
      <c r="J154" s="6">
        <f>G25</f>
        <v>6065998.96</v>
      </c>
      <c r="K154" s="257" t="s">
        <v>380</v>
      </c>
    </row>
    <row r="155" spans="1:11" ht="13">
      <c r="A155" s="2">
        <f>A154+1</f>
        <v>108</v>
      </c>
      <c r="B155" s="349" t="s">
        <v>381</v>
      </c>
      <c r="C155" s="350">
        <v>2022</v>
      </c>
      <c r="D155" s="60">
        <v>25198</v>
      </c>
      <c r="E155" s="6">
        <f>D155*'16-PlantAdditions'!$E$103</f>
        <v>1889.85</v>
      </c>
      <c r="F155" s="6">
        <f>E155+D155</f>
        <v>27087.85</v>
      </c>
      <c r="G155" s="60">
        <v>0</v>
      </c>
      <c r="H155" s="60">
        <v>0</v>
      </c>
      <c r="I155" s="6">
        <f>(G155-H155)*'16-PlantAdditions'!$E$103</f>
        <v>0</v>
      </c>
      <c r="J155" s="6">
        <f>J154+F155-G155-I155</f>
        <v>6093086.8099999996</v>
      </c>
      <c r="K155" s="6">
        <f>J155-$J$154</f>
        <v>27087.849999999627</v>
      </c>
    </row>
    <row r="156" spans="1:11" ht="13">
      <c r="A156" s="2">
        <f t="shared" ref="A156:A179" si="46">A155+1</f>
        <v>109</v>
      </c>
      <c r="B156" s="349" t="s">
        <v>382</v>
      </c>
      <c r="C156" s="350">
        <v>2022</v>
      </c>
      <c r="D156" s="60">
        <v>18344</v>
      </c>
      <c r="E156" s="6">
        <f>D156*'16-PlantAdditions'!$E$103</f>
        <v>1375.8</v>
      </c>
      <c r="F156" s="6">
        <f t="shared" ref="F156:F178" si="47">E156+D156</f>
        <v>19719.8</v>
      </c>
      <c r="G156" s="60">
        <v>0</v>
      </c>
      <c r="H156" s="60">
        <v>0</v>
      </c>
      <c r="I156" s="6">
        <f>(G156-H156)*'16-PlantAdditions'!$E$103</f>
        <v>0</v>
      </c>
      <c r="J156" s="6">
        <f t="shared" ref="J156:J175" si="48">J155+F156-G156-I156</f>
        <v>6112806.6099999994</v>
      </c>
      <c r="K156" s="6">
        <f t="shared" ref="K156:K178" si="49">J156-$J$154</f>
        <v>46807.649999999441</v>
      </c>
    </row>
    <row r="157" spans="1:11" ht="13">
      <c r="A157" s="2">
        <f t="shared" si="46"/>
        <v>110</v>
      </c>
      <c r="B157" s="349" t="s">
        <v>383</v>
      </c>
      <c r="C157" s="350">
        <v>2022</v>
      </c>
      <c r="D157" s="60">
        <v>21613</v>
      </c>
      <c r="E157" s="6">
        <f>D157*'16-PlantAdditions'!$E$103</f>
        <v>1620.9749999999999</v>
      </c>
      <c r="F157" s="6">
        <f t="shared" si="47"/>
        <v>23233.974999999999</v>
      </c>
      <c r="G157" s="60">
        <v>0</v>
      </c>
      <c r="H157" s="60">
        <v>0</v>
      </c>
      <c r="I157" s="6">
        <f>(G157-H157)*'16-PlantAdditions'!$E$103</f>
        <v>0</v>
      </c>
      <c r="J157" s="6">
        <f t="shared" si="48"/>
        <v>6136040.584999999</v>
      </c>
      <c r="K157" s="6">
        <f t="shared" si="49"/>
        <v>70041.624999999069</v>
      </c>
    </row>
    <row r="158" spans="1:11" ht="13">
      <c r="A158" s="2">
        <f t="shared" si="46"/>
        <v>111</v>
      </c>
      <c r="B158" s="349" t="s">
        <v>384</v>
      </c>
      <c r="C158" s="350">
        <v>2022</v>
      </c>
      <c r="D158" s="60">
        <v>78500</v>
      </c>
      <c r="E158" s="6">
        <f>D158*'16-PlantAdditions'!$E$103</f>
        <v>5887.5</v>
      </c>
      <c r="F158" s="6">
        <f t="shared" si="47"/>
        <v>84387.5</v>
      </c>
      <c r="G158" s="60">
        <v>0</v>
      </c>
      <c r="H158" s="60">
        <v>0</v>
      </c>
      <c r="I158" s="6">
        <f>(G158-H158)*'16-PlantAdditions'!$E$103</f>
        <v>0</v>
      </c>
      <c r="J158" s="6">
        <f t="shared" si="48"/>
        <v>6220428.084999999</v>
      </c>
      <c r="K158" s="6">
        <f t="shared" si="49"/>
        <v>154429.12499999907</v>
      </c>
    </row>
    <row r="159" spans="1:11" ht="13">
      <c r="A159" s="2">
        <f t="shared" si="46"/>
        <v>112</v>
      </c>
      <c r="B159" s="349" t="s">
        <v>385</v>
      </c>
      <c r="C159" s="350">
        <v>2022</v>
      </c>
      <c r="D159" s="60">
        <v>80000</v>
      </c>
      <c r="E159" s="6">
        <f>D159*'16-PlantAdditions'!$E$103</f>
        <v>6000</v>
      </c>
      <c r="F159" s="6">
        <f t="shared" si="47"/>
        <v>86000</v>
      </c>
      <c r="G159" s="60">
        <v>0</v>
      </c>
      <c r="H159" s="60">
        <v>0</v>
      </c>
      <c r="I159" s="6">
        <f>(G159-H159)*'16-PlantAdditions'!$E$103</f>
        <v>0</v>
      </c>
      <c r="J159" s="6">
        <f t="shared" si="48"/>
        <v>6306428.084999999</v>
      </c>
      <c r="K159" s="6">
        <f t="shared" si="49"/>
        <v>240429.12499999907</v>
      </c>
    </row>
    <row r="160" spans="1:11" ht="13">
      <c r="A160" s="2">
        <f t="shared" si="46"/>
        <v>113</v>
      </c>
      <c r="B160" s="349" t="s">
        <v>594</v>
      </c>
      <c r="C160" s="350">
        <v>2022</v>
      </c>
      <c r="D160" s="60">
        <v>80000</v>
      </c>
      <c r="E160" s="6">
        <f>D160*'16-PlantAdditions'!$E$103</f>
        <v>6000</v>
      </c>
      <c r="F160" s="6">
        <f t="shared" si="47"/>
        <v>86000</v>
      </c>
      <c r="G160" s="60">
        <v>0</v>
      </c>
      <c r="H160" s="60">
        <v>0</v>
      </c>
      <c r="I160" s="6">
        <f>(G160-H160)*'16-PlantAdditions'!$E$103</f>
        <v>0</v>
      </c>
      <c r="J160" s="6">
        <f t="shared" si="48"/>
        <v>6392428.084999999</v>
      </c>
      <c r="K160" s="6">
        <f t="shared" si="49"/>
        <v>326429.12499999907</v>
      </c>
    </row>
    <row r="161" spans="1:11" ht="13">
      <c r="A161" s="2">
        <f t="shared" si="46"/>
        <v>114</v>
      </c>
      <c r="B161" s="349" t="s">
        <v>387</v>
      </c>
      <c r="C161" s="350">
        <v>2022</v>
      </c>
      <c r="D161" s="60">
        <v>80000</v>
      </c>
      <c r="E161" s="6">
        <f>D161*'16-PlantAdditions'!$E$103</f>
        <v>6000</v>
      </c>
      <c r="F161" s="6">
        <f t="shared" si="47"/>
        <v>86000</v>
      </c>
      <c r="G161" s="60">
        <v>0</v>
      </c>
      <c r="H161" s="60">
        <v>0</v>
      </c>
      <c r="I161" s="6">
        <f>(G161-H161)*'16-PlantAdditions'!$E$103</f>
        <v>0</v>
      </c>
      <c r="J161" s="6">
        <f t="shared" si="48"/>
        <v>6478428.084999999</v>
      </c>
      <c r="K161" s="6">
        <f t="shared" si="49"/>
        <v>412429.12499999907</v>
      </c>
    </row>
    <row r="162" spans="1:11" ht="13">
      <c r="A162" s="2">
        <f t="shared" si="46"/>
        <v>115</v>
      </c>
      <c r="B162" s="349" t="s">
        <v>388</v>
      </c>
      <c r="C162" s="350">
        <v>2022</v>
      </c>
      <c r="D162" s="60">
        <v>81656</v>
      </c>
      <c r="E162" s="6">
        <f>D162*'16-PlantAdditions'!$E$103</f>
        <v>6124.2</v>
      </c>
      <c r="F162" s="6">
        <f t="shared" si="47"/>
        <v>87780.2</v>
      </c>
      <c r="G162" s="60">
        <v>0</v>
      </c>
      <c r="H162" s="60">
        <v>0</v>
      </c>
      <c r="I162" s="6">
        <f>(G162-H162)*'16-PlantAdditions'!$E$103</f>
        <v>0</v>
      </c>
      <c r="J162" s="6">
        <f t="shared" si="48"/>
        <v>6566208.2849999992</v>
      </c>
      <c r="K162" s="6">
        <f t="shared" si="49"/>
        <v>500209.32499999925</v>
      </c>
    </row>
    <row r="163" spans="1:11" ht="13">
      <c r="A163" s="2">
        <f t="shared" si="46"/>
        <v>116</v>
      </c>
      <c r="B163" s="349" t="s">
        <v>389</v>
      </c>
      <c r="C163" s="350">
        <v>2022</v>
      </c>
      <c r="D163" s="60">
        <v>100000</v>
      </c>
      <c r="E163" s="6">
        <f>D163*'16-PlantAdditions'!$E$103</f>
        <v>7500</v>
      </c>
      <c r="F163" s="6">
        <f t="shared" si="47"/>
        <v>107500</v>
      </c>
      <c r="G163" s="60">
        <v>0</v>
      </c>
      <c r="H163" s="60">
        <v>0</v>
      </c>
      <c r="I163" s="6">
        <f>(G163-H163)*'16-PlantAdditions'!$E$103</f>
        <v>0</v>
      </c>
      <c r="J163" s="6">
        <f t="shared" si="48"/>
        <v>6673708.2849999992</v>
      </c>
      <c r="K163" s="6">
        <f t="shared" si="49"/>
        <v>607709.32499999925</v>
      </c>
    </row>
    <row r="164" spans="1:11" ht="13">
      <c r="A164" s="2">
        <f t="shared" si="46"/>
        <v>117</v>
      </c>
      <c r="B164" s="349" t="s">
        <v>390</v>
      </c>
      <c r="C164" s="350">
        <v>2022</v>
      </c>
      <c r="D164" s="60">
        <v>100000</v>
      </c>
      <c r="E164" s="6">
        <f>D164*'16-PlantAdditions'!$E$103</f>
        <v>7500</v>
      </c>
      <c r="F164" s="6">
        <f t="shared" si="47"/>
        <v>107500</v>
      </c>
      <c r="G164" s="60">
        <v>0</v>
      </c>
      <c r="H164" s="60">
        <v>0</v>
      </c>
      <c r="I164" s="6">
        <f>(G164-H164)*'16-PlantAdditions'!$E$103</f>
        <v>0</v>
      </c>
      <c r="J164" s="6">
        <f t="shared" si="48"/>
        <v>6781208.2849999992</v>
      </c>
      <c r="K164" s="6">
        <f t="shared" si="49"/>
        <v>715209.32499999925</v>
      </c>
    </row>
    <row r="165" spans="1:11" ht="13">
      <c r="A165" s="2">
        <f t="shared" si="46"/>
        <v>118</v>
      </c>
      <c r="B165" s="349" t="s">
        <v>391</v>
      </c>
      <c r="C165" s="350">
        <v>2022</v>
      </c>
      <c r="D165" s="60">
        <v>159887</v>
      </c>
      <c r="E165" s="6">
        <f>D165*'16-PlantAdditions'!$E$103</f>
        <v>11991.525</v>
      </c>
      <c r="F165" s="6">
        <f t="shared" si="47"/>
        <v>171878.52499999999</v>
      </c>
      <c r="G165" s="60">
        <v>0</v>
      </c>
      <c r="H165" s="60">
        <v>0</v>
      </c>
      <c r="I165" s="6">
        <f>(G165-H165)*'16-PlantAdditions'!$E$103</f>
        <v>0</v>
      </c>
      <c r="J165" s="6">
        <f t="shared" si="48"/>
        <v>6953086.8099999996</v>
      </c>
      <c r="K165" s="6">
        <f t="shared" si="49"/>
        <v>887087.84999999963</v>
      </c>
    </row>
    <row r="166" spans="1:11" ht="13">
      <c r="A166" s="2">
        <f t="shared" si="46"/>
        <v>119</v>
      </c>
      <c r="B166" s="349" t="s">
        <v>379</v>
      </c>
      <c r="C166" s="350">
        <v>2022</v>
      </c>
      <c r="D166" s="60">
        <v>162802</v>
      </c>
      <c r="E166" s="6">
        <f>D166*'16-PlantAdditions'!$E$103</f>
        <v>12210.15</v>
      </c>
      <c r="F166" s="6">
        <f t="shared" si="47"/>
        <v>175012.15</v>
      </c>
      <c r="G166" s="60">
        <v>0</v>
      </c>
      <c r="H166" s="60">
        <v>0</v>
      </c>
      <c r="I166" s="6">
        <f>(G166-H166)*'16-PlantAdditions'!$E$103</f>
        <v>0</v>
      </c>
      <c r="J166" s="6">
        <f t="shared" si="48"/>
        <v>7128098.96</v>
      </c>
      <c r="K166" s="6">
        <f t="shared" si="49"/>
        <v>1062100</v>
      </c>
    </row>
    <row r="167" spans="1:11" ht="13">
      <c r="A167" s="2">
        <f t="shared" si="46"/>
        <v>120</v>
      </c>
      <c r="B167" s="349" t="s">
        <v>381</v>
      </c>
      <c r="C167" s="350">
        <v>2023</v>
      </c>
      <c r="D167" s="60">
        <v>0</v>
      </c>
      <c r="E167" s="6">
        <f>D167*'16-PlantAdditions'!$E$103</f>
        <v>0</v>
      </c>
      <c r="F167" s="6">
        <f t="shared" si="47"/>
        <v>0</v>
      </c>
      <c r="G167" s="60">
        <v>0</v>
      </c>
      <c r="H167" s="60">
        <v>0</v>
      </c>
      <c r="I167" s="6">
        <f>(G167-H167)*'16-PlantAdditions'!$E$103</f>
        <v>0</v>
      </c>
      <c r="J167" s="6">
        <f t="shared" si="48"/>
        <v>7128098.96</v>
      </c>
      <c r="K167" s="6">
        <f t="shared" si="49"/>
        <v>1062100</v>
      </c>
    </row>
    <row r="168" spans="1:11" ht="13">
      <c r="A168" s="2">
        <f t="shared" si="46"/>
        <v>121</v>
      </c>
      <c r="B168" s="349" t="s">
        <v>382</v>
      </c>
      <c r="C168" s="350">
        <v>2023</v>
      </c>
      <c r="D168" s="60">
        <v>0</v>
      </c>
      <c r="E168" s="6">
        <f>D168*'16-PlantAdditions'!$E$103</f>
        <v>0</v>
      </c>
      <c r="F168" s="6">
        <f t="shared" si="47"/>
        <v>0</v>
      </c>
      <c r="G168" s="60">
        <v>0</v>
      </c>
      <c r="H168" s="60">
        <v>0</v>
      </c>
      <c r="I168" s="6">
        <f>(G168-H168)*'16-PlantAdditions'!$E$103</f>
        <v>0</v>
      </c>
      <c r="J168" s="6">
        <f t="shared" si="48"/>
        <v>7128098.96</v>
      </c>
      <c r="K168" s="6">
        <f t="shared" si="49"/>
        <v>1062100</v>
      </c>
    </row>
    <row r="169" spans="1:11" ht="13">
      <c r="A169" s="2">
        <f t="shared" si="46"/>
        <v>122</v>
      </c>
      <c r="B169" s="349" t="s">
        <v>383</v>
      </c>
      <c r="C169" s="350">
        <v>2023</v>
      </c>
      <c r="D169" s="60">
        <v>0</v>
      </c>
      <c r="E169" s="6">
        <f>D169*'16-PlantAdditions'!$E$103</f>
        <v>0</v>
      </c>
      <c r="F169" s="6">
        <f t="shared" si="47"/>
        <v>0</v>
      </c>
      <c r="G169" s="60">
        <v>0</v>
      </c>
      <c r="H169" s="60">
        <v>0</v>
      </c>
      <c r="I169" s="6">
        <f>(G169-H169)*'16-PlantAdditions'!$E$103</f>
        <v>0</v>
      </c>
      <c r="J169" s="6">
        <f t="shared" si="48"/>
        <v>7128098.96</v>
      </c>
      <c r="K169" s="6">
        <f t="shared" si="49"/>
        <v>1062100</v>
      </c>
    </row>
    <row r="170" spans="1:11" ht="13">
      <c r="A170" s="2">
        <f t="shared" si="46"/>
        <v>123</v>
      </c>
      <c r="B170" s="349" t="s">
        <v>384</v>
      </c>
      <c r="C170" s="350">
        <v>2023</v>
      </c>
      <c r="D170" s="60">
        <v>0</v>
      </c>
      <c r="E170" s="6">
        <f>D170*'16-PlantAdditions'!$E$103</f>
        <v>0</v>
      </c>
      <c r="F170" s="6">
        <f t="shared" si="47"/>
        <v>0</v>
      </c>
      <c r="G170" s="60">
        <v>0</v>
      </c>
      <c r="H170" s="60">
        <v>0</v>
      </c>
      <c r="I170" s="6">
        <f>(G170-H170)*'16-PlantAdditions'!$E$103</f>
        <v>0</v>
      </c>
      <c r="J170" s="6">
        <f t="shared" si="48"/>
        <v>7128098.96</v>
      </c>
      <c r="K170" s="6">
        <f t="shared" si="49"/>
        <v>1062100</v>
      </c>
    </row>
    <row r="171" spans="1:11" ht="13">
      <c r="A171" s="2">
        <f t="shared" si="46"/>
        <v>124</v>
      </c>
      <c r="B171" s="349" t="s">
        <v>385</v>
      </c>
      <c r="C171" s="350">
        <v>2023</v>
      </c>
      <c r="D171" s="60">
        <v>0</v>
      </c>
      <c r="E171" s="6">
        <f>D171*'16-PlantAdditions'!$E$103</f>
        <v>0</v>
      </c>
      <c r="F171" s="6">
        <f t="shared" si="47"/>
        <v>0</v>
      </c>
      <c r="G171" s="60">
        <v>0</v>
      </c>
      <c r="H171" s="60">
        <v>0</v>
      </c>
      <c r="I171" s="6">
        <f>(G171-H171)*'16-PlantAdditions'!$E$103</f>
        <v>0</v>
      </c>
      <c r="J171" s="6">
        <f t="shared" si="48"/>
        <v>7128098.96</v>
      </c>
      <c r="K171" s="6">
        <f t="shared" si="49"/>
        <v>1062100</v>
      </c>
    </row>
    <row r="172" spans="1:11" ht="13">
      <c r="A172" s="2">
        <f t="shared" si="46"/>
        <v>125</v>
      </c>
      <c r="B172" s="349" t="s">
        <v>594</v>
      </c>
      <c r="C172" s="350">
        <v>2023</v>
      </c>
      <c r="D172" s="60">
        <v>0</v>
      </c>
      <c r="E172" s="6">
        <f>D172*'16-PlantAdditions'!$E$103</f>
        <v>0</v>
      </c>
      <c r="F172" s="6">
        <f t="shared" si="47"/>
        <v>0</v>
      </c>
      <c r="G172" s="60">
        <v>0</v>
      </c>
      <c r="H172" s="60">
        <v>0</v>
      </c>
      <c r="I172" s="6">
        <f>(G172-H172)*'16-PlantAdditions'!$E$103</f>
        <v>0</v>
      </c>
      <c r="J172" s="6">
        <f t="shared" si="48"/>
        <v>7128098.96</v>
      </c>
      <c r="K172" s="6">
        <f t="shared" si="49"/>
        <v>1062100</v>
      </c>
    </row>
    <row r="173" spans="1:11" ht="13">
      <c r="A173" s="2">
        <f t="shared" si="46"/>
        <v>126</v>
      </c>
      <c r="B173" s="349" t="s">
        <v>387</v>
      </c>
      <c r="C173" s="350">
        <v>2023</v>
      </c>
      <c r="D173" s="60">
        <v>0</v>
      </c>
      <c r="E173" s="6">
        <f>D173*'16-PlantAdditions'!$E$103</f>
        <v>0</v>
      </c>
      <c r="F173" s="6">
        <f t="shared" si="47"/>
        <v>0</v>
      </c>
      <c r="G173" s="60">
        <v>0</v>
      </c>
      <c r="H173" s="60">
        <v>0</v>
      </c>
      <c r="I173" s="6">
        <f>(G173-H173)*'16-PlantAdditions'!$E$103</f>
        <v>0</v>
      </c>
      <c r="J173" s="6">
        <f t="shared" si="48"/>
        <v>7128098.96</v>
      </c>
      <c r="K173" s="6">
        <f t="shared" si="49"/>
        <v>1062100</v>
      </c>
    </row>
    <row r="174" spans="1:11" ht="13">
      <c r="A174" s="2">
        <f t="shared" si="46"/>
        <v>127</v>
      </c>
      <c r="B174" s="349" t="s">
        <v>388</v>
      </c>
      <c r="C174" s="350">
        <v>2023</v>
      </c>
      <c r="D174" s="60">
        <v>0</v>
      </c>
      <c r="E174" s="6">
        <f>D174*'16-PlantAdditions'!$E$103</f>
        <v>0</v>
      </c>
      <c r="F174" s="6">
        <f t="shared" si="47"/>
        <v>0</v>
      </c>
      <c r="G174" s="60">
        <v>0</v>
      </c>
      <c r="H174" s="60">
        <v>0</v>
      </c>
      <c r="I174" s="6">
        <f>(G174-H174)*'16-PlantAdditions'!$E$103</f>
        <v>0</v>
      </c>
      <c r="J174" s="6">
        <f t="shared" si="48"/>
        <v>7128098.96</v>
      </c>
      <c r="K174" s="6">
        <f t="shared" si="49"/>
        <v>1062100</v>
      </c>
    </row>
    <row r="175" spans="1:11" ht="13">
      <c r="A175" s="2">
        <f t="shared" si="46"/>
        <v>128</v>
      </c>
      <c r="B175" s="349" t="s">
        <v>389</v>
      </c>
      <c r="C175" s="350">
        <v>2023</v>
      </c>
      <c r="D175" s="60">
        <v>0</v>
      </c>
      <c r="E175" s="6">
        <f>D175*'16-PlantAdditions'!$E$103</f>
        <v>0</v>
      </c>
      <c r="F175" s="6">
        <f t="shared" si="47"/>
        <v>0</v>
      </c>
      <c r="G175" s="60">
        <v>0</v>
      </c>
      <c r="H175" s="60">
        <v>0</v>
      </c>
      <c r="I175" s="6">
        <f>(G175-H175)*'16-PlantAdditions'!$E$103</f>
        <v>0</v>
      </c>
      <c r="J175" s="6">
        <f t="shared" si="48"/>
        <v>7128098.96</v>
      </c>
      <c r="K175" s="6">
        <f t="shared" si="49"/>
        <v>1062100</v>
      </c>
    </row>
    <row r="176" spans="1:11" ht="13">
      <c r="A176" s="2">
        <f t="shared" si="46"/>
        <v>129</v>
      </c>
      <c r="B176" s="349" t="s">
        <v>390</v>
      </c>
      <c r="C176" s="350">
        <v>2023</v>
      </c>
      <c r="D176" s="60">
        <v>0</v>
      </c>
      <c r="E176" s="6">
        <f>D176*'16-PlantAdditions'!$E$103</f>
        <v>0</v>
      </c>
      <c r="F176" s="6">
        <f t="shared" si="47"/>
        <v>0</v>
      </c>
      <c r="G176" s="60">
        <v>0</v>
      </c>
      <c r="H176" s="60">
        <v>0</v>
      </c>
      <c r="I176" s="6">
        <f>(G176-H176)*'16-PlantAdditions'!$E$103</f>
        <v>0</v>
      </c>
      <c r="J176" s="6">
        <f t="shared" ref="J176:J178" si="50">J175+F176-G176-I176</f>
        <v>7128098.96</v>
      </c>
      <c r="K176" s="6">
        <f t="shared" si="49"/>
        <v>1062100</v>
      </c>
    </row>
    <row r="177" spans="1:11" ht="13">
      <c r="A177" s="2">
        <f t="shared" si="46"/>
        <v>130</v>
      </c>
      <c r="B177" s="349" t="s">
        <v>391</v>
      </c>
      <c r="C177" s="350">
        <v>2023</v>
      </c>
      <c r="D177" s="60">
        <v>0</v>
      </c>
      <c r="E177" s="6">
        <f>D177*'16-PlantAdditions'!$E$103</f>
        <v>0</v>
      </c>
      <c r="F177" s="6">
        <f t="shared" si="47"/>
        <v>0</v>
      </c>
      <c r="G177" s="60">
        <v>0</v>
      </c>
      <c r="H177" s="60">
        <v>0</v>
      </c>
      <c r="I177" s="6">
        <f>(G177-H177)*'16-PlantAdditions'!$E$103</f>
        <v>0</v>
      </c>
      <c r="J177" s="6">
        <f t="shared" si="50"/>
        <v>7128098.96</v>
      </c>
      <c r="K177" s="6">
        <f t="shared" si="49"/>
        <v>1062100</v>
      </c>
    </row>
    <row r="178" spans="1:11" ht="13">
      <c r="A178" s="2">
        <f t="shared" si="46"/>
        <v>131</v>
      </c>
      <c r="B178" s="349" t="s">
        <v>379</v>
      </c>
      <c r="C178" s="350">
        <v>2023</v>
      </c>
      <c r="D178" s="60">
        <v>15080000</v>
      </c>
      <c r="E178" s="6">
        <f>D178*'16-PlantAdditions'!$E$103</f>
        <v>1131000</v>
      </c>
      <c r="F178" s="6">
        <f t="shared" si="47"/>
        <v>16211000</v>
      </c>
      <c r="G178" s="60">
        <v>0</v>
      </c>
      <c r="H178" s="60">
        <v>0</v>
      </c>
      <c r="I178" s="6">
        <f>(G178-H178)*'16-PlantAdditions'!$E$103</f>
        <v>0</v>
      </c>
      <c r="J178" s="6">
        <f t="shared" si="50"/>
        <v>23339098.960000001</v>
      </c>
      <c r="K178" s="53">
        <f t="shared" si="49"/>
        <v>17273100</v>
      </c>
    </row>
    <row r="179" spans="1:11" ht="13">
      <c r="A179" s="2">
        <f t="shared" si="46"/>
        <v>132</v>
      </c>
      <c r="C179" s="371" t="s">
        <v>999</v>
      </c>
      <c r="K179" s="42">
        <f>AVERAGE(K166:K178)</f>
        <v>2309100</v>
      </c>
    </row>
    <row r="180" spans="1:11" ht="13">
      <c r="A180" s="2"/>
      <c r="C180" s="371"/>
      <c r="K180" s="42"/>
    </row>
    <row r="181" spans="1:11" ht="13">
      <c r="B181" s="34" t="s">
        <v>1012</v>
      </c>
      <c r="D181" s="1116" t="s">
        <v>1013</v>
      </c>
      <c r="E181" s="1116"/>
    </row>
    <row r="182" spans="1:11" ht="13">
      <c r="A182" s="3"/>
      <c r="B182" s="3"/>
      <c r="C182" s="3"/>
      <c r="D182" s="3" t="s">
        <v>336</v>
      </c>
      <c r="E182" s="3" t="s">
        <v>337</v>
      </c>
      <c r="F182" s="3" t="s">
        <v>338</v>
      </c>
      <c r="G182" s="3" t="s">
        <v>339</v>
      </c>
      <c r="H182" s="3" t="s">
        <v>340</v>
      </c>
      <c r="I182" s="3" t="s">
        <v>341</v>
      </c>
      <c r="J182" s="3" t="s">
        <v>342</v>
      </c>
      <c r="K182" s="3" t="s">
        <v>343</v>
      </c>
    </row>
    <row r="183" spans="1:11" ht="25.5">
      <c r="D183" s="48"/>
      <c r="E183" s="372" t="s">
        <v>1003</v>
      </c>
      <c r="F183" s="257" t="s">
        <v>1004</v>
      </c>
      <c r="G183" s="257"/>
      <c r="H183" s="48"/>
      <c r="I183" s="372" t="s">
        <v>1005</v>
      </c>
      <c r="J183" s="372" t="s">
        <v>1006</v>
      </c>
      <c r="K183" s="372" t="s">
        <v>1007</v>
      </c>
    </row>
    <row r="184" spans="1:11" ht="13">
      <c r="D184" s="48"/>
      <c r="E184" s="372"/>
      <c r="F184" s="257"/>
      <c r="G184" s="4" t="str">
        <f>G51</f>
        <v>Unloaded</v>
      </c>
      <c r="H184" s="48"/>
      <c r="I184" s="372"/>
      <c r="J184" s="372"/>
      <c r="K184" s="372"/>
    </row>
    <row r="185" spans="1:11" ht="13">
      <c r="A185" s="2"/>
      <c r="B185" s="2"/>
      <c r="C185" s="2"/>
      <c r="D185" s="2" t="str">
        <f>D$52</f>
        <v>Forecast</v>
      </c>
      <c r="E185" s="2" t="str">
        <f t="shared" ref="E185:J185" si="51">E$52</f>
        <v>Corporate</v>
      </c>
      <c r="F185" s="2" t="str">
        <f t="shared" si="51"/>
        <v xml:space="preserve">Total </v>
      </c>
      <c r="G185" s="4" t="str">
        <f>G52</f>
        <v>Total</v>
      </c>
      <c r="H185" s="2" t="str">
        <f t="shared" si="51"/>
        <v>Prior Period</v>
      </c>
      <c r="I185" s="2" t="str">
        <f t="shared" si="51"/>
        <v>Over Heads</v>
      </c>
      <c r="J185" s="2" t="str">
        <f t="shared" si="51"/>
        <v>Forecast</v>
      </c>
      <c r="K185" s="2" t="str">
        <f>K$52</f>
        <v>Forecast Period</v>
      </c>
    </row>
    <row r="186" spans="1:11" ht="13">
      <c r="A186" s="30" t="s">
        <v>273</v>
      </c>
      <c r="B186" s="348" t="s">
        <v>371</v>
      </c>
      <c r="C186" s="348" t="s">
        <v>372</v>
      </c>
      <c r="D186" s="3" t="str">
        <f>D$53</f>
        <v>Expenditures</v>
      </c>
      <c r="E186" s="3" t="str">
        <f t="shared" ref="E186:J186" si="52">E$53</f>
        <v>Overheads</v>
      </c>
      <c r="F186" s="3" t="str">
        <f t="shared" si="52"/>
        <v>CWIP Exp</v>
      </c>
      <c r="G186" s="48" t="str">
        <f>G53</f>
        <v>Plant Adds</v>
      </c>
      <c r="H186" s="3" t="str">
        <f t="shared" si="52"/>
        <v>CWIP Closed</v>
      </c>
      <c r="I186" s="3" t="str">
        <f t="shared" si="52"/>
        <v>Closed to PIS</v>
      </c>
      <c r="J186" s="3" t="str">
        <f t="shared" si="52"/>
        <v>Period CWIP</v>
      </c>
      <c r="K186" s="3" t="str">
        <f>K$53</f>
        <v>Incremental CWIP</v>
      </c>
    </row>
    <row r="187" spans="1:11" ht="13">
      <c r="A187" s="2">
        <f>A179+1</f>
        <v>133</v>
      </c>
      <c r="B187" s="349" t="s">
        <v>379</v>
      </c>
      <c r="C187" s="350">
        <v>2021</v>
      </c>
      <c r="D187" s="257" t="s">
        <v>380</v>
      </c>
      <c r="E187" s="257" t="s">
        <v>380</v>
      </c>
      <c r="F187" s="257" t="s">
        <v>380</v>
      </c>
      <c r="G187" s="257" t="s">
        <v>380</v>
      </c>
      <c r="H187" s="257" t="s">
        <v>380</v>
      </c>
      <c r="I187" s="257" t="s">
        <v>380</v>
      </c>
      <c r="J187" s="6">
        <f>H25</f>
        <v>371163.37</v>
      </c>
      <c r="K187" s="257" t="s">
        <v>380</v>
      </c>
    </row>
    <row r="188" spans="1:11" ht="13">
      <c r="A188" s="2">
        <f>A187+1</f>
        <v>134</v>
      </c>
      <c r="B188" s="349" t="s">
        <v>381</v>
      </c>
      <c r="C188" s="350">
        <v>2022</v>
      </c>
      <c r="D188" s="60">
        <v>281457</v>
      </c>
      <c r="E188" s="6">
        <f>D188*'16-PlantAdditions'!$E$103</f>
        <v>21109.274999999998</v>
      </c>
      <c r="F188" s="6">
        <f>E188+D188</f>
        <v>302566.27500000002</v>
      </c>
      <c r="G188" s="60">
        <v>277421</v>
      </c>
      <c r="H188" s="60">
        <v>0</v>
      </c>
      <c r="I188" s="6">
        <f>(G188-H188)*'16-PlantAdditions'!$E$103</f>
        <v>20806.575000000001</v>
      </c>
      <c r="J188" s="6">
        <f>J187+F188-G188-I188</f>
        <v>375502.07</v>
      </c>
      <c r="K188" s="6">
        <f>J188-$J$187</f>
        <v>4338.7000000000116</v>
      </c>
    </row>
    <row r="189" spans="1:11" ht="13">
      <c r="A189" s="2">
        <f t="shared" ref="A189:A212" si="53">A188+1</f>
        <v>135</v>
      </c>
      <c r="B189" s="349" t="s">
        <v>382</v>
      </c>
      <c r="C189" s="350">
        <v>2022</v>
      </c>
      <c r="D189" s="60">
        <v>583657</v>
      </c>
      <c r="E189" s="6">
        <f>D189*'16-PlantAdditions'!$E$103</f>
        <v>43774.275000000001</v>
      </c>
      <c r="F189" s="6">
        <f t="shared" ref="F189:F208" si="54">E189+D189</f>
        <v>627431.27500000002</v>
      </c>
      <c r="G189" s="60">
        <v>471760</v>
      </c>
      <c r="H189" s="60">
        <v>0</v>
      </c>
      <c r="I189" s="6">
        <f>(G189-H189)*'16-PlantAdditions'!$E$103</f>
        <v>35382</v>
      </c>
      <c r="J189" s="6">
        <f t="shared" ref="J189:J208" si="55">J188+F189-G189-I189</f>
        <v>495791.34499999997</v>
      </c>
      <c r="K189" s="6">
        <f t="shared" ref="K189:K211" si="56">J189-$J$187</f>
        <v>124627.97499999998</v>
      </c>
    </row>
    <row r="190" spans="1:11" ht="13">
      <c r="A190" s="2">
        <f t="shared" si="53"/>
        <v>136</v>
      </c>
      <c r="B190" s="349" t="s">
        <v>383</v>
      </c>
      <c r="C190" s="350">
        <v>2022</v>
      </c>
      <c r="D190" s="60">
        <v>551035</v>
      </c>
      <c r="E190" s="6">
        <f>D190*'16-PlantAdditions'!$E$103</f>
        <v>41327.625</v>
      </c>
      <c r="F190" s="6">
        <f t="shared" si="54"/>
        <v>592362.625</v>
      </c>
      <c r="G190" s="60">
        <v>489450</v>
      </c>
      <c r="H190" s="60">
        <v>0</v>
      </c>
      <c r="I190" s="6">
        <f>(G190-H190)*'16-PlantAdditions'!$E$103</f>
        <v>36708.75</v>
      </c>
      <c r="J190" s="6">
        <f t="shared" si="55"/>
        <v>561995.22</v>
      </c>
      <c r="K190" s="6">
        <f t="shared" si="56"/>
        <v>190831.84999999998</v>
      </c>
    </row>
    <row r="191" spans="1:11" ht="13">
      <c r="A191" s="2">
        <f t="shared" si="53"/>
        <v>137</v>
      </c>
      <c r="B191" s="349" t="s">
        <v>384</v>
      </c>
      <c r="C191" s="350">
        <v>2022</v>
      </c>
      <c r="D191" s="60">
        <v>343623.00000000006</v>
      </c>
      <c r="E191" s="6">
        <f>D191*'16-PlantAdditions'!$E$103</f>
        <v>25771.725000000002</v>
      </c>
      <c r="F191" s="6">
        <f t="shared" si="54"/>
        <v>369394.72500000003</v>
      </c>
      <c r="G191" s="60">
        <v>321141</v>
      </c>
      <c r="H191" s="60">
        <v>0</v>
      </c>
      <c r="I191" s="6">
        <f>(G191-H191)*'16-PlantAdditions'!$E$103</f>
        <v>24085.575000000001</v>
      </c>
      <c r="J191" s="6">
        <f t="shared" si="55"/>
        <v>586163.37000000011</v>
      </c>
      <c r="K191" s="6">
        <f t="shared" si="56"/>
        <v>215000.00000000012</v>
      </c>
    </row>
    <row r="192" spans="1:11" ht="13">
      <c r="A192" s="2">
        <f t="shared" si="53"/>
        <v>138</v>
      </c>
      <c r="B192" s="349" t="s">
        <v>385</v>
      </c>
      <c r="C192" s="350">
        <v>2022</v>
      </c>
      <c r="D192" s="60">
        <v>321141</v>
      </c>
      <c r="E192" s="6">
        <f>D192*'16-PlantAdditions'!$E$103</f>
        <v>24085.575000000001</v>
      </c>
      <c r="F192" s="6">
        <f t="shared" si="54"/>
        <v>345226.57500000001</v>
      </c>
      <c r="G192" s="60">
        <v>321141</v>
      </c>
      <c r="H192" s="60">
        <v>0</v>
      </c>
      <c r="I192" s="6">
        <f>(G192-H192)*'16-PlantAdditions'!$E$103</f>
        <v>24085.575000000001</v>
      </c>
      <c r="J192" s="6">
        <f t="shared" si="55"/>
        <v>586163.37000000011</v>
      </c>
      <c r="K192" s="6">
        <f t="shared" si="56"/>
        <v>215000.00000000012</v>
      </c>
    </row>
    <row r="193" spans="1:11" ht="13">
      <c r="A193" s="2">
        <f t="shared" si="53"/>
        <v>139</v>
      </c>
      <c r="B193" s="349" t="s">
        <v>594</v>
      </c>
      <c r="C193" s="350">
        <v>2022</v>
      </c>
      <c r="D193" s="60">
        <v>217501</v>
      </c>
      <c r="E193" s="6">
        <f>D193*'16-PlantAdditions'!$E$103</f>
        <v>16312.574999999999</v>
      </c>
      <c r="F193" s="6">
        <f t="shared" si="54"/>
        <v>233813.57500000001</v>
      </c>
      <c r="G193" s="60">
        <v>217501</v>
      </c>
      <c r="H193" s="60">
        <v>0</v>
      </c>
      <c r="I193" s="6">
        <f>(G193-H193)*'16-PlantAdditions'!$E$103</f>
        <v>16312.574999999999</v>
      </c>
      <c r="J193" s="6">
        <f t="shared" si="55"/>
        <v>586163.37000000011</v>
      </c>
      <c r="K193" s="6">
        <f t="shared" si="56"/>
        <v>215000.00000000012</v>
      </c>
    </row>
    <row r="194" spans="1:11" ht="13">
      <c r="A194" s="2">
        <f t="shared" si="53"/>
        <v>140</v>
      </c>
      <c r="B194" s="349" t="s">
        <v>387</v>
      </c>
      <c r="C194" s="350">
        <v>2022</v>
      </c>
      <c r="D194" s="60">
        <v>175216</v>
      </c>
      <c r="E194" s="6">
        <f>D194*'16-PlantAdditions'!$E$103</f>
        <v>13141.199999999999</v>
      </c>
      <c r="F194" s="6">
        <f t="shared" si="54"/>
        <v>188357.2</v>
      </c>
      <c r="G194" s="60">
        <v>175216</v>
      </c>
      <c r="H194" s="60">
        <v>0</v>
      </c>
      <c r="I194" s="6">
        <f>(G194-H194)*'16-PlantAdditions'!$E$103</f>
        <v>13141.199999999999</v>
      </c>
      <c r="J194" s="6">
        <f t="shared" si="55"/>
        <v>586163.37000000011</v>
      </c>
      <c r="K194" s="6">
        <f t="shared" si="56"/>
        <v>215000.00000000012</v>
      </c>
    </row>
    <row r="195" spans="1:11" ht="13">
      <c r="A195" s="2">
        <f t="shared" si="53"/>
        <v>141</v>
      </c>
      <c r="B195" s="349" t="s">
        <v>388</v>
      </c>
      <c r="C195" s="350">
        <v>2022</v>
      </c>
      <c r="D195" s="60">
        <v>175216</v>
      </c>
      <c r="E195" s="6">
        <f>D195*'16-PlantAdditions'!$E$103</f>
        <v>13141.199999999999</v>
      </c>
      <c r="F195" s="6">
        <f t="shared" si="54"/>
        <v>188357.2</v>
      </c>
      <c r="G195" s="60">
        <v>175216</v>
      </c>
      <c r="H195" s="60">
        <v>0</v>
      </c>
      <c r="I195" s="6">
        <f>(G195-H195)*'16-PlantAdditions'!$E$103</f>
        <v>13141.199999999999</v>
      </c>
      <c r="J195" s="6">
        <f t="shared" si="55"/>
        <v>586163.37000000011</v>
      </c>
      <c r="K195" s="6">
        <f t="shared" si="56"/>
        <v>215000.00000000012</v>
      </c>
    </row>
    <row r="196" spans="1:11" ht="13">
      <c r="A196" s="2">
        <f t="shared" si="53"/>
        <v>142</v>
      </c>
      <c r="B196" s="349" t="s">
        <v>389</v>
      </c>
      <c r="C196" s="350">
        <v>2022</v>
      </c>
      <c r="D196" s="60">
        <v>6488000</v>
      </c>
      <c r="E196" s="6">
        <f>D196*'16-PlantAdditions'!$E$103</f>
        <v>486600</v>
      </c>
      <c r="F196" s="6">
        <f t="shared" si="54"/>
        <v>6974600</v>
      </c>
      <c r="G196" s="60">
        <v>188000</v>
      </c>
      <c r="H196" s="60">
        <v>0</v>
      </c>
      <c r="I196" s="6">
        <f>(G196-H196)*'16-PlantAdditions'!$E$103</f>
        <v>14100</v>
      </c>
      <c r="J196" s="6">
        <f t="shared" si="55"/>
        <v>7358663.3700000001</v>
      </c>
      <c r="K196" s="6">
        <f t="shared" si="56"/>
        <v>6987500</v>
      </c>
    </row>
    <row r="197" spans="1:11" ht="13">
      <c r="A197" s="2">
        <f t="shared" si="53"/>
        <v>143</v>
      </c>
      <c r="B197" s="349" t="s">
        <v>390</v>
      </c>
      <c r="C197" s="350">
        <v>2022</v>
      </c>
      <c r="D197" s="60">
        <v>150000</v>
      </c>
      <c r="E197" s="6">
        <f>D197*'16-PlantAdditions'!$E$103</f>
        <v>11250</v>
      </c>
      <c r="F197" s="6">
        <f t="shared" si="54"/>
        <v>161250</v>
      </c>
      <c r="G197" s="60">
        <v>150000</v>
      </c>
      <c r="H197" s="60">
        <v>0</v>
      </c>
      <c r="I197" s="6">
        <f>(G197-H197)*'16-PlantAdditions'!$E$103</f>
        <v>11250</v>
      </c>
      <c r="J197" s="6">
        <f t="shared" si="55"/>
        <v>7358663.3700000001</v>
      </c>
      <c r="K197" s="6">
        <f t="shared" si="56"/>
        <v>6987500</v>
      </c>
    </row>
    <row r="198" spans="1:11" ht="13">
      <c r="A198" s="2">
        <f t="shared" si="53"/>
        <v>144</v>
      </c>
      <c r="B198" s="349" t="s">
        <v>391</v>
      </c>
      <c r="C198" s="350">
        <v>2022</v>
      </c>
      <c r="D198" s="60">
        <v>125000</v>
      </c>
      <c r="E198" s="6">
        <f>D198*'16-PlantAdditions'!$E$103</f>
        <v>9375</v>
      </c>
      <c r="F198" s="6">
        <f t="shared" si="54"/>
        <v>134375</v>
      </c>
      <c r="G198" s="60">
        <v>125000</v>
      </c>
      <c r="H198" s="60">
        <v>0</v>
      </c>
      <c r="I198" s="6">
        <f>(G198-H198)*'16-PlantAdditions'!$E$103</f>
        <v>9375</v>
      </c>
      <c r="J198" s="6">
        <f t="shared" si="55"/>
        <v>7358663.3700000001</v>
      </c>
      <c r="K198" s="6">
        <f t="shared" si="56"/>
        <v>6987500</v>
      </c>
    </row>
    <row r="199" spans="1:11" ht="13">
      <c r="A199" s="2">
        <f t="shared" si="53"/>
        <v>145</v>
      </c>
      <c r="B199" s="349" t="s">
        <v>379</v>
      </c>
      <c r="C199" s="350">
        <v>2022</v>
      </c>
      <c r="D199" s="60">
        <v>217496</v>
      </c>
      <c r="E199" s="6">
        <f>D199*'16-PlantAdditions'!$E$103</f>
        <v>16312.199999999999</v>
      </c>
      <c r="F199" s="6">
        <f t="shared" si="54"/>
        <v>233808.2</v>
      </c>
      <c r="G199" s="60">
        <v>7088659.3700000001</v>
      </c>
      <c r="H199" s="60">
        <v>371163.36999999994</v>
      </c>
      <c r="I199" s="6">
        <f>(G199-H199)*'16-PlantAdditions'!$E$103</f>
        <v>503812.19999999995</v>
      </c>
      <c r="J199" s="6">
        <f t="shared" si="55"/>
        <v>0</v>
      </c>
      <c r="K199" s="6">
        <f t="shared" si="56"/>
        <v>-371163.37</v>
      </c>
    </row>
    <row r="200" spans="1:11" ht="13">
      <c r="A200" s="2">
        <f t="shared" si="53"/>
        <v>146</v>
      </c>
      <c r="B200" s="349" t="s">
        <v>381</v>
      </c>
      <c r="C200" s="350">
        <v>2023</v>
      </c>
      <c r="D200" s="60">
        <v>250000</v>
      </c>
      <c r="E200" s="6">
        <f>D200*'16-PlantAdditions'!$E$103</f>
        <v>18750</v>
      </c>
      <c r="F200" s="6">
        <f t="shared" si="54"/>
        <v>268750</v>
      </c>
      <c r="G200" s="60">
        <v>250000</v>
      </c>
      <c r="H200" s="60">
        <v>0</v>
      </c>
      <c r="I200" s="6">
        <f>(G200-H200)*'16-PlantAdditions'!$E$103</f>
        <v>18750</v>
      </c>
      <c r="J200" s="6">
        <f t="shared" si="55"/>
        <v>0</v>
      </c>
      <c r="K200" s="6">
        <f t="shared" si="56"/>
        <v>-371163.37</v>
      </c>
    </row>
    <row r="201" spans="1:11" ht="13">
      <c r="A201" s="2">
        <f t="shared" si="53"/>
        <v>147</v>
      </c>
      <c r="B201" s="349" t="s">
        <v>382</v>
      </c>
      <c r="C201" s="350">
        <v>2023</v>
      </c>
      <c r="D201" s="60">
        <v>250000</v>
      </c>
      <c r="E201" s="6">
        <f>D201*'16-PlantAdditions'!$E$103</f>
        <v>18750</v>
      </c>
      <c r="F201" s="6">
        <f t="shared" si="54"/>
        <v>268750</v>
      </c>
      <c r="G201" s="60">
        <v>250000</v>
      </c>
      <c r="H201" s="60">
        <v>0</v>
      </c>
      <c r="I201" s="6">
        <f>(G201-H201)*'16-PlantAdditions'!$E$103</f>
        <v>18750</v>
      </c>
      <c r="J201" s="6">
        <f t="shared" si="55"/>
        <v>0</v>
      </c>
      <c r="K201" s="6">
        <f t="shared" si="56"/>
        <v>-371163.37</v>
      </c>
    </row>
    <row r="202" spans="1:11" ht="13">
      <c r="A202" s="2">
        <f t="shared" si="53"/>
        <v>148</v>
      </c>
      <c r="B202" s="349" t="s">
        <v>383</v>
      </c>
      <c r="C202" s="350">
        <v>2023</v>
      </c>
      <c r="D202" s="60">
        <v>250000</v>
      </c>
      <c r="E202" s="6">
        <f>D202*'16-PlantAdditions'!$E$103</f>
        <v>18750</v>
      </c>
      <c r="F202" s="6">
        <f t="shared" si="54"/>
        <v>268750</v>
      </c>
      <c r="G202" s="60">
        <v>250000</v>
      </c>
      <c r="H202" s="60">
        <v>0</v>
      </c>
      <c r="I202" s="6">
        <f>(G202-H202)*'16-PlantAdditions'!$E$103</f>
        <v>18750</v>
      </c>
      <c r="J202" s="6">
        <f t="shared" si="55"/>
        <v>0</v>
      </c>
      <c r="K202" s="6">
        <f t="shared" si="56"/>
        <v>-371163.37</v>
      </c>
    </row>
    <row r="203" spans="1:11" ht="13">
      <c r="A203" s="2">
        <f t="shared" si="53"/>
        <v>149</v>
      </c>
      <c r="B203" s="349" t="s">
        <v>384</v>
      </c>
      <c r="C203" s="350">
        <v>2023</v>
      </c>
      <c r="D203" s="60">
        <v>250000</v>
      </c>
      <c r="E203" s="6">
        <f>D203*'16-PlantAdditions'!$E$103</f>
        <v>18750</v>
      </c>
      <c r="F203" s="6">
        <f t="shared" si="54"/>
        <v>268750</v>
      </c>
      <c r="G203" s="60">
        <v>250000</v>
      </c>
      <c r="H203" s="60">
        <v>0</v>
      </c>
      <c r="I203" s="6">
        <f>(G203-H203)*'16-PlantAdditions'!$E$103</f>
        <v>18750</v>
      </c>
      <c r="J203" s="6">
        <f t="shared" si="55"/>
        <v>0</v>
      </c>
      <c r="K203" s="6">
        <f t="shared" si="56"/>
        <v>-371163.37</v>
      </c>
    </row>
    <row r="204" spans="1:11" ht="13">
      <c r="A204" s="2">
        <f t="shared" si="53"/>
        <v>150</v>
      </c>
      <c r="B204" s="349" t="s">
        <v>385</v>
      </c>
      <c r="C204" s="350">
        <v>2023</v>
      </c>
      <c r="D204" s="60">
        <v>250000</v>
      </c>
      <c r="E204" s="6">
        <f>D204*'16-PlantAdditions'!$E$103</f>
        <v>18750</v>
      </c>
      <c r="F204" s="6">
        <f t="shared" si="54"/>
        <v>268750</v>
      </c>
      <c r="G204" s="60">
        <v>250000</v>
      </c>
      <c r="H204" s="60">
        <v>0</v>
      </c>
      <c r="I204" s="6">
        <f>(G204-H204)*'16-PlantAdditions'!$E$103</f>
        <v>18750</v>
      </c>
      <c r="J204" s="6">
        <f t="shared" si="55"/>
        <v>0</v>
      </c>
      <c r="K204" s="6">
        <f t="shared" si="56"/>
        <v>-371163.37</v>
      </c>
    </row>
    <row r="205" spans="1:11" ht="13">
      <c r="A205" s="2">
        <f t="shared" si="53"/>
        <v>151</v>
      </c>
      <c r="B205" s="349" t="s">
        <v>594</v>
      </c>
      <c r="C205" s="350">
        <v>2023</v>
      </c>
      <c r="D205" s="60">
        <v>250000</v>
      </c>
      <c r="E205" s="6">
        <f>D205*'16-PlantAdditions'!$E$103</f>
        <v>18750</v>
      </c>
      <c r="F205" s="6">
        <f t="shared" si="54"/>
        <v>268750</v>
      </c>
      <c r="G205" s="60">
        <v>250000</v>
      </c>
      <c r="H205" s="60">
        <v>0</v>
      </c>
      <c r="I205" s="6">
        <f>(G205-H205)*'16-PlantAdditions'!$E$103</f>
        <v>18750</v>
      </c>
      <c r="J205" s="6">
        <f t="shared" si="55"/>
        <v>0</v>
      </c>
      <c r="K205" s="6">
        <f t="shared" si="56"/>
        <v>-371163.37</v>
      </c>
    </row>
    <row r="206" spans="1:11" ht="13">
      <c r="A206" s="2">
        <f t="shared" si="53"/>
        <v>152</v>
      </c>
      <c r="B206" s="349" t="s">
        <v>387</v>
      </c>
      <c r="C206" s="350">
        <v>2023</v>
      </c>
      <c r="D206" s="60">
        <v>250000</v>
      </c>
      <c r="E206" s="6">
        <f>D206*'16-PlantAdditions'!$E$103</f>
        <v>18750</v>
      </c>
      <c r="F206" s="6">
        <f t="shared" si="54"/>
        <v>268750</v>
      </c>
      <c r="G206" s="60">
        <v>250000</v>
      </c>
      <c r="H206" s="60">
        <v>0</v>
      </c>
      <c r="I206" s="6">
        <f>(G206-H206)*'16-PlantAdditions'!$E$103</f>
        <v>18750</v>
      </c>
      <c r="J206" s="6">
        <f t="shared" si="55"/>
        <v>0</v>
      </c>
      <c r="K206" s="6">
        <f t="shared" si="56"/>
        <v>-371163.37</v>
      </c>
    </row>
    <row r="207" spans="1:11" ht="13">
      <c r="A207" s="2">
        <f t="shared" si="53"/>
        <v>153</v>
      </c>
      <c r="B207" s="349" t="s">
        <v>388</v>
      </c>
      <c r="C207" s="350">
        <v>2023</v>
      </c>
      <c r="D207" s="60">
        <v>250000</v>
      </c>
      <c r="E207" s="6">
        <f>D207*'16-PlantAdditions'!$E$103</f>
        <v>18750</v>
      </c>
      <c r="F207" s="6">
        <f t="shared" si="54"/>
        <v>268750</v>
      </c>
      <c r="G207" s="60">
        <v>250000</v>
      </c>
      <c r="H207" s="60">
        <v>0</v>
      </c>
      <c r="I207" s="6">
        <f>(G207-H207)*'16-PlantAdditions'!$E$103</f>
        <v>18750</v>
      </c>
      <c r="J207" s="6">
        <f t="shared" si="55"/>
        <v>0</v>
      </c>
      <c r="K207" s="6">
        <f t="shared" si="56"/>
        <v>-371163.37</v>
      </c>
    </row>
    <row r="208" spans="1:11" ht="13">
      <c r="A208" s="2">
        <f t="shared" si="53"/>
        <v>154</v>
      </c>
      <c r="B208" s="349" t="s">
        <v>389</v>
      </c>
      <c r="C208" s="350">
        <v>2023</v>
      </c>
      <c r="D208" s="60">
        <v>250000</v>
      </c>
      <c r="E208" s="6">
        <f>D208*'16-PlantAdditions'!$E$103</f>
        <v>18750</v>
      </c>
      <c r="F208" s="6">
        <f t="shared" si="54"/>
        <v>268750</v>
      </c>
      <c r="G208" s="60">
        <v>250000</v>
      </c>
      <c r="H208" s="60">
        <v>0</v>
      </c>
      <c r="I208" s="6">
        <f>(G208-H208)*'16-PlantAdditions'!$E$103</f>
        <v>18750</v>
      </c>
      <c r="J208" s="6">
        <f t="shared" si="55"/>
        <v>0</v>
      </c>
      <c r="K208" s="6">
        <f t="shared" si="56"/>
        <v>-371163.37</v>
      </c>
    </row>
    <row r="209" spans="1:11" ht="13">
      <c r="A209" s="2">
        <f t="shared" si="53"/>
        <v>155</v>
      </c>
      <c r="B209" s="349" t="s">
        <v>390</v>
      </c>
      <c r="C209" s="350">
        <v>2023</v>
      </c>
      <c r="D209" s="60">
        <v>250000</v>
      </c>
      <c r="E209" s="6">
        <f>D209*'16-PlantAdditions'!$E$103</f>
        <v>18750</v>
      </c>
      <c r="F209" s="6">
        <f t="shared" ref="F209:F211" si="57">E209+D209</f>
        <v>268750</v>
      </c>
      <c r="G209" s="60">
        <v>250000</v>
      </c>
      <c r="H209" s="60">
        <v>0</v>
      </c>
      <c r="I209" s="6">
        <f>(G209-H209)*'16-PlantAdditions'!$E$103</f>
        <v>18750</v>
      </c>
      <c r="J209" s="6">
        <f t="shared" ref="J209:J211" si="58">J208+F209-G209-I209</f>
        <v>0</v>
      </c>
      <c r="K209" s="6">
        <f t="shared" si="56"/>
        <v>-371163.37</v>
      </c>
    </row>
    <row r="210" spans="1:11" ht="13">
      <c r="A210" s="2">
        <f t="shared" si="53"/>
        <v>156</v>
      </c>
      <c r="B210" s="349" t="s">
        <v>391</v>
      </c>
      <c r="C210" s="350">
        <v>2023</v>
      </c>
      <c r="D210" s="60">
        <v>250000</v>
      </c>
      <c r="E210" s="6">
        <f>D210*'16-PlantAdditions'!$E$103</f>
        <v>18750</v>
      </c>
      <c r="F210" s="6">
        <f t="shared" si="57"/>
        <v>268750</v>
      </c>
      <c r="G210" s="60">
        <v>250000</v>
      </c>
      <c r="H210" s="60">
        <v>0</v>
      </c>
      <c r="I210" s="6">
        <f>(G210-H210)*'16-PlantAdditions'!$E$103</f>
        <v>18750</v>
      </c>
      <c r="J210" s="6">
        <f t="shared" si="58"/>
        <v>0</v>
      </c>
      <c r="K210" s="6">
        <f t="shared" si="56"/>
        <v>-371163.37</v>
      </c>
    </row>
    <row r="211" spans="1:11" ht="13">
      <c r="A211" s="2">
        <f t="shared" si="53"/>
        <v>157</v>
      </c>
      <c r="B211" s="349" t="s">
        <v>379</v>
      </c>
      <c r="C211" s="350">
        <v>2023</v>
      </c>
      <c r="D211" s="60">
        <v>124041</v>
      </c>
      <c r="E211" s="6">
        <f>D211*'16-PlantAdditions'!$E$103</f>
        <v>9303.0749999999989</v>
      </c>
      <c r="F211" s="6">
        <f t="shared" si="57"/>
        <v>133344.07500000001</v>
      </c>
      <c r="G211" s="60">
        <v>124041</v>
      </c>
      <c r="H211" s="60">
        <v>0</v>
      </c>
      <c r="I211" s="6">
        <f>(G211-H211)*'16-PlantAdditions'!$E$103</f>
        <v>9303.0749999999989</v>
      </c>
      <c r="J211" s="6">
        <f t="shared" si="58"/>
        <v>0</v>
      </c>
      <c r="K211" s="53">
        <f t="shared" si="56"/>
        <v>-371163.37</v>
      </c>
    </row>
    <row r="212" spans="1:11" ht="13">
      <c r="A212" s="2">
        <f t="shared" si="53"/>
        <v>158</v>
      </c>
      <c r="C212" s="371" t="s">
        <v>999</v>
      </c>
      <c r="K212" s="42">
        <f>AVERAGE(K199:K211)</f>
        <v>-371163.37000000005</v>
      </c>
    </row>
    <row r="213" spans="1:11" ht="13">
      <c r="A213" s="2"/>
      <c r="C213" s="371"/>
      <c r="K213" s="42"/>
    </row>
    <row r="214" spans="1:11" ht="13">
      <c r="B214" s="34" t="s">
        <v>1014</v>
      </c>
      <c r="D214" s="1116" t="s">
        <v>971</v>
      </c>
      <c r="E214" s="1116"/>
    </row>
    <row r="215" spans="1:11" ht="13">
      <c r="B215" s="34"/>
      <c r="D215" s="3" t="s">
        <v>336</v>
      </c>
      <c r="E215" s="3" t="s">
        <v>337</v>
      </c>
      <c r="F215" s="3" t="s">
        <v>338</v>
      </c>
      <c r="G215" s="3" t="s">
        <v>339</v>
      </c>
      <c r="H215" s="3" t="s">
        <v>340</v>
      </c>
      <c r="I215" s="3" t="s">
        <v>341</v>
      </c>
      <c r="J215" s="3" t="s">
        <v>342</v>
      </c>
      <c r="K215" s="3" t="s">
        <v>343</v>
      </c>
    </row>
    <row r="216" spans="1:11" ht="25.5">
      <c r="B216" s="34"/>
      <c r="D216" s="48"/>
      <c r="E216" s="372" t="s">
        <v>1003</v>
      </c>
      <c r="F216" s="257" t="s">
        <v>1004</v>
      </c>
      <c r="G216" s="257"/>
      <c r="H216" s="48"/>
      <c r="I216" s="372" t="s">
        <v>1005</v>
      </c>
      <c r="J216" s="372" t="s">
        <v>1006</v>
      </c>
      <c r="K216" s="372" t="s">
        <v>1007</v>
      </c>
    </row>
    <row r="217" spans="1:11" ht="13">
      <c r="D217" s="48"/>
      <c r="E217" s="48"/>
      <c r="F217" s="48"/>
      <c r="G217" s="2" t="str">
        <f>G51</f>
        <v>Unloaded</v>
      </c>
      <c r="H217" s="48"/>
      <c r="I217" s="48"/>
    </row>
    <row r="218" spans="1:11" ht="13">
      <c r="A218" s="2"/>
      <c r="B218" s="2"/>
      <c r="C218" s="2"/>
      <c r="D218" s="2" t="str">
        <f>D$52</f>
        <v>Forecast</v>
      </c>
      <c r="E218" s="2" t="str">
        <f t="shared" ref="E218:J218" si="59">E$52</f>
        <v>Corporate</v>
      </c>
      <c r="F218" s="2" t="str">
        <f t="shared" si="59"/>
        <v xml:space="preserve">Total </v>
      </c>
      <c r="G218" s="2" t="str">
        <f>G52</f>
        <v>Total</v>
      </c>
      <c r="H218" s="2" t="str">
        <f t="shared" si="59"/>
        <v>Prior Period</v>
      </c>
      <c r="I218" s="2" t="str">
        <f t="shared" si="59"/>
        <v>Over Heads</v>
      </c>
      <c r="J218" s="2" t="str">
        <f t="shared" si="59"/>
        <v>Forecast</v>
      </c>
      <c r="K218" s="2" t="str">
        <f>K$52</f>
        <v>Forecast Period</v>
      </c>
    </row>
    <row r="219" spans="1:11" ht="13">
      <c r="A219" s="30" t="s">
        <v>273</v>
      </c>
      <c r="B219" s="348" t="s">
        <v>371</v>
      </c>
      <c r="C219" s="348" t="s">
        <v>372</v>
      </c>
      <c r="D219" s="3" t="str">
        <f>D$53</f>
        <v>Expenditures</v>
      </c>
      <c r="E219" s="3" t="str">
        <f t="shared" ref="E219:J219" si="60">E$53</f>
        <v>Overheads</v>
      </c>
      <c r="F219" s="3" t="str">
        <f t="shared" si="60"/>
        <v>CWIP Exp</v>
      </c>
      <c r="G219" s="3" t="str">
        <f>G53</f>
        <v>Plant Adds</v>
      </c>
      <c r="H219" s="3" t="str">
        <f t="shared" si="60"/>
        <v>CWIP Closed</v>
      </c>
      <c r="I219" s="3" t="str">
        <f t="shared" si="60"/>
        <v>Closed to PIS</v>
      </c>
      <c r="J219" s="3" t="str">
        <f t="shared" si="60"/>
        <v>Period CWIP</v>
      </c>
      <c r="K219" s="3" t="str">
        <f>K$53</f>
        <v>Incremental CWIP</v>
      </c>
    </row>
    <row r="220" spans="1:11" ht="13">
      <c r="A220" s="2">
        <f>A212+1</f>
        <v>159</v>
      </c>
      <c r="B220" s="349" t="s">
        <v>379</v>
      </c>
      <c r="C220" s="350">
        <v>2021</v>
      </c>
      <c r="D220" s="257" t="s">
        <v>380</v>
      </c>
      <c r="E220" s="257" t="s">
        <v>380</v>
      </c>
      <c r="F220" s="257" t="s">
        <v>380</v>
      </c>
      <c r="G220" s="257" t="s">
        <v>380</v>
      </c>
      <c r="H220" s="257" t="s">
        <v>380</v>
      </c>
      <c r="I220" s="257" t="s">
        <v>380</v>
      </c>
      <c r="J220" s="6">
        <f>I25</f>
        <v>0</v>
      </c>
      <c r="K220" s="257" t="s">
        <v>380</v>
      </c>
    </row>
    <row r="221" spans="1:11" ht="13">
      <c r="A221" s="2">
        <f>A220+1</f>
        <v>160</v>
      </c>
      <c r="B221" s="349" t="s">
        <v>381</v>
      </c>
      <c r="C221" s="350">
        <v>2022</v>
      </c>
      <c r="D221" s="60">
        <v>0</v>
      </c>
      <c r="E221" s="6">
        <f>D221*'16-PlantAdditions'!$E$103</f>
        <v>0</v>
      </c>
      <c r="F221" s="6">
        <f>E221+D221</f>
        <v>0</v>
      </c>
      <c r="G221" s="60">
        <v>0</v>
      </c>
      <c r="H221" s="60">
        <v>0</v>
      </c>
      <c r="I221" s="6">
        <f>(G221-H221)*'16-PlantAdditions'!$E$103</f>
        <v>0</v>
      </c>
      <c r="J221" s="6">
        <f>J220+F221-G221-I221</f>
        <v>0</v>
      </c>
      <c r="K221" s="6">
        <f>J221-$J$220</f>
        <v>0</v>
      </c>
    </row>
    <row r="222" spans="1:11" ht="13">
      <c r="A222" s="2">
        <f t="shared" ref="A222:A245" si="61">A221+1</f>
        <v>161</v>
      </c>
      <c r="B222" s="349" t="s">
        <v>382</v>
      </c>
      <c r="C222" s="350">
        <v>2022</v>
      </c>
      <c r="D222" s="60">
        <v>0</v>
      </c>
      <c r="E222" s="6">
        <f>D222*'16-PlantAdditions'!$E$103</f>
        <v>0</v>
      </c>
      <c r="F222" s="6">
        <f t="shared" ref="F222:F241" si="62">E222+D222</f>
        <v>0</v>
      </c>
      <c r="G222" s="60">
        <v>0</v>
      </c>
      <c r="H222" s="60">
        <v>0</v>
      </c>
      <c r="I222" s="6">
        <f>(G222-H222)*'16-PlantAdditions'!$E$103</f>
        <v>0</v>
      </c>
      <c r="J222" s="6">
        <f t="shared" ref="J222:J241" si="63">J221+F222-G222-I222</f>
        <v>0</v>
      </c>
      <c r="K222" s="6">
        <f t="shared" ref="K222:K244" si="64">J222-$J$220</f>
        <v>0</v>
      </c>
    </row>
    <row r="223" spans="1:11" ht="13">
      <c r="A223" s="2">
        <f t="shared" si="61"/>
        <v>162</v>
      </c>
      <c r="B223" s="349" t="s">
        <v>383</v>
      </c>
      <c r="C223" s="350">
        <v>2022</v>
      </c>
      <c r="D223" s="60">
        <v>0</v>
      </c>
      <c r="E223" s="6">
        <f>D223*'16-PlantAdditions'!$E$103</f>
        <v>0</v>
      </c>
      <c r="F223" s="6">
        <f t="shared" si="62"/>
        <v>0</v>
      </c>
      <c r="G223" s="60">
        <v>0</v>
      </c>
      <c r="H223" s="60">
        <v>0</v>
      </c>
      <c r="I223" s="6">
        <f>(G223-H223)*'16-PlantAdditions'!$E$103</f>
        <v>0</v>
      </c>
      <c r="J223" s="6">
        <f t="shared" si="63"/>
        <v>0</v>
      </c>
      <c r="K223" s="6">
        <f t="shared" si="64"/>
        <v>0</v>
      </c>
    </row>
    <row r="224" spans="1:11" ht="13">
      <c r="A224" s="2">
        <f t="shared" si="61"/>
        <v>163</v>
      </c>
      <c r="B224" s="349" t="s">
        <v>384</v>
      </c>
      <c r="C224" s="350">
        <v>2022</v>
      </c>
      <c r="D224" s="60">
        <v>0</v>
      </c>
      <c r="E224" s="6">
        <f>D224*'16-PlantAdditions'!$E$103</f>
        <v>0</v>
      </c>
      <c r="F224" s="6">
        <f t="shared" si="62"/>
        <v>0</v>
      </c>
      <c r="G224" s="60">
        <v>0</v>
      </c>
      <c r="H224" s="60">
        <v>0</v>
      </c>
      <c r="I224" s="6">
        <f>(G224-H224)*'16-PlantAdditions'!$E$103</f>
        <v>0</v>
      </c>
      <c r="J224" s="6">
        <f t="shared" si="63"/>
        <v>0</v>
      </c>
      <c r="K224" s="6">
        <f t="shared" si="64"/>
        <v>0</v>
      </c>
    </row>
    <row r="225" spans="1:11" ht="13">
      <c r="A225" s="2">
        <f t="shared" si="61"/>
        <v>164</v>
      </c>
      <c r="B225" s="349" t="s">
        <v>385</v>
      </c>
      <c r="C225" s="350">
        <v>2022</v>
      </c>
      <c r="D225" s="60">
        <v>0</v>
      </c>
      <c r="E225" s="6">
        <f>D225*'16-PlantAdditions'!$E$103</f>
        <v>0</v>
      </c>
      <c r="F225" s="6">
        <f t="shared" si="62"/>
        <v>0</v>
      </c>
      <c r="G225" s="60">
        <v>0</v>
      </c>
      <c r="H225" s="60">
        <v>0</v>
      </c>
      <c r="I225" s="6">
        <f>(G225-H225)*'16-PlantAdditions'!$E$103</f>
        <v>0</v>
      </c>
      <c r="J225" s="6">
        <f t="shared" si="63"/>
        <v>0</v>
      </c>
      <c r="K225" s="6">
        <f t="shared" si="64"/>
        <v>0</v>
      </c>
    </row>
    <row r="226" spans="1:11" ht="13">
      <c r="A226" s="2">
        <f t="shared" si="61"/>
        <v>165</v>
      </c>
      <c r="B226" s="349" t="s">
        <v>594</v>
      </c>
      <c r="C226" s="350">
        <v>2022</v>
      </c>
      <c r="D226" s="60">
        <v>0</v>
      </c>
      <c r="E226" s="6">
        <f>D226*'16-PlantAdditions'!$E$103</f>
        <v>0</v>
      </c>
      <c r="F226" s="6">
        <f t="shared" si="62"/>
        <v>0</v>
      </c>
      <c r="G226" s="60">
        <v>0</v>
      </c>
      <c r="H226" s="60">
        <v>0</v>
      </c>
      <c r="I226" s="6">
        <f>(G226-H226)*'16-PlantAdditions'!$E$103</f>
        <v>0</v>
      </c>
      <c r="J226" s="6">
        <f t="shared" si="63"/>
        <v>0</v>
      </c>
      <c r="K226" s="6">
        <f t="shared" si="64"/>
        <v>0</v>
      </c>
    </row>
    <row r="227" spans="1:11" ht="13">
      <c r="A227" s="2">
        <f t="shared" si="61"/>
        <v>166</v>
      </c>
      <c r="B227" s="349" t="s">
        <v>387</v>
      </c>
      <c r="C227" s="350">
        <v>2022</v>
      </c>
      <c r="D227" s="60">
        <v>0</v>
      </c>
      <c r="E227" s="6">
        <f>D227*'16-PlantAdditions'!$E$103</f>
        <v>0</v>
      </c>
      <c r="F227" s="6">
        <f t="shared" si="62"/>
        <v>0</v>
      </c>
      <c r="G227" s="60">
        <v>0</v>
      </c>
      <c r="H227" s="60">
        <v>0</v>
      </c>
      <c r="I227" s="6">
        <f>(G227-H227)*'16-PlantAdditions'!$E$103</f>
        <v>0</v>
      </c>
      <c r="J227" s="6">
        <f t="shared" si="63"/>
        <v>0</v>
      </c>
      <c r="K227" s="6">
        <f t="shared" si="64"/>
        <v>0</v>
      </c>
    </row>
    <row r="228" spans="1:11" ht="13">
      <c r="A228" s="2">
        <f t="shared" si="61"/>
        <v>167</v>
      </c>
      <c r="B228" s="349" t="s">
        <v>388</v>
      </c>
      <c r="C228" s="350">
        <v>2022</v>
      </c>
      <c r="D228" s="60">
        <v>0</v>
      </c>
      <c r="E228" s="6">
        <f>D228*'16-PlantAdditions'!$E$103</f>
        <v>0</v>
      </c>
      <c r="F228" s="6">
        <f t="shared" si="62"/>
        <v>0</v>
      </c>
      <c r="G228" s="60">
        <v>0</v>
      </c>
      <c r="H228" s="60">
        <v>0</v>
      </c>
      <c r="I228" s="6">
        <f>(G228-H228)*'16-PlantAdditions'!$E$103</f>
        <v>0</v>
      </c>
      <c r="J228" s="6">
        <f t="shared" si="63"/>
        <v>0</v>
      </c>
      <c r="K228" s="6">
        <f t="shared" si="64"/>
        <v>0</v>
      </c>
    </row>
    <row r="229" spans="1:11" ht="13">
      <c r="A229" s="2">
        <f t="shared" si="61"/>
        <v>168</v>
      </c>
      <c r="B229" s="349" t="s">
        <v>389</v>
      </c>
      <c r="C229" s="350">
        <v>2022</v>
      </c>
      <c r="D229" s="60">
        <v>0</v>
      </c>
      <c r="E229" s="6">
        <f>D229*'16-PlantAdditions'!$E$103</f>
        <v>0</v>
      </c>
      <c r="F229" s="6">
        <f t="shared" si="62"/>
        <v>0</v>
      </c>
      <c r="G229" s="60">
        <v>0</v>
      </c>
      <c r="H229" s="60">
        <v>0</v>
      </c>
      <c r="I229" s="6">
        <f>(G229-H229)*'16-PlantAdditions'!$E$103</f>
        <v>0</v>
      </c>
      <c r="J229" s="6">
        <f t="shared" si="63"/>
        <v>0</v>
      </c>
      <c r="K229" s="6">
        <f t="shared" si="64"/>
        <v>0</v>
      </c>
    </row>
    <row r="230" spans="1:11" ht="13">
      <c r="A230" s="2">
        <f t="shared" si="61"/>
        <v>169</v>
      </c>
      <c r="B230" s="349" t="s">
        <v>390</v>
      </c>
      <c r="C230" s="350">
        <v>2022</v>
      </c>
      <c r="D230" s="60">
        <v>0</v>
      </c>
      <c r="E230" s="6">
        <f>D230*'16-PlantAdditions'!$E$103</f>
        <v>0</v>
      </c>
      <c r="F230" s="6">
        <f t="shared" si="62"/>
        <v>0</v>
      </c>
      <c r="G230" s="60">
        <v>0</v>
      </c>
      <c r="H230" s="60">
        <v>0</v>
      </c>
      <c r="I230" s="6">
        <f>(G230-H230)*'16-PlantAdditions'!$E$103</f>
        <v>0</v>
      </c>
      <c r="J230" s="6">
        <f t="shared" si="63"/>
        <v>0</v>
      </c>
      <c r="K230" s="6">
        <f t="shared" si="64"/>
        <v>0</v>
      </c>
    </row>
    <row r="231" spans="1:11" ht="13">
      <c r="A231" s="2">
        <f t="shared" si="61"/>
        <v>170</v>
      </c>
      <c r="B231" s="349" t="s">
        <v>391</v>
      </c>
      <c r="C231" s="350">
        <v>2022</v>
      </c>
      <c r="D231" s="60">
        <v>0</v>
      </c>
      <c r="E231" s="6">
        <f>D231*'16-PlantAdditions'!$E$103</f>
        <v>0</v>
      </c>
      <c r="F231" s="6">
        <f t="shared" si="62"/>
        <v>0</v>
      </c>
      <c r="G231" s="60">
        <v>0</v>
      </c>
      <c r="H231" s="60">
        <v>0</v>
      </c>
      <c r="I231" s="6">
        <f>(G231-H231)*'16-PlantAdditions'!$E$103</f>
        <v>0</v>
      </c>
      <c r="J231" s="6">
        <f t="shared" si="63"/>
        <v>0</v>
      </c>
      <c r="K231" s="6">
        <f t="shared" si="64"/>
        <v>0</v>
      </c>
    </row>
    <row r="232" spans="1:11" ht="13">
      <c r="A232" s="2">
        <f t="shared" si="61"/>
        <v>171</v>
      </c>
      <c r="B232" s="349" t="s">
        <v>379</v>
      </c>
      <c r="C232" s="350">
        <v>2022</v>
      </c>
      <c r="D232" s="60">
        <v>0</v>
      </c>
      <c r="E232" s="6">
        <f>D232*'16-PlantAdditions'!$E$103</f>
        <v>0</v>
      </c>
      <c r="F232" s="6">
        <f t="shared" si="62"/>
        <v>0</v>
      </c>
      <c r="G232" s="60">
        <v>0</v>
      </c>
      <c r="H232" s="60">
        <v>0</v>
      </c>
      <c r="I232" s="6">
        <f>(G232-H232)*'16-PlantAdditions'!$E$103</f>
        <v>0</v>
      </c>
      <c r="J232" s="6">
        <f t="shared" si="63"/>
        <v>0</v>
      </c>
      <c r="K232" s="6">
        <f t="shared" si="64"/>
        <v>0</v>
      </c>
    </row>
    <row r="233" spans="1:11" ht="13">
      <c r="A233" s="2">
        <f t="shared" si="61"/>
        <v>172</v>
      </c>
      <c r="B233" s="349" t="s">
        <v>381</v>
      </c>
      <c r="C233" s="350">
        <v>2023</v>
      </c>
      <c r="D233" s="60">
        <v>0</v>
      </c>
      <c r="E233" s="6">
        <f>D233*'16-PlantAdditions'!$E$103</f>
        <v>0</v>
      </c>
      <c r="F233" s="6">
        <f t="shared" si="62"/>
        <v>0</v>
      </c>
      <c r="G233" s="60">
        <v>0</v>
      </c>
      <c r="H233" s="60">
        <v>0</v>
      </c>
      <c r="I233" s="6">
        <f>(G233-H233)*'16-PlantAdditions'!$E$103</f>
        <v>0</v>
      </c>
      <c r="J233" s="6">
        <f t="shared" si="63"/>
        <v>0</v>
      </c>
      <c r="K233" s="6">
        <f t="shared" si="64"/>
        <v>0</v>
      </c>
    </row>
    <row r="234" spans="1:11" ht="13">
      <c r="A234" s="2">
        <f t="shared" si="61"/>
        <v>173</v>
      </c>
      <c r="B234" s="349" t="s">
        <v>382</v>
      </c>
      <c r="C234" s="350">
        <v>2023</v>
      </c>
      <c r="D234" s="60">
        <v>0</v>
      </c>
      <c r="E234" s="6">
        <f>D234*'16-PlantAdditions'!$E$103</f>
        <v>0</v>
      </c>
      <c r="F234" s="6">
        <f t="shared" si="62"/>
        <v>0</v>
      </c>
      <c r="G234" s="60">
        <v>0</v>
      </c>
      <c r="H234" s="60">
        <v>0</v>
      </c>
      <c r="I234" s="6">
        <f>(G234-H234)*'16-PlantAdditions'!$E$103</f>
        <v>0</v>
      </c>
      <c r="J234" s="6">
        <f t="shared" si="63"/>
        <v>0</v>
      </c>
      <c r="K234" s="6">
        <f t="shared" si="64"/>
        <v>0</v>
      </c>
    </row>
    <row r="235" spans="1:11" ht="13">
      <c r="A235" s="2">
        <f t="shared" si="61"/>
        <v>174</v>
      </c>
      <c r="B235" s="349" t="s">
        <v>383</v>
      </c>
      <c r="C235" s="350">
        <v>2023</v>
      </c>
      <c r="D235" s="60">
        <v>0</v>
      </c>
      <c r="E235" s="6">
        <f>D235*'16-PlantAdditions'!$E$103</f>
        <v>0</v>
      </c>
      <c r="F235" s="6">
        <f t="shared" si="62"/>
        <v>0</v>
      </c>
      <c r="G235" s="60">
        <v>0</v>
      </c>
      <c r="H235" s="60">
        <v>0</v>
      </c>
      <c r="I235" s="6">
        <f>(G235-H235)*'16-PlantAdditions'!$E$103</f>
        <v>0</v>
      </c>
      <c r="J235" s="6">
        <f t="shared" si="63"/>
        <v>0</v>
      </c>
      <c r="K235" s="6">
        <f t="shared" si="64"/>
        <v>0</v>
      </c>
    </row>
    <row r="236" spans="1:11" ht="13">
      <c r="A236" s="2">
        <f t="shared" si="61"/>
        <v>175</v>
      </c>
      <c r="B236" s="349" t="s">
        <v>384</v>
      </c>
      <c r="C236" s="350">
        <v>2023</v>
      </c>
      <c r="D236" s="60">
        <v>0</v>
      </c>
      <c r="E236" s="6">
        <f>D236*'16-PlantAdditions'!$E$103</f>
        <v>0</v>
      </c>
      <c r="F236" s="6">
        <f t="shared" si="62"/>
        <v>0</v>
      </c>
      <c r="G236" s="60">
        <v>0</v>
      </c>
      <c r="H236" s="60">
        <v>0</v>
      </c>
      <c r="I236" s="6">
        <f>(G236-H236)*'16-PlantAdditions'!$E$103</f>
        <v>0</v>
      </c>
      <c r="J236" s="6">
        <f t="shared" si="63"/>
        <v>0</v>
      </c>
      <c r="K236" s="6">
        <f t="shared" si="64"/>
        <v>0</v>
      </c>
    </row>
    <row r="237" spans="1:11" ht="13">
      <c r="A237" s="2">
        <f t="shared" si="61"/>
        <v>176</v>
      </c>
      <c r="B237" s="349" t="s">
        <v>385</v>
      </c>
      <c r="C237" s="350">
        <v>2023</v>
      </c>
      <c r="D237" s="60">
        <v>0</v>
      </c>
      <c r="E237" s="6">
        <f>D237*'16-PlantAdditions'!$E$103</f>
        <v>0</v>
      </c>
      <c r="F237" s="6">
        <f t="shared" si="62"/>
        <v>0</v>
      </c>
      <c r="G237" s="60">
        <v>0</v>
      </c>
      <c r="H237" s="60">
        <v>0</v>
      </c>
      <c r="I237" s="6">
        <f>(G237-H237)*'16-PlantAdditions'!$E$103</f>
        <v>0</v>
      </c>
      <c r="J237" s="6">
        <f t="shared" si="63"/>
        <v>0</v>
      </c>
      <c r="K237" s="6">
        <f t="shared" si="64"/>
        <v>0</v>
      </c>
    </row>
    <row r="238" spans="1:11" ht="13">
      <c r="A238" s="2">
        <f t="shared" si="61"/>
        <v>177</v>
      </c>
      <c r="B238" s="349" t="s">
        <v>594</v>
      </c>
      <c r="C238" s="350">
        <v>2023</v>
      </c>
      <c r="D238" s="60">
        <v>0</v>
      </c>
      <c r="E238" s="6">
        <f>D238*'16-PlantAdditions'!$E$103</f>
        <v>0</v>
      </c>
      <c r="F238" s="6">
        <f t="shared" si="62"/>
        <v>0</v>
      </c>
      <c r="G238" s="60">
        <v>0</v>
      </c>
      <c r="H238" s="60">
        <v>0</v>
      </c>
      <c r="I238" s="6">
        <f>(G238-H238)*'16-PlantAdditions'!$E$103</f>
        <v>0</v>
      </c>
      <c r="J238" s="6">
        <f t="shared" si="63"/>
        <v>0</v>
      </c>
      <c r="K238" s="6">
        <f t="shared" si="64"/>
        <v>0</v>
      </c>
    </row>
    <row r="239" spans="1:11" ht="13">
      <c r="A239" s="2">
        <f t="shared" si="61"/>
        <v>178</v>
      </c>
      <c r="B239" s="349" t="s">
        <v>387</v>
      </c>
      <c r="C239" s="350">
        <v>2023</v>
      </c>
      <c r="D239" s="60">
        <v>0</v>
      </c>
      <c r="E239" s="6">
        <f>D239*'16-PlantAdditions'!$E$103</f>
        <v>0</v>
      </c>
      <c r="F239" s="6">
        <f t="shared" si="62"/>
        <v>0</v>
      </c>
      <c r="G239" s="60">
        <v>0</v>
      </c>
      <c r="H239" s="60">
        <v>0</v>
      </c>
      <c r="I239" s="6">
        <f>(G239-H239)*'16-PlantAdditions'!$E$103</f>
        <v>0</v>
      </c>
      <c r="J239" s="6">
        <f t="shared" si="63"/>
        <v>0</v>
      </c>
      <c r="K239" s="6">
        <f t="shared" si="64"/>
        <v>0</v>
      </c>
    </row>
    <row r="240" spans="1:11" ht="13">
      <c r="A240" s="2">
        <f t="shared" si="61"/>
        <v>179</v>
      </c>
      <c r="B240" s="349" t="s">
        <v>388</v>
      </c>
      <c r="C240" s="350">
        <v>2023</v>
      </c>
      <c r="D240" s="60">
        <v>0</v>
      </c>
      <c r="E240" s="6">
        <f>D240*'16-PlantAdditions'!$E$103</f>
        <v>0</v>
      </c>
      <c r="F240" s="6">
        <f t="shared" si="62"/>
        <v>0</v>
      </c>
      <c r="G240" s="60">
        <v>0</v>
      </c>
      <c r="H240" s="60">
        <v>0</v>
      </c>
      <c r="I240" s="6">
        <f>(G240-H240)*'16-PlantAdditions'!$E$103</f>
        <v>0</v>
      </c>
      <c r="J240" s="6">
        <f t="shared" si="63"/>
        <v>0</v>
      </c>
      <c r="K240" s="6">
        <f t="shared" si="64"/>
        <v>0</v>
      </c>
    </row>
    <row r="241" spans="1:11" ht="13">
      <c r="A241" s="2">
        <f t="shared" si="61"/>
        <v>180</v>
      </c>
      <c r="B241" s="349" t="s">
        <v>389</v>
      </c>
      <c r="C241" s="350">
        <v>2023</v>
      </c>
      <c r="D241" s="60">
        <v>0</v>
      </c>
      <c r="E241" s="6">
        <f>D241*'16-PlantAdditions'!$E$103</f>
        <v>0</v>
      </c>
      <c r="F241" s="6">
        <f t="shared" si="62"/>
        <v>0</v>
      </c>
      <c r="G241" s="60">
        <v>0</v>
      </c>
      <c r="H241" s="60">
        <v>0</v>
      </c>
      <c r="I241" s="6">
        <f>(G241-H241)*'16-PlantAdditions'!$E$103</f>
        <v>0</v>
      </c>
      <c r="J241" s="6">
        <f t="shared" si="63"/>
        <v>0</v>
      </c>
      <c r="K241" s="6">
        <f t="shared" si="64"/>
        <v>0</v>
      </c>
    </row>
    <row r="242" spans="1:11" ht="13">
      <c r="A242" s="2">
        <f t="shared" si="61"/>
        <v>181</v>
      </c>
      <c r="B242" s="349" t="s">
        <v>390</v>
      </c>
      <c r="C242" s="350">
        <v>2023</v>
      </c>
      <c r="D242" s="60">
        <v>0</v>
      </c>
      <c r="E242" s="6">
        <f>D242*'16-PlantAdditions'!$E$103</f>
        <v>0</v>
      </c>
      <c r="F242" s="6">
        <f t="shared" ref="F242:F244" si="65">E242+D242</f>
        <v>0</v>
      </c>
      <c r="G242" s="60">
        <v>0</v>
      </c>
      <c r="H242" s="60">
        <v>0</v>
      </c>
      <c r="I242" s="6">
        <f>(G242-H242)*'16-PlantAdditions'!$E$103</f>
        <v>0</v>
      </c>
      <c r="J242" s="6">
        <f t="shared" ref="J242:J244" si="66">J241+F242-G242-I242</f>
        <v>0</v>
      </c>
      <c r="K242" s="6">
        <f t="shared" si="64"/>
        <v>0</v>
      </c>
    </row>
    <row r="243" spans="1:11" ht="13">
      <c r="A243" s="2">
        <f t="shared" si="61"/>
        <v>182</v>
      </c>
      <c r="B243" s="349" t="s">
        <v>391</v>
      </c>
      <c r="C243" s="350">
        <v>2023</v>
      </c>
      <c r="D243" s="60">
        <v>0</v>
      </c>
      <c r="E243" s="6">
        <f>D243*'16-PlantAdditions'!$E$103</f>
        <v>0</v>
      </c>
      <c r="F243" s="6">
        <f t="shared" si="65"/>
        <v>0</v>
      </c>
      <c r="G243" s="60">
        <v>0</v>
      </c>
      <c r="H243" s="60">
        <v>0</v>
      </c>
      <c r="I243" s="6">
        <f>(G243-H243)*'16-PlantAdditions'!$E$103</f>
        <v>0</v>
      </c>
      <c r="J243" s="6">
        <f t="shared" si="66"/>
        <v>0</v>
      </c>
      <c r="K243" s="6">
        <f t="shared" si="64"/>
        <v>0</v>
      </c>
    </row>
    <row r="244" spans="1:11" ht="13">
      <c r="A244" s="2">
        <f t="shared" si="61"/>
        <v>183</v>
      </c>
      <c r="B244" s="349" t="s">
        <v>379</v>
      </c>
      <c r="C244" s="350">
        <v>2023</v>
      </c>
      <c r="D244" s="60">
        <v>0</v>
      </c>
      <c r="E244" s="6">
        <f>D244*'16-PlantAdditions'!$E$103</f>
        <v>0</v>
      </c>
      <c r="F244" s="6">
        <f t="shared" si="65"/>
        <v>0</v>
      </c>
      <c r="G244" s="60">
        <v>0</v>
      </c>
      <c r="H244" s="60">
        <v>0</v>
      </c>
      <c r="I244" s="6">
        <f>(G244-H244)*'16-PlantAdditions'!$E$103</f>
        <v>0</v>
      </c>
      <c r="J244" s="6">
        <f t="shared" si="66"/>
        <v>0</v>
      </c>
      <c r="K244" s="53">
        <f t="shared" si="64"/>
        <v>0</v>
      </c>
    </row>
    <row r="245" spans="1:11" ht="13">
      <c r="A245" s="2">
        <f t="shared" si="61"/>
        <v>184</v>
      </c>
      <c r="C245" s="371" t="s">
        <v>999</v>
      </c>
      <c r="K245" s="42">
        <f>AVERAGE(K232:K244)</f>
        <v>0</v>
      </c>
    </row>
    <row r="246" spans="1:11" ht="13">
      <c r="A246" s="2"/>
      <c r="C246" s="371"/>
      <c r="K246" s="42"/>
    </row>
    <row r="247" spans="1:11" ht="13">
      <c r="B247" s="34" t="s">
        <v>1015</v>
      </c>
      <c r="D247" s="1116" t="s">
        <v>1016</v>
      </c>
      <c r="E247" s="1116"/>
    </row>
    <row r="248" spans="1:11" ht="13">
      <c r="A248" s="3"/>
      <c r="B248" s="3"/>
      <c r="C248" s="3"/>
      <c r="D248" s="3" t="s">
        <v>336</v>
      </c>
      <c r="E248" s="3" t="s">
        <v>337</v>
      </c>
      <c r="F248" s="3" t="s">
        <v>338</v>
      </c>
      <c r="G248" s="3" t="s">
        <v>339</v>
      </c>
      <c r="H248" s="3" t="s">
        <v>340</v>
      </c>
      <c r="I248" s="3" t="s">
        <v>341</v>
      </c>
      <c r="J248" s="3" t="s">
        <v>342</v>
      </c>
      <c r="K248" s="3" t="s">
        <v>343</v>
      </c>
    </row>
    <row r="249" spans="1:11" ht="25.5">
      <c r="D249" s="48"/>
      <c r="E249" s="372" t="s">
        <v>1003</v>
      </c>
      <c r="F249" s="257" t="s">
        <v>1004</v>
      </c>
      <c r="G249" s="257"/>
      <c r="H249" s="48"/>
      <c r="I249" s="372" t="s">
        <v>1005</v>
      </c>
      <c r="J249" s="372" t="s">
        <v>1006</v>
      </c>
      <c r="K249" s="372" t="s">
        <v>1007</v>
      </c>
    </row>
    <row r="250" spans="1:11" ht="13">
      <c r="D250" s="48"/>
      <c r="E250" s="48"/>
      <c r="F250" s="48"/>
      <c r="G250" s="2" t="s">
        <v>1017</v>
      </c>
      <c r="H250" s="48"/>
      <c r="I250" s="48"/>
    </row>
    <row r="251" spans="1:11" ht="13">
      <c r="A251" s="2"/>
      <c r="B251" s="2"/>
      <c r="C251" s="2"/>
      <c r="D251" s="2" t="str">
        <f>D$52</f>
        <v>Forecast</v>
      </c>
      <c r="E251" s="2" t="str">
        <f t="shared" ref="E251:J251" si="67">E$52</f>
        <v>Corporate</v>
      </c>
      <c r="F251" s="2" t="str">
        <f t="shared" si="67"/>
        <v xml:space="preserve">Total </v>
      </c>
      <c r="G251" s="2" t="s">
        <v>249</v>
      </c>
      <c r="H251" s="2" t="str">
        <f t="shared" si="67"/>
        <v>Prior Period</v>
      </c>
      <c r="I251" s="2" t="str">
        <f t="shared" si="67"/>
        <v>Over Heads</v>
      </c>
      <c r="J251" s="2" t="str">
        <f t="shared" si="67"/>
        <v>Forecast</v>
      </c>
      <c r="K251" s="2" t="str">
        <f>K$52</f>
        <v>Forecast Period</v>
      </c>
    </row>
    <row r="252" spans="1:11" ht="13">
      <c r="A252" s="30" t="s">
        <v>273</v>
      </c>
      <c r="B252" s="348" t="s">
        <v>371</v>
      </c>
      <c r="C252" s="348" t="s">
        <v>372</v>
      </c>
      <c r="D252" s="3" t="str">
        <f>D$53</f>
        <v>Expenditures</v>
      </c>
      <c r="E252" s="3" t="str">
        <f t="shared" ref="E252:J252" si="68">E$53</f>
        <v>Overheads</v>
      </c>
      <c r="F252" s="3" t="str">
        <f t="shared" si="68"/>
        <v>CWIP Exp</v>
      </c>
      <c r="G252" s="3" t="s">
        <v>994</v>
      </c>
      <c r="H252" s="3" t="str">
        <f t="shared" si="68"/>
        <v>CWIP Closed</v>
      </c>
      <c r="I252" s="3" t="str">
        <f t="shared" si="68"/>
        <v>Closed to PIS</v>
      </c>
      <c r="J252" s="3" t="str">
        <f t="shared" si="68"/>
        <v>Period CWIP</v>
      </c>
      <c r="K252" s="3" t="str">
        <f>K$53</f>
        <v>Incremental CWIP</v>
      </c>
    </row>
    <row r="253" spans="1:11" ht="13">
      <c r="A253" s="2">
        <f>A245+1</f>
        <v>185</v>
      </c>
      <c r="B253" s="349" t="s">
        <v>379</v>
      </c>
      <c r="C253" s="350">
        <v>2021</v>
      </c>
      <c r="D253" s="257" t="s">
        <v>380</v>
      </c>
      <c r="E253" s="257" t="s">
        <v>380</v>
      </c>
      <c r="F253" s="257" t="s">
        <v>380</v>
      </c>
      <c r="G253" s="257" t="s">
        <v>380</v>
      </c>
      <c r="H253" s="257" t="s">
        <v>380</v>
      </c>
      <c r="I253" s="257" t="s">
        <v>380</v>
      </c>
      <c r="J253" s="6">
        <f>D45</f>
        <v>0</v>
      </c>
      <c r="K253" s="257" t="s">
        <v>380</v>
      </c>
    </row>
    <row r="254" spans="1:11" ht="13">
      <c r="A254" s="2">
        <f>A253+1</f>
        <v>186</v>
      </c>
      <c r="B254" s="349" t="s">
        <v>381</v>
      </c>
      <c r="C254" s="350">
        <v>2022</v>
      </c>
      <c r="D254" s="60">
        <v>0</v>
      </c>
      <c r="E254" s="6">
        <f>D254*'16-PlantAdditions'!$E$103</f>
        <v>0</v>
      </c>
      <c r="F254" s="6">
        <f>E254+D254</f>
        <v>0</v>
      </c>
      <c r="G254" s="60">
        <v>0</v>
      </c>
      <c r="H254" s="60">
        <v>0</v>
      </c>
      <c r="I254" s="6">
        <f>(G254-H254)*'16-PlantAdditions'!$E$103</f>
        <v>0</v>
      </c>
      <c r="J254" s="6">
        <f>J253+F254-G254-I254</f>
        <v>0</v>
      </c>
      <c r="K254" s="6">
        <f>J254-$J$253</f>
        <v>0</v>
      </c>
    </row>
    <row r="255" spans="1:11" ht="13">
      <c r="A255" s="2">
        <f t="shared" ref="A255:A278" si="69">A254+1</f>
        <v>187</v>
      </c>
      <c r="B255" s="349" t="s">
        <v>382</v>
      </c>
      <c r="C255" s="350">
        <v>2022</v>
      </c>
      <c r="D255" s="60">
        <v>0</v>
      </c>
      <c r="E255" s="6">
        <f>D255*'16-PlantAdditions'!$E$103</f>
        <v>0</v>
      </c>
      <c r="F255" s="6">
        <f t="shared" ref="F255:F274" si="70">E255+D255</f>
        <v>0</v>
      </c>
      <c r="G255" s="60">
        <v>0</v>
      </c>
      <c r="H255" s="60">
        <v>0</v>
      </c>
      <c r="I255" s="6">
        <f>(G255-H255)*'16-PlantAdditions'!$E$103</f>
        <v>0</v>
      </c>
      <c r="J255" s="6">
        <f t="shared" ref="J255:J274" si="71">J254+F255-G255-I255</f>
        <v>0</v>
      </c>
      <c r="K255" s="6">
        <f t="shared" ref="K255:K277" si="72">J255-$J$253</f>
        <v>0</v>
      </c>
    </row>
    <row r="256" spans="1:11" ht="13">
      <c r="A256" s="2">
        <f t="shared" si="69"/>
        <v>188</v>
      </c>
      <c r="B256" s="349" t="s">
        <v>383</v>
      </c>
      <c r="C256" s="350">
        <v>2022</v>
      </c>
      <c r="D256" s="60">
        <v>0</v>
      </c>
      <c r="E256" s="6">
        <f>D256*'16-PlantAdditions'!$E$103</f>
        <v>0</v>
      </c>
      <c r="F256" s="6">
        <f t="shared" si="70"/>
        <v>0</v>
      </c>
      <c r="G256" s="60">
        <v>0</v>
      </c>
      <c r="H256" s="60">
        <v>0</v>
      </c>
      <c r="I256" s="6">
        <f>(G256-H256)*'16-PlantAdditions'!$E$103</f>
        <v>0</v>
      </c>
      <c r="J256" s="6">
        <f t="shared" si="71"/>
        <v>0</v>
      </c>
      <c r="K256" s="6">
        <f t="shared" si="72"/>
        <v>0</v>
      </c>
    </row>
    <row r="257" spans="1:11" ht="13">
      <c r="A257" s="2">
        <f t="shared" si="69"/>
        <v>189</v>
      </c>
      <c r="B257" s="349" t="s">
        <v>384</v>
      </c>
      <c r="C257" s="350">
        <v>2022</v>
      </c>
      <c r="D257" s="60">
        <v>0</v>
      </c>
      <c r="E257" s="6">
        <f>D257*'16-PlantAdditions'!$E$103</f>
        <v>0</v>
      </c>
      <c r="F257" s="6">
        <f t="shared" si="70"/>
        <v>0</v>
      </c>
      <c r="G257" s="60">
        <v>0</v>
      </c>
      <c r="H257" s="60">
        <v>0</v>
      </c>
      <c r="I257" s="6">
        <f>(G257-H257)*'16-PlantAdditions'!$E$103</f>
        <v>0</v>
      </c>
      <c r="J257" s="6">
        <f t="shared" si="71"/>
        <v>0</v>
      </c>
      <c r="K257" s="6">
        <f t="shared" si="72"/>
        <v>0</v>
      </c>
    </row>
    <row r="258" spans="1:11" ht="13">
      <c r="A258" s="2">
        <f t="shared" si="69"/>
        <v>190</v>
      </c>
      <c r="B258" s="349" t="s">
        <v>385</v>
      </c>
      <c r="C258" s="350">
        <v>2022</v>
      </c>
      <c r="D258" s="60">
        <v>0</v>
      </c>
      <c r="E258" s="6">
        <f>D258*'16-PlantAdditions'!$E$103</f>
        <v>0</v>
      </c>
      <c r="F258" s="6">
        <f t="shared" si="70"/>
        <v>0</v>
      </c>
      <c r="G258" s="60">
        <v>0</v>
      </c>
      <c r="H258" s="60">
        <v>0</v>
      </c>
      <c r="I258" s="6">
        <f>(G258-H258)*'16-PlantAdditions'!$E$103</f>
        <v>0</v>
      </c>
      <c r="J258" s="6">
        <f t="shared" si="71"/>
        <v>0</v>
      </c>
      <c r="K258" s="6">
        <f t="shared" si="72"/>
        <v>0</v>
      </c>
    </row>
    <row r="259" spans="1:11" ht="13">
      <c r="A259" s="2">
        <f t="shared" si="69"/>
        <v>191</v>
      </c>
      <c r="B259" s="349" t="s">
        <v>594</v>
      </c>
      <c r="C259" s="350">
        <v>2022</v>
      </c>
      <c r="D259" s="60">
        <v>0</v>
      </c>
      <c r="E259" s="6">
        <f>D259*'16-PlantAdditions'!$E$103</f>
        <v>0</v>
      </c>
      <c r="F259" s="6">
        <f t="shared" si="70"/>
        <v>0</v>
      </c>
      <c r="G259" s="60">
        <v>0</v>
      </c>
      <c r="H259" s="60">
        <v>0</v>
      </c>
      <c r="I259" s="6">
        <f>(G259-H259)*'16-PlantAdditions'!$E$103</f>
        <v>0</v>
      </c>
      <c r="J259" s="6">
        <f>J258+F259-G259-I259</f>
        <v>0</v>
      </c>
      <c r="K259" s="6">
        <f t="shared" si="72"/>
        <v>0</v>
      </c>
    </row>
    <row r="260" spans="1:11" ht="13">
      <c r="A260" s="2">
        <f t="shared" si="69"/>
        <v>192</v>
      </c>
      <c r="B260" s="349" t="s">
        <v>387</v>
      </c>
      <c r="C260" s="350">
        <v>2022</v>
      </c>
      <c r="D260" s="60">
        <v>0</v>
      </c>
      <c r="E260" s="6">
        <f>D260*'16-PlantAdditions'!$E$103</f>
        <v>0</v>
      </c>
      <c r="F260" s="6">
        <f t="shared" si="70"/>
        <v>0</v>
      </c>
      <c r="G260" s="60">
        <v>0</v>
      </c>
      <c r="H260" s="60">
        <v>0</v>
      </c>
      <c r="I260" s="6">
        <f>(G260-H260)*'16-PlantAdditions'!$E$103</f>
        <v>0</v>
      </c>
      <c r="J260" s="6">
        <f t="shared" si="71"/>
        <v>0</v>
      </c>
      <c r="K260" s="6">
        <f t="shared" si="72"/>
        <v>0</v>
      </c>
    </row>
    <row r="261" spans="1:11" ht="13">
      <c r="A261" s="2">
        <f t="shared" si="69"/>
        <v>193</v>
      </c>
      <c r="B261" s="349" t="s">
        <v>388</v>
      </c>
      <c r="C261" s="350">
        <v>2022</v>
      </c>
      <c r="D261" s="60">
        <v>0</v>
      </c>
      <c r="E261" s="6">
        <f>D261*'16-PlantAdditions'!$E$103</f>
        <v>0</v>
      </c>
      <c r="F261" s="6">
        <f t="shared" si="70"/>
        <v>0</v>
      </c>
      <c r="G261" s="60">
        <v>0</v>
      </c>
      <c r="H261" s="60">
        <v>0</v>
      </c>
      <c r="I261" s="6">
        <f>(G261-H261)*'16-PlantAdditions'!$E$103</f>
        <v>0</v>
      </c>
      <c r="J261" s="6">
        <f t="shared" si="71"/>
        <v>0</v>
      </c>
      <c r="K261" s="6">
        <f t="shared" si="72"/>
        <v>0</v>
      </c>
    </row>
    <row r="262" spans="1:11" ht="13">
      <c r="A262" s="2">
        <f t="shared" si="69"/>
        <v>194</v>
      </c>
      <c r="B262" s="349" t="s">
        <v>389</v>
      </c>
      <c r="C262" s="350">
        <v>2022</v>
      </c>
      <c r="D262" s="60">
        <v>0</v>
      </c>
      <c r="E262" s="6">
        <f>D262*'16-PlantAdditions'!$E$103</f>
        <v>0</v>
      </c>
      <c r="F262" s="6">
        <f t="shared" si="70"/>
        <v>0</v>
      </c>
      <c r="G262" s="60">
        <v>0</v>
      </c>
      <c r="H262" s="60">
        <v>0</v>
      </c>
      <c r="I262" s="6">
        <f>(G262-H262)*'16-PlantAdditions'!$E$103</f>
        <v>0</v>
      </c>
      <c r="J262" s="6">
        <f t="shared" si="71"/>
        <v>0</v>
      </c>
      <c r="K262" s="6">
        <f t="shared" si="72"/>
        <v>0</v>
      </c>
    </row>
    <row r="263" spans="1:11" ht="13">
      <c r="A263" s="2">
        <f t="shared" si="69"/>
        <v>195</v>
      </c>
      <c r="B263" s="349" t="s">
        <v>390</v>
      </c>
      <c r="C263" s="350">
        <v>2022</v>
      </c>
      <c r="D263" s="60">
        <v>0</v>
      </c>
      <c r="E263" s="6">
        <f>D263*'16-PlantAdditions'!$E$103</f>
        <v>0</v>
      </c>
      <c r="F263" s="6">
        <f t="shared" si="70"/>
        <v>0</v>
      </c>
      <c r="G263" s="60">
        <v>0</v>
      </c>
      <c r="H263" s="60">
        <v>0</v>
      </c>
      <c r="I263" s="6">
        <f>(G263-H263)*'16-PlantAdditions'!$E$103</f>
        <v>0</v>
      </c>
      <c r="J263" s="6">
        <f t="shared" si="71"/>
        <v>0</v>
      </c>
      <c r="K263" s="6">
        <f t="shared" si="72"/>
        <v>0</v>
      </c>
    </row>
    <row r="264" spans="1:11" ht="13">
      <c r="A264" s="2">
        <f t="shared" si="69"/>
        <v>196</v>
      </c>
      <c r="B264" s="349" t="s">
        <v>391</v>
      </c>
      <c r="C264" s="350">
        <v>2022</v>
      </c>
      <c r="D264" s="60">
        <v>0</v>
      </c>
      <c r="E264" s="6">
        <f>D264*'16-PlantAdditions'!$E$103</f>
        <v>0</v>
      </c>
      <c r="F264" s="6">
        <f t="shared" si="70"/>
        <v>0</v>
      </c>
      <c r="G264" s="60">
        <v>0</v>
      </c>
      <c r="H264" s="60">
        <v>0</v>
      </c>
      <c r="I264" s="6">
        <f>(G264-H264)*'16-PlantAdditions'!$E$103</f>
        <v>0</v>
      </c>
      <c r="J264" s="6">
        <f t="shared" si="71"/>
        <v>0</v>
      </c>
      <c r="K264" s="6">
        <f t="shared" si="72"/>
        <v>0</v>
      </c>
    </row>
    <row r="265" spans="1:11" ht="13">
      <c r="A265" s="2">
        <f t="shared" si="69"/>
        <v>197</v>
      </c>
      <c r="B265" s="349" t="s">
        <v>379</v>
      </c>
      <c r="C265" s="350">
        <v>2022</v>
      </c>
      <c r="D265" s="60">
        <v>0</v>
      </c>
      <c r="E265" s="6">
        <f>D265*'16-PlantAdditions'!$E$103</f>
        <v>0</v>
      </c>
      <c r="F265" s="6">
        <f t="shared" si="70"/>
        <v>0</v>
      </c>
      <c r="G265" s="60">
        <v>0</v>
      </c>
      <c r="H265" s="60">
        <v>0</v>
      </c>
      <c r="I265" s="6">
        <f>(G265-H265)*'16-PlantAdditions'!$E$103</f>
        <v>0</v>
      </c>
      <c r="J265" s="6">
        <f t="shared" si="71"/>
        <v>0</v>
      </c>
      <c r="K265" s="6">
        <f t="shared" si="72"/>
        <v>0</v>
      </c>
    </row>
    <row r="266" spans="1:11" ht="13">
      <c r="A266" s="2">
        <f t="shared" si="69"/>
        <v>198</v>
      </c>
      <c r="B266" s="349" t="s">
        <v>381</v>
      </c>
      <c r="C266" s="350">
        <v>2023</v>
      </c>
      <c r="D266" s="60">
        <v>0</v>
      </c>
      <c r="E266" s="6">
        <f>D266*'16-PlantAdditions'!$E$103</f>
        <v>0</v>
      </c>
      <c r="F266" s="6">
        <f t="shared" si="70"/>
        <v>0</v>
      </c>
      <c r="G266" s="60">
        <v>0</v>
      </c>
      <c r="H266" s="60">
        <v>0</v>
      </c>
      <c r="I266" s="6">
        <f>(G266-H266)*'16-PlantAdditions'!$E$103</f>
        <v>0</v>
      </c>
      <c r="J266" s="6">
        <f t="shared" si="71"/>
        <v>0</v>
      </c>
      <c r="K266" s="6">
        <f t="shared" si="72"/>
        <v>0</v>
      </c>
    </row>
    <row r="267" spans="1:11" ht="13">
      <c r="A267" s="2">
        <f t="shared" si="69"/>
        <v>199</v>
      </c>
      <c r="B267" s="349" t="s">
        <v>382</v>
      </c>
      <c r="C267" s="350">
        <v>2023</v>
      </c>
      <c r="D267" s="60">
        <v>0</v>
      </c>
      <c r="E267" s="6">
        <f>D267*'16-PlantAdditions'!$E$103</f>
        <v>0</v>
      </c>
      <c r="F267" s="6">
        <f t="shared" si="70"/>
        <v>0</v>
      </c>
      <c r="G267" s="60">
        <v>0</v>
      </c>
      <c r="H267" s="60">
        <v>0</v>
      </c>
      <c r="I267" s="6">
        <f>(G267-H267)*'16-PlantAdditions'!$E$103</f>
        <v>0</v>
      </c>
      <c r="J267" s="6">
        <f t="shared" si="71"/>
        <v>0</v>
      </c>
      <c r="K267" s="6">
        <f t="shared" si="72"/>
        <v>0</v>
      </c>
    </row>
    <row r="268" spans="1:11" ht="13">
      <c r="A268" s="2">
        <f t="shared" si="69"/>
        <v>200</v>
      </c>
      <c r="B268" s="349" t="s">
        <v>383</v>
      </c>
      <c r="C268" s="350">
        <v>2023</v>
      </c>
      <c r="D268" s="60">
        <v>0</v>
      </c>
      <c r="E268" s="6">
        <f>D268*'16-PlantAdditions'!$E$103</f>
        <v>0</v>
      </c>
      <c r="F268" s="6">
        <f t="shared" si="70"/>
        <v>0</v>
      </c>
      <c r="G268" s="60">
        <v>0</v>
      </c>
      <c r="H268" s="60">
        <v>0</v>
      </c>
      <c r="I268" s="6">
        <f>(G268-H268)*'16-PlantAdditions'!$E$103</f>
        <v>0</v>
      </c>
      <c r="J268" s="6">
        <f t="shared" si="71"/>
        <v>0</v>
      </c>
      <c r="K268" s="6">
        <f t="shared" si="72"/>
        <v>0</v>
      </c>
    </row>
    <row r="269" spans="1:11" ht="13">
      <c r="A269" s="2">
        <f t="shared" si="69"/>
        <v>201</v>
      </c>
      <c r="B269" s="349" t="s">
        <v>384</v>
      </c>
      <c r="C269" s="350">
        <v>2023</v>
      </c>
      <c r="D269" s="60">
        <v>0</v>
      </c>
      <c r="E269" s="6">
        <f>D269*'16-PlantAdditions'!$E$103</f>
        <v>0</v>
      </c>
      <c r="F269" s="6">
        <f t="shared" si="70"/>
        <v>0</v>
      </c>
      <c r="G269" s="60">
        <v>0</v>
      </c>
      <c r="H269" s="60">
        <v>0</v>
      </c>
      <c r="I269" s="6">
        <f>(G269-H269)*'16-PlantAdditions'!$E$103</f>
        <v>0</v>
      </c>
      <c r="J269" s="6">
        <f t="shared" si="71"/>
        <v>0</v>
      </c>
      <c r="K269" s="6">
        <f t="shared" si="72"/>
        <v>0</v>
      </c>
    </row>
    <row r="270" spans="1:11" ht="13">
      <c r="A270" s="2">
        <f t="shared" si="69"/>
        <v>202</v>
      </c>
      <c r="B270" s="349" t="s">
        <v>385</v>
      </c>
      <c r="C270" s="350">
        <v>2023</v>
      </c>
      <c r="D270" s="60">
        <v>0</v>
      </c>
      <c r="E270" s="6">
        <f>D270*'16-PlantAdditions'!$E$103</f>
        <v>0</v>
      </c>
      <c r="F270" s="6">
        <f t="shared" si="70"/>
        <v>0</v>
      </c>
      <c r="G270" s="60">
        <v>0</v>
      </c>
      <c r="H270" s="60">
        <v>0</v>
      </c>
      <c r="I270" s="6">
        <f>(G270-H270)*'16-PlantAdditions'!$E$103</f>
        <v>0</v>
      </c>
      <c r="J270" s="6">
        <f t="shared" si="71"/>
        <v>0</v>
      </c>
      <c r="K270" s="6">
        <f t="shared" si="72"/>
        <v>0</v>
      </c>
    </row>
    <row r="271" spans="1:11" ht="13">
      <c r="A271" s="2">
        <f t="shared" si="69"/>
        <v>203</v>
      </c>
      <c r="B271" s="349" t="s">
        <v>594</v>
      </c>
      <c r="C271" s="350">
        <v>2023</v>
      </c>
      <c r="D271" s="60">
        <v>0</v>
      </c>
      <c r="E271" s="6">
        <f>D271*'16-PlantAdditions'!$E$103</f>
        <v>0</v>
      </c>
      <c r="F271" s="6">
        <f t="shared" si="70"/>
        <v>0</v>
      </c>
      <c r="G271" s="60">
        <v>0</v>
      </c>
      <c r="H271" s="60">
        <v>0</v>
      </c>
      <c r="I271" s="6">
        <f>(G271-H271)*'16-PlantAdditions'!$E$103</f>
        <v>0</v>
      </c>
      <c r="J271" s="6">
        <f t="shared" si="71"/>
        <v>0</v>
      </c>
      <c r="K271" s="6">
        <f t="shared" si="72"/>
        <v>0</v>
      </c>
    </row>
    <row r="272" spans="1:11" ht="13">
      <c r="A272" s="2">
        <f t="shared" si="69"/>
        <v>204</v>
      </c>
      <c r="B272" s="349" t="s">
        <v>387</v>
      </c>
      <c r="C272" s="350">
        <v>2023</v>
      </c>
      <c r="D272" s="60">
        <v>0</v>
      </c>
      <c r="E272" s="6">
        <f>D272*'16-PlantAdditions'!$E$103</f>
        <v>0</v>
      </c>
      <c r="F272" s="6">
        <f t="shared" si="70"/>
        <v>0</v>
      </c>
      <c r="G272" s="60">
        <v>0</v>
      </c>
      <c r="H272" s="60">
        <v>0</v>
      </c>
      <c r="I272" s="6">
        <f>(G272-H272)*'16-PlantAdditions'!$E$103</f>
        <v>0</v>
      </c>
      <c r="J272" s="6">
        <f t="shared" si="71"/>
        <v>0</v>
      </c>
      <c r="K272" s="6">
        <f t="shared" si="72"/>
        <v>0</v>
      </c>
    </row>
    <row r="273" spans="1:11" ht="13">
      <c r="A273" s="2">
        <f t="shared" si="69"/>
        <v>205</v>
      </c>
      <c r="B273" s="349" t="s">
        <v>388</v>
      </c>
      <c r="C273" s="350">
        <v>2023</v>
      </c>
      <c r="D273" s="60">
        <v>0</v>
      </c>
      <c r="E273" s="6">
        <f>D273*'16-PlantAdditions'!$E$103</f>
        <v>0</v>
      </c>
      <c r="F273" s="6">
        <f t="shared" si="70"/>
        <v>0</v>
      </c>
      <c r="G273" s="60">
        <v>0</v>
      </c>
      <c r="H273" s="60">
        <v>0</v>
      </c>
      <c r="I273" s="6">
        <f>(G273-H273)*'16-PlantAdditions'!$E$103</f>
        <v>0</v>
      </c>
      <c r="J273" s="6">
        <f t="shared" si="71"/>
        <v>0</v>
      </c>
      <c r="K273" s="6">
        <f t="shared" si="72"/>
        <v>0</v>
      </c>
    </row>
    <row r="274" spans="1:11" ht="13">
      <c r="A274" s="2">
        <f t="shared" si="69"/>
        <v>206</v>
      </c>
      <c r="B274" s="349" t="s">
        <v>389</v>
      </c>
      <c r="C274" s="350">
        <v>2023</v>
      </c>
      <c r="D274" s="60">
        <v>0</v>
      </c>
      <c r="E274" s="6">
        <f>D274*'16-PlantAdditions'!$E$103</f>
        <v>0</v>
      </c>
      <c r="F274" s="6">
        <f t="shared" si="70"/>
        <v>0</v>
      </c>
      <c r="G274" s="60">
        <v>0</v>
      </c>
      <c r="H274" s="60">
        <v>0</v>
      </c>
      <c r="I274" s="6">
        <f>(G274-H274)*'16-PlantAdditions'!$E$103</f>
        <v>0</v>
      </c>
      <c r="J274" s="6">
        <f t="shared" si="71"/>
        <v>0</v>
      </c>
      <c r="K274" s="6">
        <f t="shared" si="72"/>
        <v>0</v>
      </c>
    </row>
    <row r="275" spans="1:11" ht="13">
      <c r="A275" s="2">
        <f t="shared" si="69"/>
        <v>207</v>
      </c>
      <c r="B275" s="349" t="s">
        <v>390</v>
      </c>
      <c r="C275" s="350">
        <v>2023</v>
      </c>
      <c r="D275" s="60">
        <v>0</v>
      </c>
      <c r="E275" s="6">
        <f>D275*'16-PlantAdditions'!$E$103</f>
        <v>0</v>
      </c>
      <c r="F275" s="6">
        <f t="shared" ref="F275:F277" si="73">E275+D275</f>
        <v>0</v>
      </c>
      <c r="G275" s="60">
        <v>0</v>
      </c>
      <c r="H275" s="60">
        <v>0</v>
      </c>
      <c r="I275" s="6">
        <f>(G275-H275)*'16-PlantAdditions'!$E$103</f>
        <v>0</v>
      </c>
      <c r="J275" s="6">
        <f t="shared" ref="J275:J277" si="74">J274+F275-G275-I275</f>
        <v>0</v>
      </c>
      <c r="K275" s="6">
        <f t="shared" si="72"/>
        <v>0</v>
      </c>
    </row>
    <row r="276" spans="1:11" ht="13">
      <c r="A276" s="2">
        <f t="shared" si="69"/>
        <v>208</v>
      </c>
      <c r="B276" s="349" t="s">
        <v>391</v>
      </c>
      <c r="C276" s="350">
        <v>2023</v>
      </c>
      <c r="D276" s="60">
        <v>0</v>
      </c>
      <c r="E276" s="6">
        <f>D276*'16-PlantAdditions'!$E$103</f>
        <v>0</v>
      </c>
      <c r="F276" s="6">
        <f t="shared" si="73"/>
        <v>0</v>
      </c>
      <c r="G276" s="60">
        <v>0</v>
      </c>
      <c r="H276" s="60">
        <v>0</v>
      </c>
      <c r="I276" s="6">
        <f>(G276-H276)*'16-PlantAdditions'!$E$103</f>
        <v>0</v>
      </c>
      <c r="J276" s="6">
        <f t="shared" si="74"/>
        <v>0</v>
      </c>
      <c r="K276" s="6">
        <f t="shared" si="72"/>
        <v>0</v>
      </c>
    </row>
    <row r="277" spans="1:11" ht="13">
      <c r="A277" s="2">
        <f t="shared" si="69"/>
        <v>209</v>
      </c>
      <c r="B277" s="349" t="s">
        <v>379</v>
      </c>
      <c r="C277" s="350">
        <v>2023</v>
      </c>
      <c r="D277" s="60">
        <v>0</v>
      </c>
      <c r="E277" s="6">
        <f>D277*'16-PlantAdditions'!$E$103</f>
        <v>0</v>
      </c>
      <c r="F277" s="6">
        <f t="shared" si="73"/>
        <v>0</v>
      </c>
      <c r="G277" s="60">
        <v>0</v>
      </c>
      <c r="H277" s="60">
        <v>0</v>
      </c>
      <c r="I277" s="6">
        <f>(G277-H277)*'16-PlantAdditions'!$E$103</f>
        <v>0</v>
      </c>
      <c r="J277" s="6">
        <f t="shared" si="74"/>
        <v>0</v>
      </c>
      <c r="K277" s="53">
        <f t="shared" si="72"/>
        <v>0</v>
      </c>
    </row>
    <row r="278" spans="1:11" ht="13">
      <c r="A278" s="2">
        <f t="shared" si="69"/>
        <v>210</v>
      </c>
      <c r="C278" s="371" t="s">
        <v>999</v>
      </c>
      <c r="K278" s="42">
        <f>AVERAGE(K265:K277)</f>
        <v>0</v>
      </c>
    </row>
    <row r="279" spans="1:11" ht="12.75" customHeight="1">
      <c r="A279" s="2"/>
      <c r="C279" s="371"/>
      <c r="K279" s="42"/>
    </row>
    <row r="280" spans="1:11" ht="13">
      <c r="B280" s="34" t="s">
        <v>1018</v>
      </c>
      <c r="D280" s="1116" t="s">
        <v>1019</v>
      </c>
      <c r="E280" s="1116"/>
    </row>
    <row r="281" spans="1:11" ht="13">
      <c r="B281" s="34"/>
      <c r="D281" s="3" t="s">
        <v>336</v>
      </c>
      <c r="E281" s="3" t="s">
        <v>337</v>
      </c>
      <c r="F281" s="3" t="s">
        <v>338</v>
      </c>
      <c r="G281" s="3" t="s">
        <v>339</v>
      </c>
      <c r="H281" s="3" t="s">
        <v>340</v>
      </c>
      <c r="I281" s="3" t="s">
        <v>341</v>
      </c>
      <c r="J281" s="3" t="s">
        <v>342</v>
      </c>
      <c r="K281" s="3" t="s">
        <v>343</v>
      </c>
    </row>
    <row r="282" spans="1:11" ht="25.5">
      <c r="B282" s="34"/>
      <c r="D282" s="48"/>
      <c r="E282" s="372" t="s">
        <v>1003</v>
      </c>
      <c r="F282" s="257" t="s">
        <v>1004</v>
      </c>
      <c r="G282" s="257"/>
      <c r="H282" s="48"/>
      <c r="I282" s="372" t="s">
        <v>1005</v>
      </c>
      <c r="J282" s="372" t="s">
        <v>1006</v>
      </c>
      <c r="K282" s="372" t="s">
        <v>1007</v>
      </c>
    </row>
    <row r="283" spans="1:11" ht="13">
      <c r="D283" s="48"/>
      <c r="E283" s="372"/>
      <c r="F283" s="257"/>
      <c r="G283" s="2" t="str">
        <f>G51</f>
        <v>Unloaded</v>
      </c>
      <c r="H283" s="48"/>
      <c r="I283" s="372"/>
      <c r="J283" s="372"/>
      <c r="K283" s="372"/>
    </row>
    <row r="284" spans="1:11" ht="13">
      <c r="A284" s="2"/>
      <c r="B284" s="2"/>
      <c r="C284" s="2"/>
      <c r="D284" s="2" t="str">
        <f>D$52</f>
        <v>Forecast</v>
      </c>
      <c r="E284" s="2" t="str">
        <f t="shared" ref="E284:J284" si="75">E$52</f>
        <v>Corporate</v>
      </c>
      <c r="F284" s="2" t="str">
        <f t="shared" si="75"/>
        <v xml:space="preserve">Total </v>
      </c>
      <c r="G284" s="2" t="str">
        <f>G52</f>
        <v>Total</v>
      </c>
      <c r="H284" s="2" t="str">
        <f t="shared" si="75"/>
        <v>Prior Period</v>
      </c>
      <c r="I284" s="2" t="str">
        <f t="shared" si="75"/>
        <v>Over Heads</v>
      </c>
      <c r="J284" s="2" t="str">
        <f t="shared" si="75"/>
        <v>Forecast</v>
      </c>
      <c r="K284" s="2" t="str">
        <f>K$52</f>
        <v>Forecast Period</v>
      </c>
    </row>
    <row r="285" spans="1:11" ht="13">
      <c r="A285" s="30" t="s">
        <v>273</v>
      </c>
      <c r="B285" s="348" t="s">
        <v>371</v>
      </c>
      <c r="C285" s="348" t="s">
        <v>372</v>
      </c>
      <c r="D285" s="3" t="str">
        <f>D$53</f>
        <v>Expenditures</v>
      </c>
      <c r="E285" s="3" t="str">
        <f t="shared" ref="E285:J285" si="76">E$53</f>
        <v>Overheads</v>
      </c>
      <c r="F285" s="3" t="str">
        <f t="shared" si="76"/>
        <v>CWIP Exp</v>
      </c>
      <c r="G285" s="3" t="str">
        <f>G53</f>
        <v>Plant Adds</v>
      </c>
      <c r="H285" s="3" t="str">
        <f t="shared" si="76"/>
        <v>CWIP Closed</v>
      </c>
      <c r="I285" s="3" t="str">
        <f t="shared" si="76"/>
        <v>Closed to PIS</v>
      </c>
      <c r="J285" s="3" t="str">
        <f t="shared" si="76"/>
        <v>Period CWIP</v>
      </c>
      <c r="K285" s="3" t="str">
        <f>K$53</f>
        <v>Incremental CWIP</v>
      </c>
    </row>
    <row r="286" spans="1:11" ht="13">
      <c r="A286" s="2">
        <f>A278+1</f>
        <v>211</v>
      </c>
      <c r="B286" s="349" t="s">
        <v>379</v>
      </c>
      <c r="C286" s="350">
        <v>2021</v>
      </c>
      <c r="D286" s="257" t="s">
        <v>380</v>
      </c>
      <c r="E286" s="257" t="s">
        <v>380</v>
      </c>
      <c r="F286" s="257" t="s">
        <v>380</v>
      </c>
      <c r="G286" s="257" t="s">
        <v>380</v>
      </c>
      <c r="H286" s="257" t="s">
        <v>380</v>
      </c>
      <c r="I286" s="257" t="s">
        <v>380</v>
      </c>
      <c r="J286" s="6">
        <f>E45</f>
        <v>0</v>
      </c>
      <c r="K286" s="257" t="s">
        <v>380</v>
      </c>
    </row>
    <row r="287" spans="1:11" ht="13">
      <c r="A287" s="2">
        <f>A286+1</f>
        <v>212</v>
      </c>
      <c r="B287" s="349" t="s">
        <v>381</v>
      </c>
      <c r="C287" s="350">
        <v>2022</v>
      </c>
      <c r="D287" s="60">
        <v>480211</v>
      </c>
      <c r="E287" s="6">
        <f>D287*'16-PlantAdditions'!$E$103</f>
        <v>36015.824999999997</v>
      </c>
      <c r="F287" s="6">
        <f>E287+D287</f>
        <v>516226.82500000001</v>
      </c>
      <c r="G287" s="60">
        <v>480211</v>
      </c>
      <c r="H287" s="60">
        <v>0</v>
      </c>
      <c r="I287" s="6">
        <f>(G287-H287)*'16-PlantAdditions'!$E$103</f>
        <v>36015.824999999997</v>
      </c>
      <c r="J287" s="6">
        <f>J286+F287-G287-I287</f>
        <v>0</v>
      </c>
      <c r="K287" s="6">
        <f>J287-$J$286</f>
        <v>0</v>
      </c>
    </row>
    <row r="288" spans="1:11" ht="13">
      <c r="A288" s="2">
        <f t="shared" ref="A288:A311" si="77">A287+1</f>
        <v>213</v>
      </c>
      <c r="B288" s="349" t="s">
        <v>382</v>
      </c>
      <c r="C288" s="350">
        <v>2022</v>
      </c>
      <c r="D288" s="60">
        <v>174463</v>
      </c>
      <c r="E288" s="6">
        <f>D288*'16-PlantAdditions'!$E$103</f>
        <v>13084.725</v>
      </c>
      <c r="F288" s="6">
        <f t="shared" ref="F288:F307" si="78">E288+D288</f>
        <v>187547.72500000001</v>
      </c>
      <c r="G288" s="60">
        <v>174463</v>
      </c>
      <c r="H288" s="60">
        <v>0</v>
      </c>
      <c r="I288" s="6">
        <f>(G288-H288)*'16-PlantAdditions'!$E$103</f>
        <v>13084.725</v>
      </c>
      <c r="J288" s="6">
        <f t="shared" ref="J288:J307" si="79">J287+F288-G288-I288</f>
        <v>0</v>
      </c>
      <c r="K288" s="6">
        <f t="shared" ref="K288:K310" si="80">J288-$J$286</f>
        <v>0</v>
      </c>
    </row>
    <row r="289" spans="1:13" ht="13">
      <c r="A289" s="2">
        <f t="shared" si="77"/>
        <v>214</v>
      </c>
      <c r="B289" s="349" t="s">
        <v>383</v>
      </c>
      <c r="C289" s="350">
        <v>2022</v>
      </c>
      <c r="D289" s="60">
        <v>197056</v>
      </c>
      <c r="E289" s="6">
        <f>D289*'16-PlantAdditions'!$E$103</f>
        <v>14779.199999999999</v>
      </c>
      <c r="F289" s="6">
        <f t="shared" si="78"/>
        <v>211835.2</v>
      </c>
      <c r="G289" s="60">
        <v>197056</v>
      </c>
      <c r="H289" s="60">
        <v>0</v>
      </c>
      <c r="I289" s="6">
        <f>(G289-H289)*'16-PlantAdditions'!$E$103</f>
        <v>14779.199999999999</v>
      </c>
      <c r="J289" s="6">
        <f t="shared" si="79"/>
        <v>0</v>
      </c>
      <c r="K289" s="6">
        <f t="shared" si="80"/>
        <v>0</v>
      </c>
    </row>
    <row r="290" spans="1:13" ht="13">
      <c r="A290" s="2">
        <f t="shared" si="77"/>
        <v>215</v>
      </c>
      <c r="B290" s="349" t="s">
        <v>384</v>
      </c>
      <c r="C290" s="350">
        <v>2022</v>
      </c>
      <c r="D290" s="60">
        <v>185000</v>
      </c>
      <c r="E290" s="6">
        <f>D290*'16-PlantAdditions'!$E$103</f>
        <v>13875</v>
      </c>
      <c r="F290" s="6">
        <f t="shared" si="78"/>
        <v>198875</v>
      </c>
      <c r="G290" s="60">
        <v>185000</v>
      </c>
      <c r="H290" s="60">
        <v>0</v>
      </c>
      <c r="I290" s="6">
        <f>(G290-H290)*'16-PlantAdditions'!$E$103</f>
        <v>13875</v>
      </c>
      <c r="J290" s="6">
        <f t="shared" si="79"/>
        <v>0</v>
      </c>
      <c r="K290" s="6">
        <f t="shared" si="80"/>
        <v>0</v>
      </c>
    </row>
    <row r="291" spans="1:13" ht="13">
      <c r="A291" s="2">
        <f t="shared" si="77"/>
        <v>216</v>
      </c>
      <c r="B291" s="349" t="s">
        <v>385</v>
      </c>
      <c r="C291" s="350">
        <v>2022</v>
      </c>
      <c r="D291" s="60">
        <v>13270</v>
      </c>
      <c r="E291" s="6">
        <f>D291*'16-PlantAdditions'!$E$103</f>
        <v>995.25</v>
      </c>
      <c r="F291" s="6">
        <f t="shared" si="78"/>
        <v>14265.25</v>
      </c>
      <c r="G291" s="60">
        <v>13270</v>
      </c>
      <c r="H291" s="60">
        <v>0</v>
      </c>
      <c r="I291" s="6">
        <f>(G291-H291)*'16-PlantAdditions'!$E$103</f>
        <v>995.25</v>
      </c>
      <c r="J291" s="6">
        <f t="shared" si="79"/>
        <v>0</v>
      </c>
      <c r="K291" s="6">
        <f t="shared" si="80"/>
        <v>0</v>
      </c>
      <c r="L291" s="2"/>
      <c r="M291" s="2"/>
    </row>
    <row r="292" spans="1:13" ht="13">
      <c r="A292" s="2">
        <f t="shared" si="77"/>
        <v>217</v>
      </c>
      <c r="B292" s="349" t="s">
        <v>594</v>
      </c>
      <c r="C292" s="350">
        <v>2022</v>
      </c>
      <c r="D292" s="60">
        <v>0</v>
      </c>
      <c r="E292" s="6">
        <f>D292*'16-PlantAdditions'!$E$103</f>
        <v>0</v>
      </c>
      <c r="F292" s="6">
        <f t="shared" si="78"/>
        <v>0</v>
      </c>
      <c r="G292" s="60">
        <v>0</v>
      </c>
      <c r="H292" s="60">
        <v>0</v>
      </c>
      <c r="I292" s="6">
        <f>(G292-H292)*'16-PlantAdditions'!$E$103</f>
        <v>0</v>
      </c>
      <c r="J292" s="6">
        <f t="shared" si="79"/>
        <v>0</v>
      </c>
      <c r="K292" s="6">
        <f t="shared" si="80"/>
        <v>0</v>
      </c>
      <c r="L292" s="3"/>
      <c r="M292" s="3"/>
    </row>
    <row r="293" spans="1:13" ht="13">
      <c r="A293" s="2">
        <f t="shared" si="77"/>
        <v>218</v>
      </c>
      <c r="B293" s="349" t="s">
        <v>387</v>
      </c>
      <c r="C293" s="350">
        <v>2022</v>
      </c>
      <c r="D293" s="60">
        <v>0</v>
      </c>
      <c r="E293" s="6">
        <f>D293*'16-PlantAdditions'!$E$103</f>
        <v>0</v>
      </c>
      <c r="F293" s="6">
        <f t="shared" si="78"/>
        <v>0</v>
      </c>
      <c r="G293" s="60">
        <v>0</v>
      </c>
      <c r="H293" s="60">
        <v>0</v>
      </c>
      <c r="I293" s="6">
        <f>(G293-H293)*'16-PlantAdditions'!$E$103</f>
        <v>0</v>
      </c>
      <c r="J293" s="6">
        <f t="shared" si="79"/>
        <v>0</v>
      </c>
      <c r="K293" s="6">
        <f t="shared" si="80"/>
        <v>0</v>
      </c>
    </row>
    <row r="294" spans="1:13" ht="13">
      <c r="A294" s="2">
        <f t="shared" si="77"/>
        <v>219</v>
      </c>
      <c r="B294" s="349" t="s">
        <v>388</v>
      </c>
      <c r="C294" s="350">
        <v>2022</v>
      </c>
      <c r="D294" s="60">
        <v>0</v>
      </c>
      <c r="E294" s="6">
        <f>D294*'16-PlantAdditions'!$E$103</f>
        <v>0</v>
      </c>
      <c r="F294" s="6">
        <f t="shared" si="78"/>
        <v>0</v>
      </c>
      <c r="G294" s="60">
        <v>0</v>
      </c>
      <c r="H294" s="60">
        <v>0</v>
      </c>
      <c r="I294" s="6">
        <f>(G294-H294)*'16-PlantAdditions'!$E$103</f>
        <v>0</v>
      </c>
      <c r="J294" s="6">
        <f t="shared" si="79"/>
        <v>0</v>
      </c>
      <c r="K294" s="6">
        <f t="shared" si="80"/>
        <v>0</v>
      </c>
    </row>
    <row r="295" spans="1:13" ht="13">
      <c r="A295" s="2">
        <f t="shared" si="77"/>
        <v>220</v>
      </c>
      <c r="B295" s="349" t="s">
        <v>389</v>
      </c>
      <c r="C295" s="350">
        <v>2022</v>
      </c>
      <c r="D295" s="60">
        <v>0</v>
      </c>
      <c r="E295" s="6">
        <f>D295*'16-PlantAdditions'!$E$103</f>
        <v>0</v>
      </c>
      <c r="F295" s="6">
        <f t="shared" si="78"/>
        <v>0</v>
      </c>
      <c r="G295" s="60">
        <v>0</v>
      </c>
      <c r="H295" s="60">
        <v>0</v>
      </c>
      <c r="I295" s="6">
        <f>(G295-H295)*'16-PlantAdditions'!$E$103</f>
        <v>0</v>
      </c>
      <c r="J295" s="6">
        <f t="shared" si="79"/>
        <v>0</v>
      </c>
      <c r="K295" s="6">
        <f t="shared" si="80"/>
        <v>0</v>
      </c>
    </row>
    <row r="296" spans="1:13" ht="13">
      <c r="A296" s="2">
        <f t="shared" si="77"/>
        <v>221</v>
      </c>
      <c r="B296" s="349" t="s">
        <v>390</v>
      </c>
      <c r="C296" s="350">
        <v>2022</v>
      </c>
      <c r="D296" s="60">
        <v>0</v>
      </c>
      <c r="E296" s="6">
        <f>D296*'16-PlantAdditions'!$E$103</f>
        <v>0</v>
      </c>
      <c r="F296" s="6">
        <f t="shared" si="78"/>
        <v>0</v>
      </c>
      <c r="G296" s="60">
        <v>0</v>
      </c>
      <c r="H296" s="60">
        <v>0</v>
      </c>
      <c r="I296" s="6">
        <f>(G296-H296)*'16-PlantAdditions'!$E$103</f>
        <v>0</v>
      </c>
      <c r="J296" s="6">
        <f t="shared" si="79"/>
        <v>0</v>
      </c>
      <c r="K296" s="6">
        <f t="shared" si="80"/>
        <v>0</v>
      </c>
    </row>
    <row r="297" spans="1:13" ht="13">
      <c r="A297" s="2">
        <f t="shared" si="77"/>
        <v>222</v>
      </c>
      <c r="B297" s="349" t="s">
        <v>391</v>
      </c>
      <c r="C297" s="350">
        <v>2022</v>
      </c>
      <c r="D297" s="60">
        <v>0</v>
      </c>
      <c r="E297" s="6">
        <f>D297*'16-PlantAdditions'!$E$103</f>
        <v>0</v>
      </c>
      <c r="F297" s="6">
        <f t="shared" si="78"/>
        <v>0</v>
      </c>
      <c r="G297" s="60">
        <v>0</v>
      </c>
      <c r="H297" s="60">
        <v>0</v>
      </c>
      <c r="I297" s="6">
        <f>(G297-H297)*'16-PlantAdditions'!$E$103</f>
        <v>0</v>
      </c>
      <c r="J297" s="6">
        <f t="shared" si="79"/>
        <v>0</v>
      </c>
      <c r="K297" s="6">
        <f t="shared" si="80"/>
        <v>0</v>
      </c>
    </row>
    <row r="298" spans="1:13" ht="13">
      <c r="A298" s="2">
        <f t="shared" si="77"/>
        <v>223</v>
      </c>
      <c r="B298" s="349" t="s">
        <v>379</v>
      </c>
      <c r="C298" s="350">
        <v>2022</v>
      </c>
      <c r="D298" s="60">
        <v>0</v>
      </c>
      <c r="E298" s="6">
        <f>D298*'16-PlantAdditions'!$E$103</f>
        <v>0</v>
      </c>
      <c r="F298" s="6">
        <f t="shared" si="78"/>
        <v>0</v>
      </c>
      <c r="G298" s="60">
        <v>0</v>
      </c>
      <c r="H298" s="60">
        <v>0</v>
      </c>
      <c r="I298" s="6">
        <f>(G298-H298)*'16-PlantAdditions'!$E$103</f>
        <v>0</v>
      </c>
      <c r="J298" s="6">
        <f t="shared" si="79"/>
        <v>0</v>
      </c>
      <c r="K298" s="6">
        <f t="shared" si="80"/>
        <v>0</v>
      </c>
    </row>
    <row r="299" spans="1:13" ht="13">
      <c r="A299" s="2">
        <f t="shared" si="77"/>
        <v>224</v>
      </c>
      <c r="B299" s="349" t="s">
        <v>381</v>
      </c>
      <c r="C299" s="350">
        <v>2023</v>
      </c>
      <c r="D299" s="60">
        <v>0</v>
      </c>
      <c r="E299" s="6">
        <f>D299*'16-PlantAdditions'!$E$103</f>
        <v>0</v>
      </c>
      <c r="F299" s="6">
        <f t="shared" si="78"/>
        <v>0</v>
      </c>
      <c r="G299" s="60">
        <v>0</v>
      </c>
      <c r="H299" s="60">
        <v>0</v>
      </c>
      <c r="I299" s="6">
        <f>(G299-H299)*'16-PlantAdditions'!$E$103</f>
        <v>0</v>
      </c>
      <c r="J299" s="6">
        <f t="shared" si="79"/>
        <v>0</v>
      </c>
      <c r="K299" s="6">
        <f t="shared" si="80"/>
        <v>0</v>
      </c>
    </row>
    <row r="300" spans="1:13" ht="13">
      <c r="A300" s="2">
        <f t="shared" si="77"/>
        <v>225</v>
      </c>
      <c r="B300" s="349" t="s">
        <v>382</v>
      </c>
      <c r="C300" s="350">
        <v>2023</v>
      </c>
      <c r="D300" s="60">
        <v>0</v>
      </c>
      <c r="E300" s="6">
        <f>D300*'16-PlantAdditions'!$E$103</f>
        <v>0</v>
      </c>
      <c r="F300" s="6">
        <f t="shared" si="78"/>
        <v>0</v>
      </c>
      <c r="G300" s="60">
        <v>0</v>
      </c>
      <c r="H300" s="60">
        <v>0</v>
      </c>
      <c r="I300" s="6">
        <f>(G300-H300)*'16-PlantAdditions'!$E$103</f>
        <v>0</v>
      </c>
      <c r="J300" s="6">
        <f t="shared" si="79"/>
        <v>0</v>
      </c>
      <c r="K300" s="6">
        <f t="shared" si="80"/>
        <v>0</v>
      </c>
    </row>
    <row r="301" spans="1:13" ht="13">
      <c r="A301" s="2">
        <f t="shared" si="77"/>
        <v>226</v>
      </c>
      <c r="B301" s="349" t="s">
        <v>383</v>
      </c>
      <c r="C301" s="350">
        <v>2023</v>
      </c>
      <c r="D301" s="60">
        <v>0</v>
      </c>
      <c r="E301" s="6">
        <f>D301*'16-PlantAdditions'!$E$103</f>
        <v>0</v>
      </c>
      <c r="F301" s="6">
        <f t="shared" si="78"/>
        <v>0</v>
      </c>
      <c r="G301" s="60">
        <v>0</v>
      </c>
      <c r="H301" s="60">
        <v>0</v>
      </c>
      <c r="I301" s="6">
        <f>(G301-H301)*'16-PlantAdditions'!$E$103</f>
        <v>0</v>
      </c>
      <c r="J301" s="6">
        <f t="shared" si="79"/>
        <v>0</v>
      </c>
      <c r="K301" s="6">
        <f t="shared" si="80"/>
        <v>0</v>
      </c>
    </row>
    <row r="302" spans="1:13" ht="13">
      <c r="A302" s="2">
        <f t="shared" si="77"/>
        <v>227</v>
      </c>
      <c r="B302" s="349" t="s">
        <v>384</v>
      </c>
      <c r="C302" s="350">
        <v>2023</v>
      </c>
      <c r="D302" s="60">
        <v>0</v>
      </c>
      <c r="E302" s="6">
        <f>D302*'16-PlantAdditions'!$E$103</f>
        <v>0</v>
      </c>
      <c r="F302" s="6">
        <f t="shared" si="78"/>
        <v>0</v>
      </c>
      <c r="G302" s="60">
        <v>0</v>
      </c>
      <c r="H302" s="60">
        <v>0</v>
      </c>
      <c r="I302" s="6">
        <f>(G302-H302)*'16-PlantAdditions'!$E$103</f>
        <v>0</v>
      </c>
      <c r="J302" s="6">
        <f t="shared" si="79"/>
        <v>0</v>
      </c>
      <c r="K302" s="6">
        <f t="shared" si="80"/>
        <v>0</v>
      </c>
    </row>
    <row r="303" spans="1:13" ht="13">
      <c r="A303" s="2">
        <f t="shared" si="77"/>
        <v>228</v>
      </c>
      <c r="B303" s="349" t="s">
        <v>385</v>
      </c>
      <c r="C303" s="350">
        <v>2023</v>
      </c>
      <c r="D303" s="60">
        <v>0</v>
      </c>
      <c r="E303" s="6">
        <f>D303*'16-PlantAdditions'!$E$103</f>
        <v>0</v>
      </c>
      <c r="F303" s="6">
        <f t="shared" si="78"/>
        <v>0</v>
      </c>
      <c r="G303" s="60">
        <v>0</v>
      </c>
      <c r="H303" s="60">
        <v>0</v>
      </c>
      <c r="I303" s="6">
        <f>(G303-H303)*'16-PlantAdditions'!$E$103</f>
        <v>0</v>
      </c>
      <c r="J303" s="6">
        <f t="shared" si="79"/>
        <v>0</v>
      </c>
      <c r="K303" s="6">
        <f t="shared" si="80"/>
        <v>0</v>
      </c>
    </row>
    <row r="304" spans="1:13" ht="13">
      <c r="A304" s="2">
        <f t="shared" si="77"/>
        <v>229</v>
      </c>
      <c r="B304" s="349" t="s">
        <v>594</v>
      </c>
      <c r="C304" s="350">
        <v>2023</v>
      </c>
      <c r="D304" s="60">
        <v>0</v>
      </c>
      <c r="E304" s="6">
        <f>D304*'16-PlantAdditions'!$E$103</f>
        <v>0</v>
      </c>
      <c r="F304" s="6">
        <f t="shared" si="78"/>
        <v>0</v>
      </c>
      <c r="G304" s="60">
        <v>0</v>
      </c>
      <c r="H304" s="60">
        <v>0</v>
      </c>
      <c r="I304" s="6">
        <f>(G304-H304)*'16-PlantAdditions'!$E$103</f>
        <v>0</v>
      </c>
      <c r="J304" s="6">
        <f t="shared" si="79"/>
        <v>0</v>
      </c>
      <c r="K304" s="6">
        <f t="shared" si="80"/>
        <v>0</v>
      </c>
    </row>
    <row r="305" spans="1:12" ht="13">
      <c r="A305" s="2">
        <f t="shared" si="77"/>
        <v>230</v>
      </c>
      <c r="B305" s="349" t="s">
        <v>387</v>
      </c>
      <c r="C305" s="350">
        <v>2023</v>
      </c>
      <c r="D305" s="60">
        <v>0</v>
      </c>
      <c r="E305" s="6">
        <f>D305*'16-PlantAdditions'!$E$103</f>
        <v>0</v>
      </c>
      <c r="F305" s="6">
        <f t="shared" si="78"/>
        <v>0</v>
      </c>
      <c r="G305" s="60">
        <v>0</v>
      </c>
      <c r="H305" s="60">
        <v>0</v>
      </c>
      <c r="I305" s="6">
        <f>(G305-H305)*'16-PlantAdditions'!$E$103</f>
        <v>0</v>
      </c>
      <c r="J305" s="6">
        <f t="shared" si="79"/>
        <v>0</v>
      </c>
      <c r="K305" s="6">
        <f t="shared" si="80"/>
        <v>0</v>
      </c>
    </row>
    <row r="306" spans="1:12" ht="13">
      <c r="A306" s="2">
        <f t="shared" si="77"/>
        <v>231</v>
      </c>
      <c r="B306" s="349" t="s">
        <v>388</v>
      </c>
      <c r="C306" s="350">
        <v>2023</v>
      </c>
      <c r="D306" s="60">
        <v>0</v>
      </c>
      <c r="E306" s="6">
        <f>D306*'16-PlantAdditions'!$E$103</f>
        <v>0</v>
      </c>
      <c r="F306" s="6">
        <f t="shared" si="78"/>
        <v>0</v>
      </c>
      <c r="G306" s="60">
        <v>0</v>
      </c>
      <c r="H306" s="60">
        <v>0</v>
      </c>
      <c r="I306" s="6">
        <f>(G306-H306)*'16-PlantAdditions'!$E$103</f>
        <v>0</v>
      </c>
      <c r="J306" s="6">
        <f t="shared" si="79"/>
        <v>0</v>
      </c>
      <c r="K306" s="6">
        <f t="shared" si="80"/>
        <v>0</v>
      </c>
    </row>
    <row r="307" spans="1:12" ht="13">
      <c r="A307" s="2">
        <f t="shared" si="77"/>
        <v>232</v>
      </c>
      <c r="B307" s="349" t="s">
        <v>389</v>
      </c>
      <c r="C307" s="350">
        <v>2023</v>
      </c>
      <c r="D307" s="60">
        <v>0</v>
      </c>
      <c r="E307" s="6">
        <f>D307*'16-PlantAdditions'!$E$103</f>
        <v>0</v>
      </c>
      <c r="F307" s="6">
        <f t="shared" si="78"/>
        <v>0</v>
      </c>
      <c r="G307" s="60">
        <v>0</v>
      </c>
      <c r="H307" s="60">
        <v>0</v>
      </c>
      <c r="I307" s="6">
        <f>(G307-H307)*'16-PlantAdditions'!$E$103</f>
        <v>0</v>
      </c>
      <c r="J307" s="6">
        <f t="shared" si="79"/>
        <v>0</v>
      </c>
      <c r="K307" s="6">
        <f t="shared" si="80"/>
        <v>0</v>
      </c>
    </row>
    <row r="308" spans="1:12" ht="13">
      <c r="A308" s="2">
        <f t="shared" si="77"/>
        <v>233</v>
      </c>
      <c r="B308" s="349" t="s">
        <v>390</v>
      </c>
      <c r="C308" s="350">
        <v>2023</v>
      </c>
      <c r="D308" s="60">
        <v>0</v>
      </c>
      <c r="E308" s="6">
        <f>D308*'16-PlantAdditions'!$E$103</f>
        <v>0</v>
      </c>
      <c r="F308" s="6">
        <f t="shared" ref="F308:F310" si="81">E308+D308</f>
        <v>0</v>
      </c>
      <c r="G308" s="60">
        <v>0</v>
      </c>
      <c r="H308" s="60">
        <v>0</v>
      </c>
      <c r="I308" s="6">
        <f>(G308-H308)*'16-PlantAdditions'!$E$103</f>
        <v>0</v>
      </c>
      <c r="J308" s="6">
        <f t="shared" ref="J308:J310" si="82">J307+F308-G308-I308</f>
        <v>0</v>
      </c>
      <c r="K308" s="6">
        <f t="shared" si="80"/>
        <v>0</v>
      </c>
    </row>
    <row r="309" spans="1:12" ht="13">
      <c r="A309" s="2">
        <f t="shared" si="77"/>
        <v>234</v>
      </c>
      <c r="B309" s="349" t="s">
        <v>391</v>
      </c>
      <c r="C309" s="350">
        <v>2023</v>
      </c>
      <c r="D309" s="60">
        <v>0</v>
      </c>
      <c r="E309" s="6">
        <f>D309*'16-PlantAdditions'!$E$103</f>
        <v>0</v>
      </c>
      <c r="F309" s="6">
        <f t="shared" si="81"/>
        <v>0</v>
      </c>
      <c r="G309" s="60">
        <v>0</v>
      </c>
      <c r="H309" s="60">
        <v>0</v>
      </c>
      <c r="I309" s="6">
        <f>(G309-H309)*'16-PlantAdditions'!$E$103</f>
        <v>0</v>
      </c>
      <c r="J309" s="6">
        <f t="shared" si="82"/>
        <v>0</v>
      </c>
      <c r="K309" s="6">
        <f t="shared" si="80"/>
        <v>0</v>
      </c>
    </row>
    <row r="310" spans="1:12" ht="13">
      <c r="A310" s="2">
        <f t="shared" si="77"/>
        <v>235</v>
      </c>
      <c r="B310" s="349" t="s">
        <v>379</v>
      </c>
      <c r="C310" s="350">
        <v>2023</v>
      </c>
      <c r="D310" s="60">
        <v>0</v>
      </c>
      <c r="E310" s="6">
        <f>D310*'16-PlantAdditions'!$E$103</f>
        <v>0</v>
      </c>
      <c r="F310" s="6">
        <f t="shared" si="81"/>
        <v>0</v>
      </c>
      <c r="G310" s="60">
        <v>0</v>
      </c>
      <c r="H310" s="60">
        <v>0</v>
      </c>
      <c r="I310" s="6">
        <f>(G310-H310)*'16-PlantAdditions'!$E$103</f>
        <v>0</v>
      </c>
      <c r="J310" s="6">
        <f t="shared" si="82"/>
        <v>0</v>
      </c>
      <c r="K310" s="53">
        <f t="shared" si="80"/>
        <v>0</v>
      </c>
    </row>
    <row r="311" spans="1:12" ht="13">
      <c r="A311" s="2">
        <f t="shared" si="77"/>
        <v>236</v>
      </c>
      <c r="C311" s="371" t="s">
        <v>999</v>
      </c>
      <c r="K311" s="42">
        <f>AVERAGE(K298:K310)</f>
        <v>0</v>
      </c>
    </row>
    <row r="312" spans="1:12" ht="13">
      <c r="A312" s="2"/>
      <c r="C312" s="371"/>
      <c r="K312" s="42"/>
    </row>
    <row r="313" spans="1:12" ht="13">
      <c r="B313" s="34" t="s">
        <v>1020</v>
      </c>
      <c r="D313" s="1116" t="s">
        <v>979</v>
      </c>
      <c r="E313" s="1116"/>
    </row>
    <row r="314" spans="1:12" ht="13">
      <c r="A314" s="3"/>
      <c r="B314" s="3"/>
      <c r="C314" s="3"/>
      <c r="D314" s="3" t="s">
        <v>336</v>
      </c>
      <c r="E314" s="3" t="s">
        <v>337</v>
      </c>
      <c r="F314" s="3" t="s">
        <v>338</v>
      </c>
      <c r="G314" s="3" t="s">
        <v>339</v>
      </c>
      <c r="H314" s="3" t="s">
        <v>340</v>
      </c>
      <c r="I314" s="3" t="s">
        <v>341</v>
      </c>
      <c r="J314" s="3" t="s">
        <v>342</v>
      </c>
      <c r="K314" s="3" t="s">
        <v>343</v>
      </c>
    </row>
    <row r="315" spans="1:12" ht="25.5">
      <c r="D315" s="48"/>
      <c r="E315" s="372" t="s">
        <v>1003</v>
      </c>
      <c r="F315" s="257" t="s">
        <v>1004</v>
      </c>
      <c r="G315" s="257"/>
      <c r="H315" s="48"/>
      <c r="I315" s="372" t="s">
        <v>1005</v>
      </c>
      <c r="J315" s="372" t="s">
        <v>1006</v>
      </c>
      <c r="K315" s="372" t="s">
        <v>1007</v>
      </c>
    </row>
    <row r="316" spans="1:12" ht="13">
      <c r="D316" s="48"/>
      <c r="E316" s="48"/>
      <c r="F316" s="48"/>
      <c r="G316" s="2" t="str">
        <f>G51</f>
        <v>Unloaded</v>
      </c>
      <c r="H316" s="48"/>
      <c r="I316" s="48"/>
    </row>
    <row r="317" spans="1:12" ht="13">
      <c r="A317" s="2"/>
      <c r="B317" s="2"/>
      <c r="C317" s="2"/>
      <c r="D317" s="2" t="str">
        <f>D$52</f>
        <v>Forecast</v>
      </c>
      <c r="E317" s="2" t="str">
        <f t="shared" ref="E317:J317" si="83">E$52</f>
        <v>Corporate</v>
      </c>
      <c r="F317" s="2" t="str">
        <f t="shared" si="83"/>
        <v xml:space="preserve">Total </v>
      </c>
      <c r="G317" s="2" t="str">
        <f>G52</f>
        <v>Total</v>
      </c>
      <c r="H317" s="2" t="str">
        <f t="shared" si="83"/>
        <v>Prior Period</v>
      </c>
      <c r="I317" s="2" t="str">
        <f t="shared" si="83"/>
        <v>Over Heads</v>
      </c>
      <c r="J317" s="2" t="str">
        <f t="shared" si="83"/>
        <v>Forecast</v>
      </c>
      <c r="K317" s="2" t="str">
        <f>K$52</f>
        <v>Forecast Period</v>
      </c>
    </row>
    <row r="318" spans="1:12" ht="13">
      <c r="A318" s="30" t="s">
        <v>273</v>
      </c>
      <c r="B318" s="348" t="s">
        <v>371</v>
      </c>
      <c r="C318" s="348" t="s">
        <v>372</v>
      </c>
      <c r="D318" s="3" t="str">
        <f>D$53</f>
        <v>Expenditures</v>
      </c>
      <c r="E318" s="3" t="str">
        <f t="shared" ref="E318:J318" si="84">E$53</f>
        <v>Overheads</v>
      </c>
      <c r="F318" s="3" t="str">
        <f t="shared" si="84"/>
        <v>CWIP Exp</v>
      </c>
      <c r="G318" s="3" t="str">
        <f>G53</f>
        <v>Plant Adds</v>
      </c>
      <c r="H318" s="3" t="str">
        <f t="shared" si="84"/>
        <v>CWIP Closed</v>
      </c>
      <c r="I318" s="3" t="str">
        <f t="shared" si="84"/>
        <v>Closed to PIS</v>
      </c>
      <c r="J318" s="3" t="str">
        <f t="shared" si="84"/>
        <v>Period CWIP</v>
      </c>
      <c r="K318" s="3" t="str">
        <f>K$53</f>
        <v>Incremental CWIP</v>
      </c>
    </row>
    <row r="319" spans="1:12" ht="13">
      <c r="A319" s="2">
        <f>A311+1</f>
        <v>237</v>
      </c>
      <c r="B319" s="349" t="s">
        <v>379</v>
      </c>
      <c r="C319" s="350">
        <v>2021</v>
      </c>
      <c r="D319" s="257" t="s">
        <v>380</v>
      </c>
      <c r="E319" s="257" t="s">
        <v>380</v>
      </c>
      <c r="F319" s="257" t="s">
        <v>380</v>
      </c>
      <c r="G319" s="257" t="s">
        <v>380</v>
      </c>
      <c r="H319" s="257" t="s">
        <v>380</v>
      </c>
      <c r="I319" s="257" t="s">
        <v>380</v>
      </c>
      <c r="J319" s="6">
        <f>F45</f>
        <v>201436016.56999999</v>
      </c>
      <c r="K319" s="257" t="s">
        <v>380</v>
      </c>
    </row>
    <row r="320" spans="1:12" ht="13">
      <c r="A320" s="2">
        <f>A319+1</f>
        <v>238</v>
      </c>
      <c r="B320" s="349" t="s">
        <v>381</v>
      </c>
      <c r="C320" s="350">
        <v>2022</v>
      </c>
      <c r="D320" s="60">
        <v>5385861.7635999992</v>
      </c>
      <c r="E320" s="6">
        <f>D320*'16-PlantAdditions'!$E$103</f>
        <v>403939.63226999994</v>
      </c>
      <c r="F320" s="6">
        <f>E320+D320</f>
        <v>5789801.3958699992</v>
      </c>
      <c r="G320" s="60">
        <v>463.7636</v>
      </c>
      <c r="H320" s="60">
        <v>0</v>
      </c>
      <c r="I320" s="6">
        <f>(G320-H320)*'16-PlantAdditions'!$E$103</f>
        <v>34.782269999999997</v>
      </c>
      <c r="J320" s="6">
        <f>J319+F320-G320-I320</f>
        <v>207225319.41999999</v>
      </c>
      <c r="K320" s="6">
        <f>J320-$J$319</f>
        <v>5789302.849999994</v>
      </c>
      <c r="L320" s="2"/>
    </row>
    <row r="321" spans="1:12" ht="13">
      <c r="A321" s="2">
        <f t="shared" ref="A321:A344" si="85">A320+1</f>
        <v>239</v>
      </c>
      <c r="B321" s="349" t="s">
        <v>382</v>
      </c>
      <c r="C321" s="350">
        <v>2022</v>
      </c>
      <c r="D321" s="60">
        <v>2030909.1629999999</v>
      </c>
      <c r="E321" s="6">
        <f>D321*'16-PlantAdditions'!$E$103</f>
        <v>152318.187225</v>
      </c>
      <c r="F321" s="6">
        <f t="shared" ref="F321:F340" si="86">E321+D321</f>
        <v>2183227.3502249997</v>
      </c>
      <c r="G321" s="60">
        <v>251.16299999999998</v>
      </c>
      <c r="H321" s="60">
        <v>0</v>
      </c>
      <c r="I321" s="6">
        <f>(G321-H321)*'16-PlantAdditions'!$E$103</f>
        <v>18.837224999999997</v>
      </c>
      <c r="J321" s="6">
        <f t="shared" ref="J321:J340" si="87">J320+F321-G321-I321</f>
        <v>209408276.77000001</v>
      </c>
      <c r="K321" s="6">
        <f t="shared" ref="K321:K343" si="88">J321-$J$319</f>
        <v>7972260.2000000179</v>
      </c>
      <c r="L321" s="2"/>
    </row>
    <row r="322" spans="1:12" ht="13">
      <c r="A322" s="2">
        <f t="shared" si="85"/>
        <v>240</v>
      </c>
      <c r="B322" s="349" t="s">
        <v>383</v>
      </c>
      <c r="C322" s="350">
        <v>2022</v>
      </c>
      <c r="D322" s="60">
        <v>2344984.1952</v>
      </c>
      <c r="E322" s="6">
        <f>D322*'16-PlantAdditions'!$E$103</f>
        <v>175873.81464</v>
      </c>
      <c r="F322" s="6">
        <f t="shared" si="86"/>
        <v>2520858.00984</v>
      </c>
      <c r="G322" s="60">
        <v>3012.1951999999997</v>
      </c>
      <c r="H322" s="60">
        <v>0</v>
      </c>
      <c r="I322" s="6">
        <f>(G322-H322)*'16-PlantAdditions'!$E$103</f>
        <v>225.91463999999996</v>
      </c>
      <c r="J322" s="6">
        <f t="shared" si="87"/>
        <v>211925896.67000002</v>
      </c>
      <c r="K322" s="6">
        <f t="shared" si="88"/>
        <v>10489880.100000024</v>
      </c>
      <c r="L322" s="2"/>
    </row>
    <row r="323" spans="1:12" ht="13">
      <c r="A323" s="2">
        <f t="shared" si="85"/>
        <v>241</v>
      </c>
      <c r="B323" s="349" t="s">
        <v>384</v>
      </c>
      <c r="C323" s="350">
        <v>2022</v>
      </c>
      <c r="D323" s="60">
        <v>4026108</v>
      </c>
      <c r="E323" s="6">
        <f>D323*'16-PlantAdditions'!$E$103</f>
        <v>301958.09999999998</v>
      </c>
      <c r="F323" s="6">
        <f t="shared" si="86"/>
        <v>4328066.0999999996</v>
      </c>
      <c r="G323" s="60">
        <v>0</v>
      </c>
      <c r="H323" s="60">
        <v>0</v>
      </c>
      <c r="I323" s="6">
        <f>(G323-H323)*'16-PlantAdditions'!$E$103</f>
        <v>0</v>
      </c>
      <c r="J323" s="6">
        <f t="shared" si="87"/>
        <v>216253962.77000001</v>
      </c>
      <c r="K323" s="6">
        <f t="shared" si="88"/>
        <v>14817946.200000018</v>
      </c>
      <c r="L323" s="3"/>
    </row>
    <row r="324" spans="1:12" ht="13">
      <c r="A324" s="2">
        <f t="shared" si="85"/>
        <v>242</v>
      </c>
      <c r="B324" s="349" t="s">
        <v>385</v>
      </c>
      <c r="C324" s="350">
        <v>2022</v>
      </c>
      <c r="D324" s="60">
        <v>3320870</v>
      </c>
      <c r="E324" s="6">
        <f>D324*'16-PlantAdditions'!$E$103</f>
        <v>249065.25</v>
      </c>
      <c r="F324" s="6">
        <f t="shared" si="86"/>
        <v>3569935.25</v>
      </c>
      <c r="G324" s="60">
        <v>499840.14999999967</v>
      </c>
      <c r="H324" s="60">
        <v>483115.14999999962</v>
      </c>
      <c r="I324" s="6">
        <f>(G324-H324)*'16-PlantAdditions'!$E$103</f>
        <v>1254.3750000000043</v>
      </c>
      <c r="J324" s="6">
        <f t="shared" si="87"/>
        <v>219322803.495</v>
      </c>
      <c r="K324" s="6">
        <f t="shared" si="88"/>
        <v>17886786.925000012</v>
      </c>
    </row>
    <row r="325" spans="1:12" ht="13">
      <c r="A325" s="2">
        <f t="shared" si="85"/>
        <v>243</v>
      </c>
      <c r="B325" s="349" t="s">
        <v>594</v>
      </c>
      <c r="C325" s="350">
        <v>2022</v>
      </c>
      <c r="D325" s="60">
        <v>3372745</v>
      </c>
      <c r="E325" s="6">
        <f>D325*'16-PlantAdditions'!$E$103</f>
        <v>252955.875</v>
      </c>
      <c r="F325" s="6">
        <f t="shared" si="86"/>
        <v>3625700.875</v>
      </c>
      <c r="G325" s="60">
        <v>5977366.820000004</v>
      </c>
      <c r="H325" s="60">
        <v>5924857.820000004</v>
      </c>
      <c r="I325" s="6">
        <f>(G325-H325)*'16-PlantAdditions'!$E$103</f>
        <v>3938.1749999999997</v>
      </c>
      <c r="J325" s="6">
        <f t="shared" si="87"/>
        <v>216967199.375</v>
      </c>
      <c r="K325" s="6">
        <f t="shared" si="88"/>
        <v>15531182.805000007</v>
      </c>
    </row>
    <row r="326" spans="1:12" ht="13">
      <c r="A326" s="2">
        <f t="shared" si="85"/>
        <v>244</v>
      </c>
      <c r="B326" s="349" t="s">
        <v>387</v>
      </c>
      <c r="C326" s="350">
        <v>2022</v>
      </c>
      <c r="D326" s="60">
        <v>3643601</v>
      </c>
      <c r="E326" s="6">
        <f>D326*'16-PlantAdditions'!$E$103</f>
        <v>273270.07500000001</v>
      </c>
      <c r="F326" s="6">
        <f t="shared" si="86"/>
        <v>3916871.0750000002</v>
      </c>
      <c r="G326" s="60">
        <v>263080.39000000013</v>
      </c>
      <c r="H326" s="60">
        <v>215268.39000000016</v>
      </c>
      <c r="I326" s="6">
        <f>(G326-H326)*'16-PlantAdditions'!$E$103</f>
        <v>3585.8999999999978</v>
      </c>
      <c r="J326" s="6">
        <f t="shared" si="87"/>
        <v>220617404.16</v>
      </c>
      <c r="K326" s="6">
        <f t="shared" si="88"/>
        <v>19181387.590000004</v>
      </c>
    </row>
    <row r="327" spans="1:12" ht="13">
      <c r="A327" s="2">
        <f t="shared" si="85"/>
        <v>245</v>
      </c>
      <c r="B327" s="349" t="s">
        <v>388</v>
      </c>
      <c r="C327" s="350">
        <v>2022</v>
      </c>
      <c r="D327" s="60">
        <v>3089763</v>
      </c>
      <c r="E327" s="6">
        <f>D327*'16-PlantAdditions'!$E$103</f>
        <v>231732.22500000001</v>
      </c>
      <c r="F327" s="6">
        <f t="shared" si="86"/>
        <v>3321495.2250000001</v>
      </c>
      <c r="G327" s="60">
        <v>0</v>
      </c>
      <c r="H327" s="60">
        <v>0</v>
      </c>
      <c r="I327" s="6">
        <f>(G327-H327)*'16-PlantAdditions'!$E$103</f>
        <v>0</v>
      </c>
      <c r="J327" s="6">
        <f t="shared" si="87"/>
        <v>223938899.38499999</v>
      </c>
      <c r="K327" s="6">
        <f t="shared" si="88"/>
        <v>22502882.814999998</v>
      </c>
    </row>
    <row r="328" spans="1:12" ht="13">
      <c r="A328" s="2">
        <f t="shared" si="85"/>
        <v>246</v>
      </c>
      <c r="B328" s="349" t="s">
        <v>389</v>
      </c>
      <c r="C328" s="350">
        <v>2022</v>
      </c>
      <c r="D328" s="60">
        <v>1566502</v>
      </c>
      <c r="E328" s="6">
        <f>D328*'16-PlantAdditions'!$E$103</f>
        <v>117487.65</v>
      </c>
      <c r="F328" s="6">
        <f t="shared" si="86"/>
        <v>1683989.65</v>
      </c>
      <c r="G328" s="60">
        <v>0</v>
      </c>
      <c r="H328" s="60">
        <v>0</v>
      </c>
      <c r="I328" s="6">
        <f>(G328-H328)*'16-PlantAdditions'!$E$103</f>
        <v>0</v>
      </c>
      <c r="J328" s="6">
        <f t="shared" si="87"/>
        <v>225622889.035</v>
      </c>
      <c r="K328" s="6">
        <f t="shared" si="88"/>
        <v>24186872.465000004</v>
      </c>
    </row>
    <row r="329" spans="1:12" ht="13">
      <c r="A329" s="2">
        <f t="shared" si="85"/>
        <v>247</v>
      </c>
      <c r="B329" s="349" t="s">
        <v>390</v>
      </c>
      <c r="C329" s="350">
        <v>2022</v>
      </c>
      <c r="D329" s="60">
        <v>604496</v>
      </c>
      <c r="E329" s="6">
        <f>D329*'16-PlantAdditions'!$E$103</f>
        <v>45337.2</v>
      </c>
      <c r="F329" s="6">
        <f t="shared" si="86"/>
        <v>649833.19999999995</v>
      </c>
      <c r="G329" s="60">
        <v>0</v>
      </c>
      <c r="H329" s="60">
        <v>0</v>
      </c>
      <c r="I329" s="6">
        <f>(G329-H329)*'16-PlantAdditions'!$E$103</f>
        <v>0</v>
      </c>
      <c r="J329" s="6">
        <f t="shared" si="87"/>
        <v>226272722.23499998</v>
      </c>
      <c r="K329" s="6">
        <f t="shared" si="88"/>
        <v>24836705.664999992</v>
      </c>
    </row>
    <row r="330" spans="1:12" ht="13">
      <c r="A330" s="2">
        <f t="shared" si="85"/>
        <v>248</v>
      </c>
      <c r="B330" s="349" t="s">
        <v>391</v>
      </c>
      <c r="C330" s="350">
        <v>2022</v>
      </c>
      <c r="D330" s="60">
        <v>604496</v>
      </c>
      <c r="E330" s="6">
        <f>D330*'16-PlantAdditions'!$E$103</f>
        <v>45337.2</v>
      </c>
      <c r="F330" s="6">
        <f t="shared" si="86"/>
        <v>649833.19999999995</v>
      </c>
      <c r="G330" s="60">
        <v>0</v>
      </c>
      <c r="H330" s="60">
        <v>0</v>
      </c>
      <c r="I330" s="6">
        <f>(G330-H330)*'16-PlantAdditions'!$E$103</f>
        <v>0</v>
      </c>
      <c r="J330" s="6">
        <f t="shared" si="87"/>
        <v>226922555.43499997</v>
      </c>
      <c r="K330" s="6">
        <f t="shared" si="88"/>
        <v>25486538.86499998</v>
      </c>
    </row>
    <row r="331" spans="1:12" ht="13">
      <c r="A331" s="2">
        <f t="shared" si="85"/>
        <v>249</v>
      </c>
      <c r="B331" s="349" t="s">
        <v>379</v>
      </c>
      <c r="C331" s="350">
        <v>2022</v>
      </c>
      <c r="D331" s="60">
        <v>2011418.5074000002</v>
      </c>
      <c r="E331" s="6">
        <f>D331*'16-PlantAdditions'!$E$103</f>
        <v>150856.38805500002</v>
      </c>
      <c r="F331" s="6">
        <f t="shared" si="86"/>
        <v>2162274.8954550005</v>
      </c>
      <c r="G331" s="60">
        <v>224717624.19740018</v>
      </c>
      <c r="H331" s="60">
        <v>193740895.69000018</v>
      </c>
      <c r="I331" s="6">
        <f>(G331-H331)*'16-PlantAdditions'!$E$103</f>
        <v>2323254.6380550005</v>
      </c>
      <c r="J331" s="6">
        <f t="shared" si="87"/>
        <v>2043951.4949997924</v>
      </c>
      <c r="K331" s="6">
        <f t="shared" si="88"/>
        <v>-199392065.0750002</v>
      </c>
    </row>
    <row r="332" spans="1:12" ht="13">
      <c r="A332" s="2">
        <f t="shared" si="85"/>
        <v>250</v>
      </c>
      <c r="B332" s="349" t="s">
        <v>381</v>
      </c>
      <c r="C332" s="350">
        <v>2023</v>
      </c>
      <c r="D332" s="60">
        <v>0</v>
      </c>
      <c r="E332" s="6">
        <f>D332*'16-PlantAdditions'!$E$103</f>
        <v>0</v>
      </c>
      <c r="F332" s="6">
        <f t="shared" si="86"/>
        <v>0</v>
      </c>
      <c r="G332" s="60">
        <v>0</v>
      </c>
      <c r="H332" s="60">
        <v>0</v>
      </c>
      <c r="I332" s="6">
        <f>(G332-H332)*'16-PlantAdditions'!$E$103</f>
        <v>0</v>
      </c>
      <c r="J332" s="6">
        <f t="shared" si="87"/>
        <v>2043951.4949997924</v>
      </c>
      <c r="K332" s="6">
        <f t="shared" si="88"/>
        <v>-199392065.0750002</v>
      </c>
    </row>
    <row r="333" spans="1:12" ht="13">
      <c r="A333" s="2">
        <f t="shared" si="85"/>
        <v>251</v>
      </c>
      <c r="B333" s="349" t="s">
        <v>382</v>
      </c>
      <c r="C333" s="350">
        <v>2023</v>
      </c>
      <c r="D333" s="60">
        <v>0</v>
      </c>
      <c r="E333" s="6">
        <f>D333*'16-PlantAdditions'!$E$103</f>
        <v>0</v>
      </c>
      <c r="F333" s="6">
        <f t="shared" si="86"/>
        <v>0</v>
      </c>
      <c r="G333" s="60">
        <v>0</v>
      </c>
      <c r="H333" s="60">
        <v>0</v>
      </c>
      <c r="I333" s="6">
        <f>(G333-H333)*'16-PlantAdditions'!$E$103</f>
        <v>0</v>
      </c>
      <c r="J333" s="6">
        <f t="shared" si="87"/>
        <v>2043951.4949997924</v>
      </c>
      <c r="K333" s="6">
        <f t="shared" si="88"/>
        <v>-199392065.0750002</v>
      </c>
    </row>
    <row r="334" spans="1:12" ht="13">
      <c r="A334" s="2">
        <f t="shared" si="85"/>
        <v>252</v>
      </c>
      <c r="B334" s="349" t="s">
        <v>383</v>
      </c>
      <c r="C334" s="350">
        <v>2023</v>
      </c>
      <c r="D334" s="60">
        <v>0</v>
      </c>
      <c r="E334" s="6">
        <f>D334*'16-PlantAdditions'!$E$103</f>
        <v>0</v>
      </c>
      <c r="F334" s="6">
        <f t="shared" si="86"/>
        <v>0</v>
      </c>
      <c r="G334" s="60">
        <v>0</v>
      </c>
      <c r="H334" s="60">
        <v>0</v>
      </c>
      <c r="I334" s="6">
        <f>(G334-H334)*'16-PlantAdditions'!$E$103</f>
        <v>0</v>
      </c>
      <c r="J334" s="6">
        <f>J333+F334-G334-I334</f>
        <v>2043951.4949997924</v>
      </c>
      <c r="K334" s="6">
        <f t="shared" si="88"/>
        <v>-199392065.0750002</v>
      </c>
    </row>
    <row r="335" spans="1:12" ht="13">
      <c r="A335" s="2">
        <f t="shared" si="85"/>
        <v>253</v>
      </c>
      <c r="B335" s="349" t="s">
        <v>384</v>
      </c>
      <c r="C335" s="350">
        <v>2023</v>
      </c>
      <c r="D335" s="60">
        <v>0</v>
      </c>
      <c r="E335" s="6">
        <f>D335*'16-PlantAdditions'!$E$103</f>
        <v>0</v>
      </c>
      <c r="F335" s="6">
        <f t="shared" si="86"/>
        <v>0</v>
      </c>
      <c r="G335" s="60">
        <v>0</v>
      </c>
      <c r="H335" s="60">
        <v>0</v>
      </c>
      <c r="I335" s="6">
        <f>(G335-H335)*'16-PlantAdditions'!$E$103</f>
        <v>0</v>
      </c>
      <c r="J335" s="6">
        <f t="shared" si="87"/>
        <v>2043951.4949997924</v>
      </c>
      <c r="K335" s="6">
        <f t="shared" si="88"/>
        <v>-199392065.0750002</v>
      </c>
    </row>
    <row r="336" spans="1:12" ht="13">
      <c r="A336" s="2">
        <f t="shared" si="85"/>
        <v>254</v>
      </c>
      <c r="B336" s="349" t="s">
        <v>385</v>
      </c>
      <c r="C336" s="350">
        <v>2023</v>
      </c>
      <c r="D336" s="60">
        <v>0</v>
      </c>
      <c r="E336" s="6">
        <f>D336*'16-PlantAdditions'!$E$103</f>
        <v>0</v>
      </c>
      <c r="F336" s="6">
        <f t="shared" si="86"/>
        <v>0</v>
      </c>
      <c r="G336" s="60">
        <v>0</v>
      </c>
      <c r="H336" s="60">
        <v>0</v>
      </c>
      <c r="I336" s="6">
        <f>(G336-H336)*'16-PlantAdditions'!$E$103</f>
        <v>0</v>
      </c>
      <c r="J336" s="6">
        <f t="shared" si="87"/>
        <v>2043951.4949997924</v>
      </c>
      <c r="K336" s="6">
        <f t="shared" si="88"/>
        <v>-199392065.0750002</v>
      </c>
    </row>
    <row r="337" spans="1:11" ht="13">
      <c r="A337" s="2">
        <f t="shared" si="85"/>
        <v>255</v>
      </c>
      <c r="B337" s="349" t="s">
        <v>594</v>
      </c>
      <c r="C337" s="350">
        <v>2023</v>
      </c>
      <c r="D337" s="60">
        <v>0</v>
      </c>
      <c r="E337" s="6">
        <f>D337*'16-PlantAdditions'!$E$103</f>
        <v>0</v>
      </c>
      <c r="F337" s="6">
        <f t="shared" si="86"/>
        <v>0</v>
      </c>
      <c r="G337" s="60">
        <v>0</v>
      </c>
      <c r="H337" s="60">
        <v>0</v>
      </c>
      <c r="I337" s="6">
        <f>(G337-H337)*'16-PlantAdditions'!$E$103</f>
        <v>0</v>
      </c>
      <c r="J337" s="6">
        <f t="shared" si="87"/>
        <v>2043951.4949997924</v>
      </c>
      <c r="K337" s="6">
        <f t="shared" si="88"/>
        <v>-199392065.0750002</v>
      </c>
    </row>
    <row r="338" spans="1:11" ht="13">
      <c r="A338" s="2">
        <f t="shared" si="85"/>
        <v>256</v>
      </c>
      <c r="B338" s="349" t="s">
        <v>387</v>
      </c>
      <c r="C338" s="350">
        <v>2023</v>
      </c>
      <c r="D338" s="60">
        <v>0</v>
      </c>
      <c r="E338" s="6">
        <f>D338*'16-PlantAdditions'!$E$103</f>
        <v>0</v>
      </c>
      <c r="F338" s="6">
        <f t="shared" si="86"/>
        <v>0</v>
      </c>
      <c r="G338" s="60">
        <v>0</v>
      </c>
      <c r="H338" s="60">
        <v>0</v>
      </c>
      <c r="I338" s="6">
        <f>(G338-H338)*'16-PlantAdditions'!$E$103</f>
        <v>0</v>
      </c>
      <c r="J338" s="6">
        <f t="shared" si="87"/>
        <v>2043951.4949997924</v>
      </c>
      <c r="K338" s="6">
        <f t="shared" si="88"/>
        <v>-199392065.0750002</v>
      </c>
    </row>
    <row r="339" spans="1:11" ht="13">
      <c r="A339" s="2">
        <f t="shared" si="85"/>
        <v>257</v>
      </c>
      <c r="B339" s="349" t="s">
        <v>388</v>
      </c>
      <c r="C339" s="350">
        <v>2023</v>
      </c>
      <c r="D339" s="60">
        <v>0</v>
      </c>
      <c r="E339" s="6">
        <f>D339*'16-PlantAdditions'!$E$103</f>
        <v>0</v>
      </c>
      <c r="F339" s="6">
        <f t="shared" si="86"/>
        <v>0</v>
      </c>
      <c r="G339" s="60">
        <v>1976132.5200000005</v>
      </c>
      <c r="H339" s="60">
        <v>1071879.5200000005</v>
      </c>
      <c r="I339" s="6">
        <f>(G339-H339)*'16-PlantAdditions'!$E$103</f>
        <v>67818.974999999991</v>
      </c>
      <c r="J339" s="6">
        <f t="shared" si="87"/>
        <v>-2.0804873201996088E-7</v>
      </c>
      <c r="K339" s="6">
        <f t="shared" si="88"/>
        <v>-201436016.5700002</v>
      </c>
    </row>
    <row r="340" spans="1:11" ht="13">
      <c r="A340" s="2">
        <f t="shared" si="85"/>
        <v>258</v>
      </c>
      <c r="B340" s="349" t="s">
        <v>389</v>
      </c>
      <c r="C340" s="350">
        <v>2023</v>
      </c>
      <c r="D340" s="60">
        <v>0</v>
      </c>
      <c r="E340" s="6">
        <f>D340*'16-PlantAdditions'!$E$103</f>
        <v>0</v>
      </c>
      <c r="F340" s="6">
        <f t="shared" si="86"/>
        <v>0</v>
      </c>
      <c r="G340" s="60">
        <v>0</v>
      </c>
      <c r="H340" s="60">
        <v>0</v>
      </c>
      <c r="I340" s="6">
        <f>(G340-H340)*'16-PlantAdditions'!$E$103</f>
        <v>0</v>
      </c>
      <c r="J340" s="6">
        <f t="shared" si="87"/>
        <v>-2.0804873201996088E-7</v>
      </c>
      <c r="K340" s="6">
        <f t="shared" si="88"/>
        <v>-201436016.5700002</v>
      </c>
    </row>
    <row r="341" spans="1:11" ht="13">
      <c r="A341" s="2">
        <f t="shared" si="85"/>
        <v>259</v>
      </c>
      <c r="B341" s="349" t="s">
        <v>390</v>
      </c>
      <c r="C341" s="350">
        <v>2023</v>
      </c>
      <c r="D341" s="60">
        <v>0</v>
      </c>
      <c r="E341" s="6">
        <f>D341*'16-PlantAdditions'!$E$103</f>
        <v>0</v>
      </c>
      <c r="F341" s="6">
        <f t="shared" ref="F341:F343" si="89">E341+D341</f>
        <v>0</v>
      </c>
      <c r="G341" s="60">
        <v>0</v>
      </c>
      <c r="H341" s="60">
        <v>0</v>
      </c>
      <c r="I341" s="6">
        <f>(G341-H341)*'16-PlantAdditions'!$E$103</f>
        <v>0</v>
      </c>
      <c r="J341" s="6">
        <f t="shared" ref="J341:J343" si="90">J340+F341-G341-I341</f>
        <v>-2.0804873201996088E-7</v>
      </c>
      <c r="K341" s="6">
        <f t="shared" si="88"/>
        <v>-201436016.5700002</v>
      </c>
    </row>
    <row r="342" spans="1:11" ht="13">
      <c r="A342" s="2">
        <f t="shared" si="85"/>
        <v>260</v>
      </c>
      <c r="B342" s="349" t="s">
        <v>391</v>
      </c>
      <c r="C342" s="350">
        <v>2023</v>
      </c>
      <c r="D342" s="60">
        <v>0</v>
      </c>
      <c r="E342" s="6">
        <f>D342*'16-PlantAdditions'!$E$103</f>
        <v>0</v>
      </c>
      <c r="F342" s="6">
        <f t="shared" si="89"/>
        <v>0</v>
      </c>
      <c r="G342" s="60">
        <v>0</v>
      </c>
      <c r="H342" s="60">
        <v>0</v>
      </c>
      <c r="I342" s="6">
        <f>(G342-H342)*'16-PlantAdditions'!$E$103</f>
        <v>0</v>
      </c>
      <c r="J342" s="6">
        <f t="shared" si="90"/>
        <v>-2.0804873201996088E-7</v>
      </c>
      <c r="K342" s="6">
        <f t="shared" si="88"/>
        <v>-201436016.5700002</v>
      </c>
    </row>
    <row r="343" spans="1:11" ht="13">
      <c r="A343" s="2">
        <f t="shared" si="85"/>
        <v>261</v>
      </c>
      <c r="B343" s="349" t="s">
        <v>379</v>
      </c>
      <c r="C343" s="350">
        <v>2023</v>
      </c>
      <c r="D343" s="60">
        <v>791264</v>
      </c>
      <c r="E343" s="6">
        <f>D343*'16-PlantAdditions'!$E$103</f>
        <v>59344.799999999996</v>
      </c>
      <c r="F343" s="6">
        <f t="shared" si="89"/>
        <v>850608.8</v>
      </c>
      <c r="G343" s="60">
        <v>791264</v>
      </c>
      <c r="H343" s="60">
        <v>0</v>
      </c>
      <c r="I343" s="6">
        <f>(G343-H343)*'16-PlantAdditions'!$E$103</f>
        <v>59344.799999999996</v>
      </c>
      <c r="J343" s="6">
        <f t="shared" si="90"/>
        <v>-2.0798324840143323E-7</v>
      </c>
      <c r="K343" s="53">
        <f t="shared" si="88"/>
        <v>-201436016.5700002</v>
      </c>
    </row>
    <row r="344" spans="1:11" ht="13">
      <c r="A344" s="2">
        <f t="shared" si="85"/>
        <v>262</v>
      </c>
      <c r="C344" s="371" t="s">
        <v>999</v>
      </c>
      <c r="K344" s="42">
        <f>AVERAGE(K331:K343)</f>
        <v>-200178200.26538482</v>
      </c>
    </row>
    <row r="345" spans="1:11" ht="13">
      <c r="A345" s="2"/>
      <c r="C345" s="371"/>
      <c r="K345" s="42"/>
    </row>
    <row r="346" spans="1:11" ht="13">
      <c r="B346" s="34" t="s">
        <v>1021</v>
      </c>
      <c r="D346" s="1116" t="s">
        <v>980</v>
      </c>
      <c r="E346" s="1116"/>
    </row>
    <row r="347" spans="1:11" ht="13">
      <c r="B347" s="34"/>
      <c r="D347" s="3" t="s">
        <v>336</v>
      </c>
      <c r="E347" s="3" t="s">
        <v>337</v>
      </c>
      <c r="F347" s="3" t="s">
        <v>338</v>
      </c>
      <c r="G347" s="3" t="s">
        <v>339</v>
      </c>
      <c r="H347" s="3" t="s">
        <v>340</v>
      </c>
      <c r="I347" s="3" t="s">
        <v>341</v>
      </c>
      <c r="J347" s="3" t="s">
        <v>342</v>
      </c>
      <c r="K347" s="3" t="s">
        <v>343</v>
      </c>
    </row>
    <row r="348" spans="1:11" ht="25.5">
      <c r="B348" s="34"/>
      <c r="D348" s="48"/>
      <c r="E348" s="372" t="s">
        <v>1003</v>
      </c>
      <c r="F348" s="257" t="s">
        <v>1004</v>
      </c>
      <c r="G348" s="257"/>
      <c r="H348" s="48"/>
      <c r="I348" s="372" t="s">
        <v>1005</v>
      </c>
      <c r="J348" s="372" t="s">
        <v>1006</v>
      </c>
      <c r="K348" s="372" t="s">
        <v>1007</v>
      </c>
    </row>
    <row r="349" spans="1:11" ht="13">
      <c r="D349" s="48"/>
      <c r="E349" s="48"/>
      <c r="F349" s="48"/>
      <c r="G349" s="2" t="str">
        <f>G51</f>
        <v>Unloaded</v>
      </c>
      <c r="H349" s="48"/>
      <c r="I349" s="48"/>
    </row>
    <row r="350" spans="1:11" ht="13">
      <c r="A350" s="2"/>
      <c r="B350" s="2"/>
      <c r="C350" s="2"/>
      <c r="D350" s="2" t="str">
        <f>D$52</f>
        <v>Forecast</v>
      </c>
      <c r="E350" s="2" t="str">
        <f t="shared" ref="E350:J350" si="91">E$52</f>
        <v>Corporate</v>
      </c>
      <c r="F350" s="2" t="str">
        <f t="shared" si="91"/>
        <v xml:space="preserve">Total </v>
      </c>
      <c r="G350" s="2" t="str">
        <f>G52</f>
        <v>Total</v>
      </c>
      <c r="H350" s="2" t="str">
        <f t="shared" si="91"/>
        <v>Prior Period</v>
      </c>
      <c r="I350" s="2" t="str">
        <f t="shared" si="91"/>
        <v>Over Heads</v>
      </c>
      <c r="J350" s="2" t="str">
        <f t="shared" si="91"/>
        <v>Forecast</v>
      </c>
      <c r="K350" s="2" t="str">
        <f>K$52</f>
        <v>Forecast Period</v>
      </c>
    </row>
    <row r="351" spans="1:11" ht="13">
      <c r="A351" s="30" t="s">
        <v>273</v>
      </c>
      <c r="B351" s="348" t="s">
        <v>371</v>
      </c>
      <c r="C351" s="348" t="s">
        <v>372</v>
      </c>
      <c r="D351" s="3" t="str">
        <f>D$53</f>
        <v>Expenditures</v>
      </c>
      <c r="E351" s="3" t="str">
        <f t="shared" ref="E351:J351" si="92">E$53</f>
        <v>Overheads</v>
      </c>
      <c r="F351" s="3" t="str">
        <f t="shared" si="92"/>
        <v>CWIP Exp</v>
      </c>
      <c r="G351" s="3" t="str">
        <f>G53</f>
        <v>Plant Adds</v>
      </c>
      <c r="H351" s="3" t="str">
        <f t="shared" si="92"/>
        <v>CWIP Closed</v>
      </c>
      <c r="I351" s="3" t="str">
        <f t="shared" si="92"/>
        <v>Closed to PIS</v>
      </c>
      <c r="J351" s="3" t="str">
        <f t="shared" si="92"/>
        <v>Period CWIP</v>
      </c>
      <c r="K351" s="3" t="str">
        <f>K$53</f>
        <v>Incremental CWIP</v>
      </c>
    </row>
    <row r="352" spans="1:11" ht="13">
      <c r="A352" s="2">
        <f>A344+1</f>
        <v>263</v>
      </c>
      <c r="B352" s="349" t="s">
        <v>379</v>
      </c>
      <c r="C352" s="350">
        <v>2021</v>
      </c>
      <c r="D352" s="257" t="s">
        <v>380</v>
      </c>
      <c r="E352" s="257" t="s">
        <v>380</v>
      </c>
      <c r="F352" s="257" t="s">
        <v>380</v>
      </c>
      <c r="G352" s="257" t="s">
        <v>380</v>
      </c>
      <c r="H352" s="257" t="s">
        <v>380</v>
      </c>
      <c r="I352" s="257" t="s">
        <v>380</v>
      </c>
      <c r="J352" s="6">
        <f>G45</f>
        <v>25314115.41</v>
      </c>
      <c r="K352" s="257" t="s">
        <v>380</v>
      </c>
    </row>
    <row r="353" spans="1:11" ht="13">
      <c r="A353" s="2">
        <f>A352+1</f>
        <v>264</v>
      </c>
      <c r="B353" s="349" t="s">
        <v>381</v>
      </c>
      <c r="C353" s="350">
        <v>2022</v>
      </c>
      <c r="D353" s="60">
        <v>-110278.42000000001</v>
      </c>
      <c r="E353" s="6">
        <f>D353*'16-PlantAdditions'!$E$103</f>
        <v>-8270.8815000000013</v>
      </c>
      <c r="F353" s="6">
        <f>E353+D353</f>
        <v>-118549.30150000002</v>
      </c>
      <c r="G353" s="60">
        <v>0</v>
      </c>
      <c r="H353" s="60">
        <v>0</v>
      </c>
      <c r="I353" s="6">
        <f>(G353-H353)*'16-PlantAdditions'!$E$103</f>
        <v>0</v>
      </c>
      <c r="J353" s="6">
        <f>J352+F353-G353-I353</f>
        <v>25195566.1085</v>
      </c>
      <c r="K353" s="6">
        <f>J353-$J$352</f>
        <v>-118549.30150000006</v>
      </c>
    </row>
    <row r="354" spans="1:11" ht="13">
      <c r="A354" s="2">
        <f t="shared" ref="A354:A377" si="93">A353+1</f>
        <v>265</v>
      </c>
      <c r="B354" s="349" t="s">
        <v>382</v>
      </c>
      <c r="C354" s="350">
        <v>2022</v>
      </c>
      <c r="D354" s="60">
        <v>107340.35200000001</v>
      </c>
      <c r="E354" s="6">
        <f>D354*'16-PlantAdditions'!$E$103</f>
        <v>8050.5264000000006</v>
      </c>
      <c r="F354" s="6">
        <f t="shared" ref="F354:F373" si="94">E354+D354</f>
        <v>115390.87840000002</v>
      </c>
      <c r="G354" s="60">
        <v>0</v>
      </c>
      <c r="H354" s="60">
        <v>0</v>
      </c>
      <c r="I354" s="6">
        <f>(G354-H354)*'16-PlantAdditions'!$E$103</f>
        <v>0</v>
      </c>
      <c r="J354" s="6">
        <f t="shared" ref="J354:J373" si="95">J353+F354-G354-I354</f>
        <v>25310956.986900002</v>
      </c>
      <c r="K354" s="6">
        <f t="shared" ref="K354:K376" si="96">J354-$J$352</f>
        <v>-3158.4230999983847</v>
      </c>
    </row>
    <row r="355" spans="1:11" ht="13">
      <c r="A355" s="2">
        <f t="shared" si="93"/>
        <v>266</v>
      </c>
      <c r="B355" s="349" t="s">
        <v>383</v>
      </c>
      <c r="C355" s="350">
        <v>2022</v>
      </c>
      <c r="D355" s="60">
        <v>84996.992000000013</v>
      </c>
      <c r="E355" s="6">
        <f>D355*'16-PlantAdditions'!$E$103</f>
        <v>6374.7744000000012</v>
      </c>
      <c r="F355" s="6">
        <f t="shared" si="94"/>
        <v>91371.766400000008</v>
      </c>
      <c r="G355" s="60">
        <v>0</v>
      </c>
      <c r="H355" s="60">
        <v>0</v>
      </c>
      <c r="I355" s="6">
        <f>(G355-H355)*'16-PlantAdditions'!$E$103</f>
        <v>0</v>
      </c>
      <c r="J355" s="6">
        <f t="shared" si="95"/>
        <v>25402328.7533</v>
      </c>
      <c r="K355" s="6">
        <f t="shared" si="96"/>
        <v>88213.343299999833</v>
      </c>
    </row>
    <row r="356" spans="1:11" ht="13">
      <c r="A356" s="2">
        <f t="shared" si="93"/>
        <v>267</v>
      </c>
      <c r="B356" s="349" t="s">
        <v>384</v>
      </c>
      <c r="C356" s="350">
        <v>2022</v>
      </c>
      <c r="D356" s="60">
        <v>62880</v>
      </c>
      <c r="E356" s="6">
        <f>D356*'16-PlantAdditions'!$E$103</f>
        <v>4716</v>
      </c>
      <c r="F356" s="6">
        <f t="shared" si="94"/>
        <v>67596</v>
      </c>
      <c r="G356" s="60">
        <v>0</v>
      </c>
      <c r="H356" s="60">
        <v>0</v>
      </c>
      <c r="I356" s="6">
        <f>(G356-H356)*'16-PlantAdditions'!$E$103</f>
        <v>0</v>
      </c>
      <c r="J356" s="6">
        <f t="shared" si="95"/>
        <v>25469924.7533</v>
      </c>
      <c r="K356" s="6">
        <f t="shared" si="96"/>
        <v>155809.34329999983</v>
      </c>
    </row>
    <row r="357" spans="1:11" ht="13">
      <c r="A357" s="2">
        <f t="shared" si="93"/>
        <v>268</v>
      </c>
      <c r="B357" s="349" t="s">
        <v>385</v>
      </c>
      <c r="C357" s="350">
        <v>2022</v>
      </c>
      <c r="D357" s="60">
        <v>62880</v>
      </c>
      <c r="E357" s="6">
        <f>D357*'16-PlantAdditions'!$E$103</f>
        <v>4716</v>
      </c>
      <c r="F357" s="6">
        <f t="shared" si="94"/>
        <v>67596</v>
      </c>
      <c r="G357" s="60">
        <v>0</v>
      </c>
      <c r="H357" s="60">
        <v>0</v>
      </c>
      <c r="I357" s="6">
        <f>(G357-H357)*'16-PlantAdditions'!$E$103</f>
        <v>0</v>
      </c>
      <c r="J357" s="6">
        <f t="shared" si="95"/>
        <v>25537520.7533</v>
      </c>
      <c r="K357" s="6">
        <f t="shared" si="96"/>
        <v>223405.34329999983</v>
      </c>
    </row>
    <row r="358" spans="1:11" ht="13">
      <c r="A358" s="2">
        <f t="shared" si="93"/>
        <v>269</v>
      </c>
      <c r="B358" s="349" t="s">
        <v>594</v>
      </c>
      <c r="C358" s="350">
        <v>2022</v>
      </c>
      <c r="D358" s="60">
        <v>62880</v>
      </c>
      <c r="E358" s="6">
        <f>D358*'16-PlantAdditions'!$E$103</f>
        <v>4716</v>
      </c>
      <c r="F358" s="6">
        <f t="shared" si="94"/>
        <v>67596</v>
      </c>
      <c r="G358" s="60">
        <v>0</v>
      </c>
      <c r="H358" s="60">
        <v>0</v>
      </c>
      <c r="I358" s="6">
        <f>(G358-H358)*'16-PlantAdditions'!$E$103</f>
        <v>0</v>
      </c>
      <c r="J358" s="6">
        <f t="shared" si="95"/>
        <v>25605116.7533</v>
      </c>
      <c r="K358" s="6">
        <f t="shared" si="96"/>
        <v>291001.34329999983</v>
      </c>
    </row>
    <row r="359" spans="1:11" ht="13">
      <c r="A359" s="2">
        <f t="shared" si="93"/>
        <v>270</v>
      </c>
      <c r="B359" s="349" t="s">
        <v>387</v>
      </c>
      <c r="C359" s="350">
        <v>2022</v>
      </c>
      <c r="D359" s="60">
        <v>62880</v>
      </c>
      <c r="E359" s="6">
        <f>D359*'16-PlantAdditions'!$E$103</f>
        <v>4716</v>
      </c>
      <c r="F359" s="6">
        <f t="shared" si="94"/>
        <v>67596</v>
      </c>
      <c r="G359" s="60">
        <v>0</v>
      </c>
      <c r="H359" s="60">
        <v>0</v>
      </c>
      <c r="I359" s="6">
        <f>(G359-H359)*'16-PlantAdditions'!$E$103</f>
        <v>0</v>
      </c>
      <c r="J359" s="6">
        <f t="shared" si="95"/>
        <v>25672712.7533</v>
      </c>
      <c r="K359" s="6">
        <f t="shared" si="96"/>
        <v>358597.34329999983</v>
      </c>
    </row>
    <row r="360" spans="1:11" ht="13">
      <c r="A360" s="2">
        <f t="shared" si="93"/>
        <v>271</v>
      </c>
      <c r="B360" s="349" t="s">
        <v>388</v>
      </c>
      <c r="C360" s="350">
        <v>2022</v>
      </c>
      <c r="D360" s="60">
        <v>67325.092000000004</v>
      </c>
      <c r="E360" s="6">
        <f>D360*'16-PlantAdditions'!$E$103</f>
        <v>5049.3819000000003</v>
      </c>
      <c r="F360" s="6">
        <f t="shared" si="94"/>
        <v>72374.473900000012</v>
      </c>
      <c r="G360" s="60">
        <v>0</v>
      </c>
      <c r="H360" s="60">
        <v>0</v>
      </c>
      <c r="I360" s="6">
        <f>(G360-H360)*'16-PlantAdditions'!$E$103</f>
        <v>0</v>
      </c>
      <c r="J360" s="6">
        <f t="shared" si="95"/>
        <v>25745087.227200001</v>
      </c>
      <c r="K360" s="6">
        <f t="shared" si="96"/>
        <v>430971.81720000133</v>
      </c>
    </row>
    <row r="361" spans="1:11" ht="13">
      <c r="A361" s="2">
        <f t="shared" si="93"/>
        <v>272</v>
      </c>
      <c r="B361" s="349" t="s">
        <v>389</v>
      </c>
      <c r="C361" s="350">
        <v>2022</v>
      </c>
      <c r="D361" s="60">
        <v>69866.492000000013</v>
      </c>
      <c r="E361" s="6">
        <f>D361*'16-PlantAdditions'!$E$103</f>
        <v>5239.9869000000008</v>
      </c>
      <c r="F361" s="6">
        <f t="shared" si="94"/>
        <v>75106.478900000016</v>
      </c>
      <c r="G361" s="60">
        <v>0</v>
      </c>
      <c r="H361" s="60">
        <v>0</v>
      </c>
      <c r="I361" s="6">
        <f>(G361-H361)*'16-PlantAdditions'!$E$103</f>
        <v>0</v>
      </c>
      <c r="J361" s="6">
        <f t="shared" si="95"/>
        <v>25820193.706100002</v>
      </c>
      <c r="K361" s="6">
        <f t="shared" si="96"/>
        <v>506078.29610000178</v>
      </c>
    </row>
    <row r="362" spans="1:11" ht="13">
      <c r="A362" s="2">
        <f t="shared" si="93"/>
        <v>273</v>
      </c>
      <c r="B362" s="349" t="s">
        <v>390</v>
      </c>
      <c r="C362" s="350">
        <v>2022</v>
      </c>
      <c r="D362" s="60">
        <v>69866.492000000013</v>
      </c>
      <c r="E362" s="6">
        <f>D362*'16-PlantAdditions'!$E$103</f>
        <v>5239.9869000000008</v>
      </c>
      <c r="F362" s="6">
        <f t="shared" si="94"/>
        <v>75106.478900000016</v>
      </c>
      <c r="G362" s="60">
        <v>0</v>
      </c>
      <c r="H362" s="60">
        <v>0</v>
      </c>
      <c r="I362" s="6">
        <f>(G362-H362)*'16-PlantAdditions'!$E$103</f>
        <v>0</v>
      </c>
      <c r="J362" s="6">
        <f t="shared" si="95"/>
        <v>25895300.185000002</v>
      </c>
      <c r="K362" s="6">
        <f t="shared" si="96"/>
        <v>581184.77500000224</v>
      </c>
    </row>
    <row r="363" spans="1:11" ht="13">
      <c r="A363" s="2">
        <f t="shared" si="93"/>
        <v>274</v>
      </c>
      <c r="B363" s="349" t="s">
        <v>391</v>
      </c>
      <c r="C363" s="350">
        <v>2022</v>
      </c>
      <c r="D363" s="60">
        <v>69866.492000000013</v>
      </c>
      <c r="E363" s="6">
        <f>D363*'16-PlantAdditions'!$E$103</f>
        <v>5239.9869000000008</v>
      </c>
      <c r="F363" s="6">
        <f t="shared" si="94"/>
        <v>75106.478900000016</v>
      </c>
      <c r="G363" s="60">
        <v>0</v>
      </c>
      <c r="H363" s="60">
        <v>0</v>
      </c>
      <c r="I363" s="6">
        <f>(G363-H363)*'16-PlantAdditions'!$E$103</f>
        <v>0</v>
      </c>
      <c r="J363" s="6">
        <f t="shared" si="95"/>
        <v>25970406.663900003</v>
      </c>
      <c r="K363" s="6">
        <f t="shared" si="96"/>
        <v>656291.25390000269</v>
      </c>
    </row>
    <row r="364" spans="1:11" ht="13">
      <c r="A364" s="2">
        <f t="shared" si="93"/>
        <v>275</v>
      </c>
      <c r="B364" s="349" t="s">
        <v>379</v>
      </c>
      <c r="C364" s="350">
        <v>2022</v>
      </c>
      <c r="D364" s="60">
        <v>227594.15999999997</v>
      </c>
      <c r="E364" s="6">
        <f>D364*'16-PlantAdditions'!$E$103</f>
        <v>17069.561999999998</v>
      </c>
      <c r="F364" s="6">
        <f t="shared" si="94"/>
        <v>244663.72199999998</v>
      </c>
      <c r="G364" s="60">
        <v>45537.895199999977</v>
      </c>
      <c r="H364" s="60">
        <v>45537.895199999977</v>
      </c>
      <c r="I364" s="6">
        <f>(G364-H364)*'16-PlantAdditions'!$E$103</f>
        <v>0</v>
      </c>
      <c r="J364" s="6">
        <f t="shared" si="95"/>
        <v>26169532.490700003</v>
      </c>
      <c r="K364" s="6">
        <f t="shared" si="96"/>
        <v>855417.08070000261</v>
      </c>
    </row>
    <row r="365" spans="1:11" ht="13">
      <c r="A365" s="2">
        <f t="shared" si="93"/>
        <v>276</v>
      </c>
      <c r="B365" s="349" t="s">
        <v>381</v>
      </c>
      <c r="C365" s="350">
        <v>2023</v>
      </c>
      <c r="D365" s="60">
        <v>-104800.00000000001</v>
      </c>
      <c r="E365" s="6">
        <f>D365*'16-PlantAdditions'!$E$103</f>
        <v>-7860.0000000000009</v>
      </c>
      <c r="F365" s="6">
        <f t="shared" si="94"/>
        <v>-112660.00000000001</v>
      </c>
      <c r="G365" s="60">
        <v>0</v>
      </c>
      <c r="H365" s="60">
        <v>0</v>
      </c>
      <c r="I365" s="6">
        <f>(G365-H365)*'16-PlantAdditions'!$E$103</f>
        <v>0</v>
      </c>
      <c r="J365" s="6">
        <f t="shared" si="95"/>
        <v>26056872.490700003</v>
      </c>
      <c r="K365" s="6">
        <f t="shared" si="96"/>
        <v>742757.08070000261</v>
      </c>
    </row>
    <row r="366" spans="1:11" ht="13">
      <c r="A366" s="2">
        <f t="shared" si="93"/>
        <v>277</v>
      </c>
      <c r="B366" s="349" t="s">
        <v>382</v>
      </c>
      <c r="C366" s="350">
        <v>2023</v>
      </c>
      <c r="D366" s="60">
        <v>104800.00000000001</v>
      </c>
      <c r="E366" s="6">
        <f>D366*'16-PlantAdditions'!$E$103</f>
        <v>7860.0000000000009</v>
      </c>
      <c r="F366" s="6">
        <f t="shared" si="94"/>
        <v>112660.00000000001</v>
      </c>
      <c r="G366" s="60">
        <v>0</v>
      </c>
      <c r="H366" s="60">
        <v>0</v>
      </c>
      <c r="I366" s="6">
        <f>(G366-H366)*'16-PlantAdditions'!$E$103</f>
        <v>0</v>
      </c>
      <c r="J366" s="6">
        <f t="shared" si="95"/>
        <v>26169532.490700003</v>
      </c>
      <c r="K366" s="6">
        <f t="shared" si="96"/>
        <v>855417.08070000261</v>
      </c>
    </row>
    <row r="367" spans="1:11" ht="13">
      <c r="A367" s="2">
        <f t="shared" si="93"/>
        <v>278</v>
      </c>
      <c r="B367" s="349" t="s">
        <v>383</v>
      </c>
      <c r="C367" s="350">
        <v>2023</v>
      </c>
      <c r="D367" s="60">
        <v>104800.00000000001</v>
      </c>
      <c r="E367" s="6">
        <f>D367*'16-PlantAdditions'!$E$103</f>
        <v>7860.0000000000009</v>
      </c>
      <c r="F367" s="6">
        <f t="shared" si="94"/>
        <v>112660.00000000001</v>
      </c>
      <c r="G367" s="60">
        <v>0</v>
      </c>
      <c r="H367" s="60">
        <v>0</v>
      </c>
      <c r="I367" s="6">
        <f>(G367-H367)*'16-PlantAdditions'!$E$103</f>
        <v>0</v>
      </c>
      <c r="J367" s="6">
        <f t="shared" si="95"/>
        <v>26282192.490700003</v>
      </c>
      <c r="K367" s="6">
        <f t="shared" si="96"/>
        <v>968077.08070000261</v>
      </c>
    </row>
    <row r="368" spans="1:11" ht="13">
      <c r="A368" s="2">
        <f t="shared" si="93"/>
        <v>279</v>
      </c>
      <c r="B368" s="349" t="s">
        <v>384</v>
      </c>
      <c r="C368" s="350">
        <v>2023</v>
      </c>
      <c r="D368" s="60">
        <v>104800.00000000001</v>
      </c>
      <c r="E368" s="6">
        <f>D368*'16-PlantAdditions'!$E$103</f>
        <v>7860.0000000000009</v>
      </c>
      <c r="F368" s="6">
        <f t="shared" si="94"/>
        <v>112660.00000000001</v>
      </c>
      <c r="G368" s="60">
        <v>0</v>
      </c>
      <c r="H368" s="60">
        <v>0</v>
      </c>
      <c r="I368" s="6">
        <f>(G368-H368)*'16-PlantAdditions'!$E$103</f>
        <v>0</v>
      </c>
      <c r="J368" s="6">
        <f t="shared" si="95"/>
        <v>26394852.490700003</v>
      </c>
      <c r="K368" s="6">
        <f t="shared" si="96"/>
        <v>1080737.0807000026</v>
      </c>
    </row>
    <row r="369" spans="1:11" ht="13">
      <c r="A369" s="2">
        <f t="shared" si="93"/>
        <v>280</v>
      </c>
      <c r="B369" s="349" t="s">
        <v>385</v>
      </c>
      <c r="C369" s="350">
        <v>2023</v>
      </c>
      <c r="D369" s="60">
        <v>104800.00000000001</v>
      </c>
      <c r="E369" s="6">
        <f>D369*'16-PlantAdditions'!$E$103</f>
        <v>7860.0000000000009</v>
      </c>
      <c r="F369" s="6">
        <f t="shared" si="94"/>
        <v>112660.00000000001</v>
      </c>
      <c r="G369" s="60">
        <v>0</v>
      </c>
      <c r="H369" s="60">
        <v>0</v>
      </c>
      <c r="I369" s="6">
        <f>(G369-H369)*'16-PlantAdditions'!$E$103</f>
        <v>0</v>
      </c>
      <c r="J369" s="6">
        <f t="shared" si="95"/>
        <v>26507512.490700003</v>
      </c>
      <c r="K369" s="6">
        <f t="shared" si="96"/>
        <v>1193397.0807000026</v>
      </c>
    </row>
    <row r="370" spans="1:11" ht="13">
      <c r="A370" s="2">
        <f t="shared" si="93"/>
        <v>281</v>
      </c>
      <c r="B370" s="349" t="s">
        <v>594</v>
      </c>
      <c r="C370" s="350">
        <v>2023</v>
      </c>
      <c r="D370" s="60">
        <v>104800.00000000001</v>
      </c>
      <c r="E370" s="6">
        <f>D370*'16-PlantAdditions'!$E$103</f>
        <v>7860.0000000000009</v>
      </c>
      <c r="F370" s="6">
        <f t="shared" si="94"/>
        <v>112660.00000000001</v>
      </c>
      <c r="G370" s="60">
        <v>0</v>
      </c>
      <c r="H370" s="60">
        <v>0</v>
      </c>
      <c r="I370" s="6">
        <f>(G370-H370)*'16-PlantAdditions'!$E$103</f>
        <v>0</v>
      </c>
      <c r="J370" s="6">
        <f t="shared" si="95"/>
        <v>26620172.490700003</v>
      </c>
      <c r="K370" s="6">
        <f t="shared" si="96"/>
        <v>1306057.0807000026</v>
      </c>
    </row>
    <row r="371" spans="1:11" ht="13">
      <c r="A371" s="2">
        <f t="shared" si="93"/>
        <v>282</v>
      </c>
      <c r="B371" s="349" t="s">
        <v>387</v>
      </c>
      <c r="C371" s="350">
        <v>2023</v>
      </c>
      <c r="D371" s="60">
        <v>104800.00000000001</v>
      </c>
      <c r="E371" s="6">
        <f>D371*'16-PlantAdditions'!$E$103</f>
        <v>7860.0000000000009</v>
      </c>
      <c r="F371" s="6">
        <f t="shared" si="94"/>
        <v>112660.00000000001</v>
      </c>
      <c r="G371" s="60">
        <v>0</v>
      </c>
      <c r="H371" s="60">
        <v>0</v>
      </c>
      <c r="I371" s="6">
        <f>(G371-H371)*'16-PlantAdditions'!$E$103</f>
        <v>0</v>
      </c>
      <c r="J371" s="6">
        <f t="shared" si="95"/>
        <v>26732832.490700003</v>
      </c>
      <c r="K371" s="6">
        <f t="shared" si="96"/>
        <v>1418717.0807000026</v>
      </c>
    </row>
    <row r="372" spans="1:11" ht="13">
      <c r="A372" s="2">
        <f t="shared" si="93"/>
        <v>283</v>
      </c>
      <c r="B372" s="349" t="s">
        <v>388</v>
      </c>
      <c r="C372" s="350">
        <v>2023</v>
      </c>
      <c r="D372" s="60">
        <v>104800.00000000001</v>
      </c>
      <c r="E372" s="6">
        <f>D372*'16-PlantAdditions'!$E$103</f>
        <v>7860.0000000000009</v>
      </c>
      <c r="F372" s="6">
        <f t="shared" si="94"/>
        <v>112660.00000000001</v>
      </c>
      <c r="G372" s="60">
        <v>0</v>
      </c>
      <c r="H372" s="60">
        <v>0</v>
      </c>
      <c r="I372" s="6">
        <f>(G372-H372)*'16-PlantAdditions'!$E$103</f>
        <v>0</v>
      </c>
      <c r="J372" s="6">
        <f t="shared" si="95"/>
        <v>26845492.490700003</v>
      </c>
      <c r="K372" s="6">
        <f t="shared" si="96"/>
        <v>1531377.0807000026</v>
      </c>
    </row>
    <row r="373" spans="1:11" ht="13">
      <c r="A373" s="2">
        <f t="shared" si="93"/>
        <v>284</v>
      </c>
      <c r="B373" s="349" t="s">
        <v>389</v>
      </c>
      <c r="C373" s="350">
        <v>2023</v>
      </c>
      <c r="D373" s="60">
        <v>104800.00000000001</v>
      </c>
      <c r="E373" s="6">
        <f>D373*'16-PlantAdditions'!$E$103</f>
        <v>7860.0000000000009</v>
      </c>
      <c r="F373" s="6">
        <f t="shared" si="94"/>
        <v>112660.00000000001</v>
      </c>
      <c r="G373" s="60">
        <v>0</v>
      </c>
      <c r="H373" s="60">
        <v>0</v>
      </c>
      <c r="I373" s="6">
        <f>(G373-H373)*'16-PlantAdditions'!$E$103</f>
        <v>0</v>
      </c>
      <c r="J373" s="6">
        <f t="shared" si="95"/>
        <v>26958152.490700003</v>
      </c>
      <c r="K373" s="6">
        <f t="shared" si="96"/>
        <v>1644037.0807000026</v>
      </c>
    </row>
    <row r="374" spans="1:11" ht="13">
      <c r="A374" s="2">
        <f t="shared" si="93"/>
        <v>285</v>
      </c>
      <c r="B374" s="349" t="s">
        <v>390</v>
      </c>
      <c r="C374" s="350">
        <v>2023</v>
      </c>
      <c r="D374" s="60">
        <v>104800.00000000001</v>
      </c>
      <c r="E374" s="6">
        <f>D374*'16-PlantAdditions'!$E$103</f>
        <v>7860.0000000000009</v>
      </c>
      <c r="F374" s="6">
        <f t="shared" ref="F374:F376" si="97">E374+D374</f>
        <v>112660.00000000001</v>
      </c>
      <c r="G374" s="60">
        <v>0</v>
      </c>
      <c r="H374" s="60">
        <v>0</v>
      </c>
      <c r="I374" s="6">
        <f>(G374-H374)*'16-PlantAdditions'!$E$103</f>
        <v>0</v>
      </c>
      <c r="J374" s="6">
        <f t="shared" ref="J374:J376" si="98">J373+F374-G374-I374</f>
        <v>27070812.490700003</v>
      </c>
      <c r="K374" s="6">
        <f t="shared" si="96"/>
        <v>1756697.0807000026</v>
      </c>
    </row>
    <row r="375" spans="1:11" ht="13">
      <c r="A375" s="2">
        <f t="shared" si="93"/>
        <v>286</v>
      </c>
      <c r="B375" s="349" t="s">
        <v>391</v>
      </c>
      <c r="C375" s="350">
        <v>2023</v>
      </c>
      <c r="D375" s="60">
        <v>104800.00000000001</v>
      </c>
      <c r="E375" s="6">
        <f>D375*'16-PlantAdditions'!$E$103</f>
        <v>7860.0000000000009</v>
      </c>
      <c r="F375" s="6">
        <f t="shared" si="97"/>
        <v>112660.00000000001</v>
      </c>
      <c r="G375" s="60">
        <v>0</v>
      </c>
      <c r="H375" s="60">
        <v>0</v>
      </c>
      <c r="I375" s="6">
        <f>(G375-H375)*'16-PlantAdditions'!$E$103</f>
        <v>0</v>
      </c>
      <c r="J375" s="6">
        <f t="shared" si="98"/>
        <v>27183472.490700003</v>
      </c>
      <c r="K375" s="6">
        <f t="shared" si="96"/>
        <v>1869357.0807000026</v>
      </c>
    </row>
    <row r="376" spans="1:11" ht="13">
      <c r="A376" s="2">
        <f t="shared" si="93"/>
        <v>287</v>
      </c>
      <c r="B376" s="349" t="s">
        <v>379</v>
      </c>
      <c r="C376" s="350">
        <v>2023</v>
      </c>
      <c r="D376" s="60">
        <v>157200.00000000003</v>
      </c>
      <c r="E376" s="6">
        <f>D376*'16-PlantAdditions'!$E$103</f>
        <v>11790.000000000002</v>
      </c>
      <c r="F376" s="6">
        <f t="shared" si="97"/>
        <v>168990.00000000003</v>
      </c>
      <c r="G376" s="60">
        <v>0</v>
      </c>
      <c r="H376" s="60">
        <v>0</v>
      </c>
      <c r="I376" s="6">
        <f>(G376-H376)*'16-PlantAdditions'!$E$103</f>
        <v>0</v>
      </c>
      <c r="J376" s="6">
        <f t="shared" si="98"/>
        <v>27352462.490700003</v>
      </c>
      <c r="K376" s="53">
        <f t="shared" si="96"/>
        <v>2038347.0807000026</v>
      </c>
    </row>
    <row r="377" spans="1:11" ht="13">
      <c r="A377" s="2">
        <f t="shared" si="93"/>
        <v>288</v>
      </c>
      <c r="C377" s="371" t="s">
        <v>999</v>
      </c>
      <c r="K377" s="42">
        <f>AVERAGE(K364:K376)</f>
        <v>1327722.4653153871</v>
      </c>
    </row>
    <row r="378" spans="1:11" ht="13">
      <c r="A378" s="2"/>
      <c r="C378" s="371"/>
      <c r="K378" s="42"/>
    </row>
    <row r="379" spans="1:11" ht="13">
      <c r="B379" s="34" t="s">
        <v>1022</v>
      </c>
      <c r="D379" s="1116" t="s">
        <v>1023</v>
      </c>
      <c r="E379" s="1116"/>
      <c r="F379" s="1117"/>
      <c r="G379" s="1117"/>
    </row>
    <row r="380" spans="1:11" ht="13">
      <c r="A380" s="3"/>
      <c r="B380" s="3"/>
      <c r="C380" s="3"/>
      <c r="D380" s="3" t="s">
        <v>336</v>
      </c>
      <c r="E380" s="3" t="s">
        <v>337</v>
      </c>
      <c r="F380" s="3" t="s">
        <v>338</v>
      </c>
      <c r="G380" s="3" t="s">
        <v>339</v>
      </c>
      <c r="H380" s="3" t="s">
        <v>340</v>
      </c>
      <c r="I380" s="3" t="s">
        <v>341</v>
      </c>
      <c r="J380" s="3" t="s">
        <v>342</v>
      </c>
      <c r="K380" s="3" t="s">
        <v>343</v>
      </c>
    </row>
    <row r="381" spans="1:11" ht="25.5">
      <c r="D381" s="48"/>
      <c r="E381" s="372" t="s">
        <v>1003</v>
      </c>
      <c r="F381" s="257" t="s">
        <v>1004</v>
      </c>
      <c r="G381" s="257"/>
      <c r="H381" s="48"/>
      <c r="I381" s="372" t="s">
        <v>1005</v>
      </c>
      <c r="J381" s="372" t="s">
        <v>1006</v>
      </c>
      <c r="K381" s="372" t="s">
        <v>1007</v>
      </c>
    </row>
    <row r="382" spans="1:11" ht="13">
      <c r="D382" s="48"/>
      <c r="E382" s="372"/>
      <c r="F382" s="257"/>
      <c r="G382" s="4" t="str">
        <f>G51</f>
        <v>Unloaded</v>
      </c>
      <c r="H382" s="48"/>
      <c r="I382" s="372"/>
      <c r="J382" s="372"/>
      <c r="K382" s="372"/>
    </row>
    <row r="383" spans="1:11" ht="13">
      <c r="A383" s="2"/>
      <c r="B383" s="2"/>
      <c r="C383" s="2"/>
      <c r="D383" s="2" t="str">
        <f>D$52</f>
        <v>Forecast</v>
      </c>
      <c r="E383" s="2" t="str">
        <f t="shared" ref="E383:J383" si="99">E$52</f>
        <v>Corporate</v>
      </c>
      <c r="F383" s="2" t="str">
        <f t="shared" si="99"/>
        <v xml:space="preserve">Total </v>
      </c>
      <c r="G383" s="4" t="str">
        <f>G52</f>
        <v>Total</v>
      </c>
      <c r="H383" s="2" t="str">
        <f t="shared" si="99"/>
        <v>Prior Period</v>
      </c>
      <c r="I383" s="2" t="str">
        <f t="shared" si="99"/>
        <v>Over Heads</v>
      </c>
      <c r="J383" s="2" t="str">
        <f t="shared" si="99"/>
        <v>Forecast</v>
      </c>
      <c r="K383" s="2" t="str">
        <f>K$52</f>
        <v>Forecast Period</v>
      </c>
    </row>
    <row r="384" spans="1:11" ht="13">
      <c r="A384" s="30" t="s">
        <v>273</v>
      </c>
      <c r="B384" s="348" t="s">
        <v>371</v>
      </c>
      <c r="C384" s="348" t="s">
        <v>372</v>
      </c>
      <c r="D384" s="3" t="str">
        <f>D$53</f>
        <v>Expenditures</v>
      </c>
      <c r="E384" s="3" t="str">
        <f t="shared" ref="E384:J384" si="100">E$53</f>
        <v>Overheads</v>
      </c>
      <c r="F384" s="3" t="str">
        <f t="shared" si="100"/>
        <v>CWIP Exp</v>
      </c>
      <c r="G384" s="48" t="str">
        <f>G53</f>
        <v>Plant Adds</v>
      </c>
      <c r="H384" s="3" t="str">
        <f t="shared" si="100"/>
        <v>CWIP Closed</v>
      </c>
      <c r="I384" s="3" t="str">
        <f t="shared" si="100"/>
        <v>Closed to PIS</v>
      </c>
      <c r="J384" s="3" t="str">
        <f t="shared" si="100"/>
        <v>Period CWIP</v>
      </c>
      <c r="K384" s="3" t="str">
        <f>K$53</f>
        <v>Incremental CWIP</v>
      </c>
    </row>
    <row r="385" spans="1:11" ht="13">
      <c r="A385" s="2">
        <f>A377+1</f>
        <v>289</v>
      </c>
      <c r="B385" s="349" t="s">
        <v>379</v>
      </c>
      <c r="C385" s="350">
        <v>2021</v>
      </c>
      <c r="D385" s="257" t="s">
        <v>380</v>
      </c>
      <c r="E385" s="257" t="s">
        <v>380</v>
      </c>
      <c r="F385" s="257" t="s">
        <v>380</v>
      </c>
      <c r="G385" s="257" t="s">
        <v>380</v>
      </c>
      <c r="H385" s="257" t="s">
        <v>380</v>
      </c>
      <c r="I385" s="257" t="s">
        <v>380</v>
      </c>
      <c r="J385" s="6">
        <f>H45</f>
        <v>189682923.96000001</v>
      </c>
      <c r="K385" s="257" t="s">
        <v>380</v>
      </c>
    </row>
    <row r="386" spans="1:11" ht="13">
      <c r="A386" s="2">
        <f>A385+1</f>
        <v>290</v>
      </c>
      <c r="B386" s="349" t="s">
        <v>381</v>
      </c>
      <c r="C386" s="350">
        <v>2022</v>
      </c>
      <c r="D386" s="60">
        <v>-1966698.9999999998</v>
      </c>
      <c r="E386" s="6">
        <f>D386*'16-PlantAdditions'!$E$103</f>
        <v>-147502.42499999999</v>
      </c>
      <c r="F386" s="6">
        <f>E386+D386</f>
        <v>-2114201.4249999998</v>
      </c>
      <c r="G386" s="60">
        <v>8196910.8200000031</v>
      </c>
      <c r="H386" s="60">
        <v>8182275.8200000031</v>
      </c>
      <c r="I386" s="6">
        <f>(G386-H386)*'16-PlantAdditions'!$E$103</f>
        <v>1097.625</v>
      </c>
      <c r="J386" s="6">
        <f>J385+F386-G386-I386</f>
        <v>179370714.09</v>
      </c>
      <c r="K386" s="6">
        <f>J386-$J$385</f>
        <v>-10312209.870000005</v>
      </c>
    </row>
    <row r="387" spans="1:11" ht="13">
      <c r="A387" s="2">
        <f t="shared" ref="A387:A410" si="101">A386+1</f>
        <v>291</v>
      </c>
      <c r="B387" s="349" t="s">
        <v>382</v>
      </c>
      <c r="C387" s="350">
        <v>2022</v>
      </c>
      <c r="D387" s="60">
        <v>7815736.9999999991</v>
      </c>
      <c r="E387" s="6">
        <f>D387*'16-PlantAdditions'!$E$103</f>
        <v>586180.27499999991</v>
      </c>
      <c r="F387" s="6">
        <f>E387+D387</f>
        <v>8401917.2749999985</v>
      </c>
      <c r="G387" s="60">
        <v>213337</v>
      </c>
      <c r="H387" s="60">
        <v>0</v>
      </c>
      <c r="I387" s="6">
        <f>(G387-H387)*'16-PlantAdditions'!$E$103</f>
        <v>16000.275</v>
      </c>
      <c r="J387" s="6">
        <f>J386+F387-G387-I387</f>
        <v>187543294.09</v>
      </c>
      <c r="K387" s="6">
        <f t="shared" ref="K387:K409" si="102">J387-$J$385</f>
        <v>-2139629.8700000048</v>
      </c>
    </row>
    <row r="388" spans="1:11" ht="13">
      <c r="A388" s="2">
        <f t="shared" si="101"/>
        <v>292</v>
      </c>
      <c r="B388" s="349" t="s">
        <v>383</v>
      </c>
      <c r="C388" s="350">
        <v>2022</v>
      </c>
      <c r="D388" s="60">
        <v>2583091.9999999995</v>
      </c>
      <c r="E388" s="6">
        <f>D388*'16-PlantAdditions'!$E$103</f>
        <v>193731.89999999997</v>
      </c>
      <c r="F388" s="6">
        <f t="shared" ref="F388:F406" si="103">E388+D388</f>
        <v>2776823.8999999994</v>
      </c>
      <c r="G388" s="60">
        <v>50260</v>
      </c>
      <c r="H388" s="60">
        <v>0</v>
      </c>
      <c r="I388" s="6">
        <f>(G388-H388)*'16-PlantAdditions'!$E$103</f>
        <v>3769.5</v>
      </c>
      <c r="J388" s="6">
        <f t="shared" ref="J388:J406" si="104">J387+F388-G388-I388</f>
        <v>190266088.49000001</v>
      </c>
      <c r="K388" s="6">
        <f t="shared" si="102"/>
        <v>583164.53000000119</v>
      </c>
    </row>
    <row r="389" spans="1:11" ht="13">
      <c r="A389" s="2">
        <f t="shared" si="101"/>
        <v>293</v>
      </c>
      <c r="B389" s="349" t="s">
        <v>384</v>
      </c>
      <c r="C389" s="350">
        <v>2022</v>
      </c>
      <c r="D389" s="60">
        <v>2439000</v>
      </c>
      <c r="E389" s="6">
        <f>D389*'16-PlantAdditions'!$E$103</f>
        <v>182925</v>
      </c>
      <c r="F389" s="6">
        <f t="shared" si="103"/>
        <v>2621925</v>
      </c>
      <c r="G389" s="60">
        <v>64000</v>
      </c>
      <c r="H389" s="60">
        <v>0</v>
      </c>
      <c r="I389" s="6">
        <f>(G389-H389)*'16-PlantAdditions'!$E$103</f>
        <v>4800</v>
      </c>
      <c r="J389" s="6">
        <f t="shared" si="104"/>
        <v>192819213.49000001</v>
      </c>
      <c r="K389" s="6">
        <f t="shared" si="102"/>
        <v>3136289.5300000012</v>
      </c>
    </row>
    <row r="390" spans="1:11" ht="13">
      <c r="A390" s="2">
        <f t="shared" si="101"/>
        <v>294</v>
      </c>
      <c r="B390" s="349" t="s">
        <v>385</v>
      </c>
      <c r="C390" s="350">
        <v>2022</v>
      </c>
      <c r="D390" s="60">
        <v>2907000</v>
      </c>
      <c r="E390" s="6">
        <f>D390*'16-PlantAdditions'!$E$103</f>
        <v>218025</v>
      </c>
      <c r="F390" s="6">
        <f t="shared" si="103"/>
        <v>3125025</v>
      </c>
      <c r="G390" s="60">
        <v>64000</v>
      </c>
      <c r="H390" s="60">
        <v>0</v>
      </c>
      <c r="I390" s="6">
        <f>(G390-H390)*'16-PlantAdditions'!$E$103</f>
        <v>4800</v>
      </c>
      <c r="J390" s="6">
        <f t="shared" si="104"/>
        <v>195875438.49000001</v>
      </c>
      <c r="K390" s="6">
        <f t="shared" si="102"/>
        <v>6192514.5300000012</v>
      </c>
    </row>
    <row r="391" spans="1:11" ht="13">
      <c r="A391" s="2">
        <f t="shared" si="101"/>
        <v>295</v>
      </c>
      <c r="B391" s="349" t="s">
        <v>594</v>
      </c>
      <c r="C391" s="350">
        <v>2022</v>
      </c>
      <c r="D391" s="60">
        <v>2809000</v>
      </c>
      <c r="E391" s="6">
        <f>D391*'16-PlantAdditions'!$E$103</f>
        <v>210675</v>
      </c>
      <c r="F391" s="6">
        <f t="shared" si="103"/>
        <v>3019675</v>
      </c>
      <c r="G391" s="60">
        <v>94112873.679999992</v>
      </c>
      <c r="H391" s="60">
        <v>86004881.679999977</v>
      </c>
      <c r="I391" s="6">
        <f>(G391-H391)*'16-PlantAdditions'!$E$103</f>
        <v>608099.40000000107</v>
      </c>
      <c r="J391" s="6">
        <f t="shared" si="104"/>
        <v>104174140.41000001</v>
      </c>
      <c r="K391" s="6">
        <f t="shared" si="102"/>
        <v>-85508783.549999997</v>
      </c>
    </row>
    <row r="392" spans="1:11" ht="13">
      <c r="A392" s="2">
        <f t="shared" si="101"/>
        <v>296</v>
      </c>
      <c r="B392" s="349" t="s">
        <v>387</v>
      </c>
      <c r="C392" s="350">
        <v>2022</v>
      </c>
      <c r="D392" s="60">
        <v>2369000</v>
      </c>
      <c r="E392" s="6">
        <f>D392*'16-PlantAdditions'!$E$103</f>
        <v>177675</v>
      </c>
      <c r="F392" s="6">
        <f t="shared" si="103"/>
        <v>2546675</v>
      </c>
      <c r="G392" s="60">
        <v>1645000</v>
      </c>
      <c r="H392" s="60">
        <v>0</v>
      </c>
      <c r="I392" s="6">
        <f>(G392-H392)*'16-PlantAdditions'!$E$103</f>
        <v>123375</v>
      </c>
      <c r="J392" s="6">
        <f t="shared" si="104"/>
        <v>104952440.41000001</v>
      </c>
      <c r="K392" s="6">
        <f t="shared" si="102"/>
        <v>-84730483.549999997</v>
      </c>
    </row>
    <row r="393" spans="1:11" ht="13">
      <c r="A393" s="2">
        <f t="shared" si="101"/>
        <v>297</v>
      </c>
      <c r="B393" s="349" t="s">
        <v>388</v>
      </c>
      <c r="C393" s="350">
        <v>2022</v>
      </c>
      <c r="D393" s="60">
        <v>2114000</v>
      </c>
      <c r="E393" s="6">
        <f>D393*'16-PlantAdditions'!$E$103</f>
        <v>158550</v>
      </c>
      <c r="F393" s="6">
        <f t="shared" si="103"/>
        <v>2272550</v>
      </c>
      <c r="G393" s="60">
        <v>1174000</v>
      </c>
      <c r="H393" s="60">
        <v>0</v>
      </c>
      <c r="I393" s="6">
        <f>(G393-H393)*'16-PlantAdditions'!$E$103</f>
        <v>88050</v>
      </c>
      <c r="J393" s="6">
        <f t="shared" si="104"/>
        <v>105962940.41000001</v>
      </c>
      <c r="K393" s="6">
        <f t="shared" si="102"/>
        <v>-83719983.549999997</v>
      </c>
    </row>
    <row r="394" spans="1:11" ht="13">
      <c r="A394" s="2">
        <f t="shared" si="101"/>
        <v>298</v>
      </c>
      <c r="B394" s="349" t="s">
        <v>389</v>
      </c>
      <c r="C394" s="350">
        <v>2022</v>
      </c>
      <c r="D394" s="60">
        <v>1856000</v>
      </c>
      <c r="E394" s="6">
        <f>D394*'16-PlantAdditions'!$E$103</f>
        <v>139200</v>
      </c>
      <c r="F394" s="6">
        <f t="shared" si="103"/>
        <v>1995200</v>
      </c>
      <c r="G394" s="60">
        <v>2201200.5099999998</v>
      </c>
      <c r="H394" s="60">
        <v>1056270.5099999998</v>
      </c>
      <c r="I394" s="6">
        <f>(G394-H394)*'16-PlantAdditions'!$E$103</f>
        <v>85869.75</v>
      </c>
      <c r="J394" s="6">
        <f t="shared" si="104"/>
        <v>105671070.15000001</v>
      </c>
      <c r="K394" s="6">
        <f t="shared" si="102"/>
        <v>-84011853.810000002</v>
      </c>
    </row>
    <row r="395" spans="1:11" ht="13">
      <c r="A395" s="2">
        <f t="shared" si="101"/>
        <v>299</v>
      </c>
      <c r="B395" s="349" t="s">
        <v>390</v>
      </c>
      <c r="C395" s="350">
        <v>2022</v>
      </c>
      <c r="D395" s="60">
        <v>1134000</v>
      </c>
      <c r="E395" s="6">
        <f>D395*'16-PlantAdditions'!$E$103</f>
        <v>85050</v>
      </c>
      <c r="F395" s="6">
        <f t="shared" si="103"/>
        <v>1219050</v>
      </c>
      <c r="G395" s="60">
        <v>640000</v>
      </c>
      <c r="H395" s="60">
        <v>0</v>
      </c>
      <c r="I395" s="6">
        <f>(G395-H395)*'16-PlantAdditions'!$E$103</f>
        <v>48000</v>
      </c>
      <c r="J395" s="6">
        <f t="shared" si="104"/>
        <v>106202120.15000001</v>
      </c>
      <c r="K395" s="6">
        <f t="shared" si="102"/>
        <v>-83480803.810000002</v>
      </c>
    </row>
    <row r="396" spans="1:11" ht="13">
      <c r="A396" s="2">
        <f t="shared" si="101"/>
        <v>300</v>
      </c>
      <c r="B396" s="349" t="s">
        <v>391</v>
      </c>
      <c r="C396" s="350">
        <v>2022</v>
      </c>
      <c r="D396" s="60">
        <v>1614740.0000000002</v>
      </c>
      <c r="E396" s="6">
        <f>D396*'16-PlantAdditions'!$E$103</f>
        <v>121105.50000000001</v>
      </c>
      <c r="F396" s="6">
        <f t="shared" si="103"/>
        <v>1735845.5000000002</v>
      </c>
      <c r="G396" s="60">
        <v>858000</v>
      </c>
      <c r="H396" s="60">
        <v>0</v>
      </c>
      <c r="I396" s="6">
        <f>(G396-H396)*'16-PlantAdditions'!$E$103</f>
        <v>64350</v>
      </c>
      <c r="J396" s="6">
        <f t="shared" si="104"/>
        <v>107015615.65000001</v>
      </c>
      <c r="K396" s="6">
        <f t="shared" si="102"/>
        <v>-82667308.310000002</v>
      </c>
    </row>
    <row r="397" spans="1:11" ht="13">
      <c r="A397" s="2">
        <f t="shared" si="101"/>
        <v>301</v>
      </c>
      <c r="B397" s="349" t="s">
        <v>379</v>
      </c>
      <c r="C397" s="350">
        <v>2022</v>
      </c>
      <c r="D397" s="60">
        <v>7474129.9999999991</v>
      </c>
      <c r="E397" s="6">
        <f>D397*'16-PlantAdditions'!$E$103</f>
        <v>560559.74999999988</v>
      </c>
      <c r="F397" s="6">
        <f t="shared" si="103"/>
        <v>8034689.7499999991</v>
      </c>
      <c r="G397" s="60">
        <v>3941846.0000000005</v>
      </c>
      <c r="H397" s="60">
        <v>0</v>
      </c>
      <c r="I397" s="6">
        <f>(G397-H397)*'16-PlantAdditions'!$E$103</f>
        <v>295638.45</v>
      </c>
      <c r="J397" s="6">
        <f t="shared" si="104"/>
        <v>110812820.95</v>
      </c>
      <c r="K397" s="6">
        <f t="shared" si="102"/>
        <v>-78870103.010000005</v>
      </c>
    </row>
    <row r="398" spans="1:11" ht="13">
      <c r="A398" s="2">
        <f t="shared" si="101"/>
        <v>302</v>
      </c>
      <c r="B398" s="349" t="s">
        <v>381</v>
      </c>
      <c r="C398" s="350">
        <v>2023</v>
      </c>
      <c r="D398" s="60">
        <v>730000</v>
      </c>
      <c r="E398" s="6">
        <f>D398*'16-PlantAdditions'!$E$103</f>
        <v>54750</v>
      </c>
      <c r="F398" s="6">
        <f t="shared" si="103"/>
        <v>784750</v>
      </c>
      <c r="G398" s="60">
        <v>220000</v>
      </c>
      <c r="H398" s="60">
        <v>0</v>
      </c>
      <c r="I398" s="6">
        <f>(G398-H398)*'16-PlantAdditions'!$E$103</f>
        <v>16500</v>
      </c>
      <c r="J398" s="6">
        <f t="shared" si="104"/>
        <v>111361070.95</v>
      </c>
      <c r="K398" s="6">
        <f t="shared" si="102"/>
        <v>-78321853.010000005</v>
      </c>
    </row>
    <row r="399" spans="1:11" ht="13">
      <c r="A399" s="2">
        <f t="shared" si="101"/>
        <v>303</v>
      </c>
      <c r="B399" s="349" t="s">
        <v>382</v>
      </c>
      <c r="C399" s="350">
        <v>2023</v>
      </c>
      <c r="D399" s="60">
        <v>930000</v>
      </c>
      <c r="E399" s="6">
        <f>D399*'16-PlantAdditions'!$E$103</f>
        <v>69750</v>
      </c>
      <c r="F399" s="6">
        <f t="shared" si="103"/>
        <v>999750</v>
      </c>
      <c r="G399" s="60">
        <v>320000</v>
      </c>
      <c r="H399" s="60">
        <v>0</v>
      </c>
      <c r="I399" s="6">
        <f>(G399-H399)*'16-PlantAdditions'!$E$103</f>
        <v>24000</v>
      </c>
      <c r="J399" s="6">
        <f t="shared" si="104"/>
        <v>112016820.95</v>
      </c>
      <c r="K399" s="6">
        <f t="shared" si="102"/>
        <v>-77666103.010000005</v>
      </c>
    </row>
    <row r="400" spans="1:11" ht="13">
      <c r="A400" s="2">
        <f t="shared" si="101"/>
        <v>304</v>
      </c>
      <c r="B400" s="349" t="s">
        <v>383</v>
      </c>
      <c r="C400" s="350">
        <v>2023</v>
      </c>
      <c r="D400" s="60">
        <v>1080000</v>
      </c>
      <c r="E400" s="6">
        <f>D400*'16-PlantAdditions'!$E$103</f>
        <v>81000</v>
      </c>
      <c r="F400" s="6">
        <f t="shared" si="103"/>
        <v>1161000</v>
      </c>
      <c r="G400" s="60">
        <v>380000</v>
      </c>
      <c r="H400" s="60">
        <v>0</v>
      </c>
      <c r="I400" s="6">
        <f>(G400-H400)*'16-PlantAdditions'!$E$103</f>
        <v>28500</v>
      </c>
      <c r="J400" s="6">
        <f t="shared" si="104"/>
        <v>112769320.95</v>
      </c>
      <c r="K400" s="6">
        <f t="shared" si="102"/>
        <v>-76913603.010000005</v>
      </c>
    </row>
    <row r="401" spans="1:11" ht="13">
      <c r="A401" s="2">
        <f t="shared" si="101"/>
        <v>305</v>
      </c>
      <c r="B401" s="349" t="s">
        <v>384</v>
      </c>
      <c r="C401" s="350">
        <v>2023</v>
      </c>
      <c r="D401" s="60">
        <v>1220000</v>
      </c>
      <c r="E401" s="6">
        <f>D401*'16-PlantAdditions'!$E$103</f>
        <v>91500</v>
      </c>
      <c r="F401" s="6">
        <f t="shared" si="103"/>
        <v>1311500</v>
      </c>
      <c r="G401" s="60">
        <v>470000</v>
      </c>
      <c r="H401" s="60">
        <v>0</v>
      </c>
      <c r="I401" s="6">
        <f>(G401-H401)*'16-PlantAdditions'!$E$103</f>
        <v>35250</v>
      </c>
      <c r="J401" s="6">
        <f t="shared" si="104"/>
        <v>113575570.95</v>
      </c>
      <c r="K401" s="6">
        <f t="shared" si="102"/>
        <v>-76107353.010000005</v>
      </c>
    </row>
    <row r="402" spans="1:11" ht="13">
      <c r="A402" s="2">
        <f t="shared" si="101"/>
        <v>306</v>
      </c>
      <c r="B402" s="349" t="s">
        <v>385</v>
      </c>
      <c r="C402" s="350">
        <v>2023</v>
      </c>
      <c r="D402" s="60">
        <v>1382000</v>
      </c>
      <c r="E402" s="6">
        <f>D402*'16-PlantAdditions'!$E$103</f>
        <v>103650</v>
      </c>
      <c r="F402" s="6">
        <f t="shared" si="103"/>
        <v>1485650</v>
      </c>
      <c r="G402" s="60">
        <v>552000</v>
      </c>
      <c r="H402" s="60">
        <v>0</v>
      </c>
      <c r="I402" s="6">
        <f>(G402-H402)*'16-PlantAdditions'!$E$103</f>
        <v>41400</v>
      </c>
      <c r="J402" s="6">
        <f t="shared" si="104"/>
        <v>114467820.95</v>
      </c>
      <c r="K402" s="6">
        <f t="shared" si="102"/>
        <v>-75215103.010000005</v>
      </c>
    </row>
    <row r="403" spans="1:11" ht="13">
      <c r="A403" s="2">
        <f t="shared" si="101"/>
        <v>307</v>
      </c>
      <c r="B403" s="349" t="s">
        <v>594</v>
      </c>
      <c r="C403" s="350">
        <v>2023</v>
      </c>
      <c r="D403" s="60">
        <v>1904000</v>
      </c>
      <c r="E403" s="6">
        <f>D403*'16-PlantAdditions'!$E$103</f>
        <v>142800</v>
      </c>
      <c r="F403" s="6">
        <f t="shared" si="103"/>
        <v>2046800</v>
      </c>
      <c r="G403" s="60">
        <v>114974495.94999985</v>
      </c>
      <c r="H403" s="60">
        <v>94439495.949999854</v>
      </c>
      <c r="I403" s="6">
        <f>(G403-H403)*'16-PlantAdditions'!$E$103</f>
        <v>1540125</v>
      </c>
      <c r="J403" s="6">
        <f t="shared" si="104"/>
        <v>1.4901161193847656E-7</v>
      </c>
      <c r="K403" s="6">
        <f t="shared" si="102"/>
        <v>-189682923.95999986</v>
      </c>
    </row>
    <row r="404" spans="1:11" ht="13">
      <c r="A404" s="2">
        <f t="shared" si="101"/>
        <v>308</v>
      </c>
      <c r="B404" s="349" t="s">
        <v>387</v>
      </c>
      <c r="C404" s="350">
        <v>2023</v>
      </c>
      <c r="D404" s="60">
        <v>1944000</v>
      </c>
      <c r="E404" s="6">
        <f>D404*'16-PlantAdditions'!$E$103</f>
        <v>145800</v>
      </c>
      <c r="F404" s="6">
        <f t="shared" si="103"/>
        <v>2089800</v>
      </c>
      <c r="G404" s="60">
        <v>1944000</v>
      </c>
      <c r="H404" s="60">
        <v>0</v>
      </c>
      <c r="I404" s="6">
        <f>(G404-H404)*'16-PlantAdditions'!$E$103</f>
        <v>145800</v>
      </c>
      <c r="J404" s="6">
        <f t="shared" si="104"/>
        <v>1.4901161193847656E-7</v>
      </c>
      <c r="K404" s="6">
        <f t="shared" si="102"/>
        <v>-189682923.95999986</v>
      </c>
    </row>
    <row r="405" spans="1:11" ht="13">
      <c r="A405" s="2">
        <f t="shared" si="101"/>
        <v>309</v>
      </c>
      <c r="B405" s="349" t="s">
        <v>388</v>
      </c>
      <c r="C405" s="350">
        <v>2023</v>
      </c>
      <c r="D405" s="60">
        <v>1634000</v>
      </c>
      <c r="E405" s="6">
        <f>D405*'16-PlantAdditions'!$E$103</f>
        <v>122550</v>
      </c>
      <c r="F405" s="6">
        <f t="shared" si="103"/>
        <v>1756550</v>
      </c>
      <c r="G405" s="60">
        <v>1634000</v>
      </c>
      <c r="H405" s="60">
        <v>0</v>
      </c>
      <c r="I405" s="6">
        <f>(G405-H405)*'16-PlantAdditions'!$E$103</f>
        <v>122550</v>
      </c>
      <c r="J405" s="6">
        <f t="shared" si="104"/>
        <v>1.4901161193847656E-7</v>
      </c>
      <c r="K405" s="6">
        <f t="shared" si="102"/>
        <v>-189682923.95999986</v>
      </c>
    </row>
    <row r="406" spans="1:11" ht="13">
      <c r="A406" s="2">
        <f t="shared" si="101"/>
        <v>310</v>
      </c>
      <c r="B406" s="349" t="s">
        <v>389</v>
      </c>
      <c r="C406" s="350">
        <v>2023</v>
      </c>
      <c r="D406" s="60">
        <v>1156000</v>
      </c>
      <c r="E406" s="6">
        <f>D406*'16-PlantAdditions'!$E$103</f>
        <v>86700</v>
      </c>
      <c r="F406" s="6">
        <f t="shared" si="103"/>
        <v>1242700</v>
      </c>
      <c r="G406" s="60">
        <v>1156000</v>
      </c>
      <c r="H406" s="60">
        <v>0</v>
      </c>
      <c r="I406" s="6">
        <f>(G406-H406)*'16-PlantAdditions'!$E$103</f>
        <v>86700</v>
      </c>
      <c r="J406" s="6">
        <f t="shared" si="104"/>
        <v>1.4901161193847656E-7</v>
      </c>
      <c r="K406" s="6">
        <f t="shared" si="102"/>
        <v>-189682923.95999986</v>
      </c>
    </row>
    <row r="407" spans="1:11" ht="13">
      <c r="A407" s="2">
        <f t="shared" si="101"/>
        <v>311</v>
      </c>
      <c r="B407" s="349" t="s">
        <v>390</v>
      </c>
      <c r="C407" s="350">
        <v>2023</v>
      </c>
      <c r="D407" s="60">
        <v>606000</v>
      </c>
      <c r="E407" s="6">
        <f>D407*'16-PlantAdditions'!$E$103</f>
        <v>45450</v>
      </c>
      <c r="F407" s="6">
        <f t="shared" ref="F407:F409" si="105">E407+D407</f>
        <v>651450</v>
      </c>
      <c r="G407" s="60">
        <v>606000</v>
      </c>
      <c r="H407" s="60">
        <v>0</v>
      </c>
      <c r="I407" s="6">
        <f>(G407-H407)*'16-PlantAdditions'!$E$103</f>
        <v>45450</v>
      </c>
      <c r="J407" s="6">
        <f t="shared" ref="J407:J408" si="106">J406+F407-G407-I407</f>
        <v>1.4901161193847656E-7</v>
      </c>
      <c r="K407" s="6">
        <f t="shared" si="102"/>
        <v>-189682923.95999986</v>
      </c>
    </row>
    <row r="408" spans="1:11" ht="13">
      <c r="A408" s="2">
        <f t="shared" si="101"/>
        <v>312</v>
      </c>
      <c r="B408" s="349" t="s">
        <v>391</v>
      </c>
      <c r="C408" s="350">
        <v>2023</v>
      </c>
      <c r="D408" s="60">
        <v>480000</v>
      </c>
      <c r="E408" s="6">
        <f>D408*'16-PlantAdditions'!$E$103</f>
        <v>36000</v>
      </c>
      <c r="F408" s="6">
        <f t="shared" si="105"/>
        <v>516000</v>
      </c>
      <c r="G408" s="60">
        <v>480000</v>
      </c>
      <c r="H408" s="60">
        <v>0</v>
      </c>
      <c r="I408" s="6">
        <f>(G408-H408)*'16-PlantAdditions'!$E$103</f>
        <v>36000</v>
      </c>
      <c r="J408" s="6">
        <f t="shared" si="106"/>
        <v>1.4901161193847656E-7</v>
      </c>
      <c r="K408" s="6">
        <f t="shared" si="102"/>
        <v>-189682923.95999986</v>
      </c>
    </row>
    <row r="409" spans="1:11" ht="13">
      <c r="A409" s="2">
        <f t="shared" si="101"/>
        <v>313</v>
      </c>
      <c r="B409" s="349" t="s">
        <v>379</v>
      </c>
      <c r="C409" s="350">
        <v>2023</v>
      </c>
      <c r="D409" s="60">
        <v>254000</v>
      </c>
      <c r="E409" s="6">
        <f>D409*'16-PlantAdditions'!$E$103</f>
        <v>19050</v>
      </c>
      <c r="F409" s="6">
        <f t="shared" si="105"/>
        <v>273050</v>
      </c>
      <c r="G409" s="60">
        <v>254000</v>
      </c>
      <c r="H409" s="60">
        <v>0</v>
      </c>
      <c r="I409" s="6">
        <f>(G409-H409)*'16-PlantAdditions'!$E$103</f>
        <v>19050</v>
      </c>
      <c r="J409" s="6">
        <f>J408+F409-G409-I409</f>
        <v>1.4901161193847656E-7</v>
      </c>
      <c r="K409" s="53">
        <f t="shared" si="102"/>
        <v>-189682923.95999986</v>
      </c>
    </row>
    <row r="410" spans="1:11" ht="13">
      <c r="A410" s="2">
        <f t="shared" si="101"/>
        <v>314</v>
      </c>
      <c r="C410" s="371" t="s">
        <v>999</v>
      </c>
      <c r="H410" s="257"/>
      <c r="I410" s="257"/>
      <c r="K410" s="42">
        <f>AVERAGE(K397:K409)</f>
        <v>-137759583.52153838</v>
      </c>
    </row>
    <row r="411" spans="1:11" ht="13">
      <c r="A411" s="2"/>
      <c r="C411" s="371"/>
      <c r="H411" s="257"/>
      <c r="I411" s="257"/>
      <c r="K411" s="42"/>
    </row>
    <row r="412" spans="1:11" ht="13">
      <c r="B412" s="34" t="s">
        <v>1024</v>
      </c>
      <c r="D412" s="1116" t="s">
        <v>982</v>
      </c>
      <c r="E412" s="1116"/>
    </row>
    <row r="413" spans="1:11" ht="13">
      <c r="A413" s="3"/>
      <c r="B413" s="3"/>
      <c r="C413" s="3"/>
      <c r="D413" s="3" t="s">
        <v>336</v>
      </c>
      <c r="E413" s="3" t="s">
        <v>337</v>
      </c>
      <c r="F413" s="3" t="s">
        <v>338</v>
      </c>
      <c r="G413" s="3" t="s">
        <v>339</v>
      </c>
      <c r="H413" s="3" t="s">
        <v>340</v>
      </c>
      <c r="I413" s="3" t="s">
        <v>341</v>
      </c>
      <c r="J413" s="3" t="s">
        <v>342</v>
      </c>
      <c r="K413" s="3" t="s">
        <v>343</v>
      </c>
    </row>
    <row r="414" spans="1:11" ht="25.5">
      <c r="D414" s="48"/>
      <c r="E414" s="372" t="s">
        <v>1003</v>
      </c>
      <c r="F414" s="257" t="s">
        <v>1004</v>
      </c>
      <c r="G414" s="257"/>
      <c r="H414" s="48"/>
      <c r="I414" s="372" t="s">
        <v>1005</v>
      </c>
      <c r="J414" s="372" t="s">
        <v>1006</v>
      </c>
      <c r="K414" s="372" t="s">
        <v>1007</v>
      </c>
    </row>
    <row r="415" spans="1:11" ht="13">
      <c r="D415" s="48"/>
      <c r="E415" s="372"/>
      <c r="F415" s="257"/>
      <c r="G415" s="4" t="str">
        <f>G85</f>
        <v>Unloaded</v>
      </c>
      <c r="H415" s="48"/>
      <c r="I415" s="372"/>
      <c r="J415" s="372"/>
      <c r="K415" s="372"/>
    </row>
    <row r="416" spans="1:11" ht="13">
      <c r="A416" s="2"/>
      <c r="B416" s="2"/>
      <c r="C416" s="2"/>
      <c r="D416" s="2" t="str">
        <f>D$52</f>
        <v>Forecast</v>
      </c>
      <c r="E416" s="2" t="str">
        <f t="shared" ref="E416:J416" si="107">E$52</f>
        <v>Corporate</v>
      </c>
      <c r="F416" s="2" t="str">
        <f t="shared" si="107"/>
        <v xml:space="preserve">Total </v>
      </c>
      <c r="G416" s="4" t="str">
        <f>G86</f>
        <v>Total</v>
      </c>
      <c r="H416" s="2" t="str">
        <f t="shared" si="107"/>
        <v>Prior Period</v>
      </c>
      <c r="I416" s="2" t="str">
        <f t="shared" si="107"/>
        <v>Over Heads</v>
      </c>
      <c r="J416" s="2" t="str">
        <f t="shared" si="107"/>
        <v>Forecast</v>
      </c>
      <c r="K416" s="2" t="str">
        <f>K$52</f>
        <v>Forecast Period</v>
      </c>
    </row>
    <row r="417" spans="1:11" ht="13">
      <c r="A417" s="30" t="s">
        <v>273</v>
      </c>
      <c r="B417" s="348" t="s">
        <v>371</v>
      </c>
      <c r="C417" s="348" t="s">
        <v>372</v>
      </c>
      <c r="D417" s="3" t="str">
        <f>D$53</f>
        <v>Expenditures</v>
      </c>
      <c r="E417" s="3" t="str">
        <f t="shared" ref="E417:J417" si="108">E$53</f>
        <v>Overheads</v>
      </c>
      <c r="F417" s="3" t="str">
        <f t="shared" si="108"/>
        <v>CWIP Exp</v>
      </c>
      <c r="G417" s="48" t="str">
        <f>G87</f>
        <v>Plant Adds</v>
      </c>
      <c r="H417" s="3" t="str">
        <f t="shared" si="108"/>
        <v>CWIP Closed</v>
      </c>
      <c r="I417" s="3" t="str">
        <f t="shared" si="108"/>
        <v>Closed to PIS</v>
      </c>
      <c r="J417" s="3" t="str">
        <f t="shared" si="108"/>
        <v>Period CWIP</v>
      </c>
      <c r="K417" s="3" t="str">
        <f>K$53</f>
        <v>Incremental CWIP</v>
      </c>
    </row>
    <row r="418" spans="1:11" ht="13">
      <c r="A418" s="2">
        <f>A410+1</f>
        <v>315</v>
      </c>
      <c r="B418" s="349" t="s">
        <v>379</v>
      </c>
      <c r="C418" s="350">
        <v>2021</v>
      </c>
      <c r="D418" s="257" t="s">
        <v>380</v>
      </c>
      <c r="E418" s="257" t="s">
        <v>380</v>
      </c>
      <c r="F418" s="257" t="s">
        <v>380</v>
      </c>
      <c r="G418" s="257" t="s">
        <v>380</v>
      </c>
      <c r="H418" s="257" t="s">
        <v>380</v>
      </c>
      <c r="I418" s="257" t="s">
        <v>380</v>
      </c>
      <c r="J418" s="6">
        <f>I45</f>
        <v>30071310.850000001</v>
      </c>
      <c r="K418" s="257" t="s">
        <v>380</v>
      </c>
    </row>
    <row r="419" spans="1:11" ht="13">
      <c r="A419" s="2">
        <f>A418+1</f>
        <v>316</v>
      </c>
      <c r="B419" s="349" t="s">
        <v>381</v>
      </c>
      <c r="C419" s="350">
        <v>2022</v>
      </c>
      <c r="D419" s="60">
        <v>276083.53100000008</v>
      </c>
      <c r="E419" s="6">
        <f>D419*'16-PlantAdditions'!$E$103</f>
        <v>20706.264825000006</v>
      </c>
      <c r="F419" s="6">
        <f>E419+D419</f>
        <v>296789.7958250001</v>
      </c>
      <c r="G419" s="60">
        <v>0</v>
      </c>
      <c r="H419" s="60">
        <v>0</v>
      </c>
      <c r="I419" s="6">
        <f>(G419-H419)*'16-PlantAdditions'!$E$103</f>
        <v>0</v>
      </c>
      <c r="J419" s="6">
        <f t="shared" ref="J419:J442" si="109">J418+F419-G419-I419</f>
        <v>30368100.645825002</v>
      </c>
      <c r="K419" s="6">
        <f>J419-$J$418</f>
        <v>296789.79582500085</v>
      </c>
    </row>
    <row r="420" spans="1:11" ht="13">
      <c r="A420" s="2">
        <f t="shared" ref="A420:A443" si="110">A419+1</f>
        <v>317</v>
      </c>
      <c r="B420" s="349" t="s">
        <v>382</v>
      </c>
      <c r="C420" s="350">
        <v>2022</v>
      </c>
      <c r="D420" s="60">
        <v>315959.84299999994</v>
      </c>
      <c r="E420" s="6">
        <f>D420*'16-PlantAdditions'!$E$103</f>
        <v>23696.988224999994</v>
      </c>
      <c r="F420" s="6">
        <f t="shared" ref="F420:F442" si="111">E420+D420</f>
        <v>339656.83122499991</v>
      </c>
      <c r="G420" s="60">
        <v>0</v>
      </c>
      <c r="H420" s="60">
        <v>0</v>
      </c>
      <c r="I420" s="6">
        <f>(G420-H420)*'16-PlantAdditions'!$E$103</f>
        <v>0</v>
      </c>
      <c r="J420" s="6">
        <f t="shared" si="109"/>
        <v>30707757.477050003</v>
      </c>
      <c r="K420" s="6">
        <f t="shared" ref="K420:K442" si="112">J420-$J$418</f>
        <v>636446.62705000117</v>
      </c>
    </row>
    <row r="421" spans="1:11" ht="13">
      <c r="A421" s="2">
        <f t="shared" si="110"/>
        <v>318</v>
      </c>
      <c r="B421" s="349" t="s">
        <v>383</v>
      </c>
      <c r="C421" s="350">
        <v>2022</v>
      </c>
      <c r="D421" s="60">
        <v>322777.44300000003</v>
      </c>
      <c r="E421" s="6">
        <f>D421*'16-PlantAdditions'!$E$103</f>
        <v>24208.308225000001</v>
      </c>
      <c r="F421" s="6">
        <f t="shared" si="111"/>
        <v>346985.75122500001</v>
      </c>
      <c r="G421" s="60">
        <v>0</v>
      </c>
      <c r="H421" s="60">
        <v>0</v>
      </c>
      <c r="I421" s="6">
        <f>(G421-H421)*'16-PlantAdditions'!$E$103</f>
        <v>0</v>
      </c>
      <c r="J421" s="6">
        <f t="shared" si="109"/>
        <v>31054743.228275001</v>
      </c>
      <c r="K421" s="6">
        <f t="shared" si="112"/>
        <v>983432.37827499956</v>
      </c>
    </row>
    <row r="422" spans="1:11" ht="13">
      <c r="A422" s="2">
        <f t="shared" si="110"/>
        <v>319</v>
      </c>
      <c r="B422" s="349" t="s">
        <v>384</v>
      </c>
      <c r="C422" s="350">
        <v>2022</v>
      </c>
      <c r="D422" s="60">
        <v>446551.89999999997</v>
      </c>
      <c r="E422" s="6">
        <f>D422*'16-PlantAdditions'!$E$103</f>
        <v>33491.392499999994</v>
      </c>
      <c r="F422" s="6">
        <f t="shared" si="111"/>
        <v>480043.29249999998</v>
      </c>
      <c r="G422" s="60">
        <v>0</v>
      </c>
      <c r="H422" s="60">
        <v>0</v>
      </c>
      <c r="I422" s="6">
        <f>(G422-H422)*'16-PlantAdditions'!$E$103</f>
        <v>0</v>
      </c>
      <c r="J422" s="6">
        <f t="shared" si="109"/>
        <v>31534786.520775001</v>
      </c>
      <c r="K422" s="6">
        <f t="shared" si="112"/>
        <v>1463475.670775</v>
      </c>
    </row>
    <row r="423" spans="1:11" ht="13">
      <c r="A423" s="2">
        <f t="shared" si="110"/>
        <v>320</v>
      </c>
      <c r="B423" s="349" t="s">
        <v>385</v>
      </c>
      <c r="C423" s="350">
        <v>2022</v>
      </c>
      <c r="D423" s="60">
        <v>1080614.3999999999</v>
      </c>
      <c r="E423" s="6">
        <f>D423*'16-PlantAdditions'!$E$103</f>
        <v>81046.079999999987</v>
      </c>
      <c r="F423" s="6">
        <f t="shared" si="111"/>
        <v>1161660.48</v>
      </c>
      <c r="G423" s="60">
        <v>0</v>
      </c>
      <c r="H423" s="60">
        <v>0</v>
      </c>
      <c r="I423" s="6">
        <f>(G423-H423)*'16-PlantAdditions'!$E$103</f>
        <v>0</v>
      </c>
      <c r="J423" s="6">
        <f t="shared" si="109"/>
        <v>32696447.000775002</v>
      </c>
      <c r="K423" s="6">
        <f t="shared" si="112"/>
        <v>2625136.1507750005</v>
      </c>
    </row>
    <row r="424" spans="1:11" ht="13">
      <c r="A424" s="2">
        <f t="shared" si="110"/>
        <v>321</v>
      </c>
      <c r="B424" s="349" t="s">
        <v>594</v>
      </c>
      <c r="C424" s="350">
        <v>2022</v>
      </c>
      <c r="D424" s="60">
        <v>6572610.9000000004</v>
      </c>
      <c r="E424" s="6">
        <f>D424*'16-PlantAdditions'!$E$103</f>
        <v>492945.8175</v>
      </c>
      <c r="F424" s="6">
        <f t="shared" si="111"/>
        <v>7065556.7175000003</v>
      </c>
      <c r="G424" s="60">
        <v>0</v>
      </c>
      <c r="H424" s="60">
        <v>0</v>
      </c>
      <c r="I424" s="6">
        <f>(G424-H424)*'16-PlantAdditions'!$E$103</f>
        <v>0</v>
      </c>
      <c r="J424" s="6">
        <f t="shared" si="109"/>
        <v>39762003.718275003</v>
      </c>
      <c r="K424" s="6">
        <f t="shared" si="112"/>
        <v>9690692.8682750016</v>
      </c>
    </row>
    <row r="425" spans="1:11" ht="13">
      <c r="A425" s="2">
        <f t="shared" si="110"/>
        <v>322</v>
      </c>
      <c r="B425" s="349" t="s">
        <v>387</v>
      </c>
      <c r="C425" s="350">
        <v>2022</v>
      </c>
      <c r="D425" s="60">
        <v>6530053.5</v>
      </c>
      <c r="E425" s="6">
        <f>D425*'16-PlantAdditions'!$E$103</f>
        <v>489754.01249999995</v>
      </c>
      <c r="F425" s="6">
        <f t="shared" si="111"/>
        <v>7019807.5125000002</v>
      </c>
      <c r="G425" s="60">
        <v>0</v>
      </c>
      <c r="H425" s="60">
        <v>0</v>
      </c>
      <c r="I425" s="6">
        <f>(G425-H425)*'16-PlantAdditions'!$E$103</f>
        <v>0</v>
      </c>
      <c r="J425" s="6">
        <f t="shared" si="109"/>
        <v>46781811.230775006</v>
      </c>
      <c r="K425" s="6">
        <f t="shared" si="112"/>
        <v>16710500.380775005</v>
      </c>
    </row>
    <row r="426" spans="1:11" ht="13">
      <c r="A426" s="2">
        <f t="shared" si="110"/>
        <v>323</v>
      </c>
      <c r="B426" s="349" t="s">
        <v>388</v>
      </c>
      <c r="C426" s="350">
        <v>2022</v>
      </c>
      <c r="D426" s="60">
        <v>15011567</v>
      </c>
      <c r="E426" s="6">
        <f>D426*'16-PlantAdditions'!$E$103</f>
        <v>1125867.5249999999</v>
      </c>
      <c r="F426" s="6">
        <f t="shared" si="111"/>
        <v>16137434.525</v>
      </c>
      <c r="G426" s="60">
        <v>0</v>
      </c>
      <c r="H426" s="60">
        <v>0</v>
      </c>
      <c r="I426" s="6">
        <f>(G426-H426)*'16-PlantAdditions'!$E$103</f>
        <v>0</v>
      </c>
      <c r="J426" s="6">
        <f t="shared" si="109"/>
        <v>62919245.755775005</v>
      </c>
      <c r="K426" s="6">
        <f t="shared" si="112"/>
        <v>32847934.905775003</v>
      </c>
    </row>
    <row r="427" spans="1:11" ht="13">
      <c r="A427" s="2">
        <f t="shared" si="110"/>
        <v>324</v>
      </c>
      <c r="B427" s="349" t="s">
        <v>389</v>
      </c>
      <c r="C427" s="350">
        <v>2022</v>
      </c>
      <c r="D427" s="60">
        <v>15011567</v>
      </c>
      <c r="E427" s="6">
        <f>D427*'16-PlantAdditions'!$E$103</f>
        <v>1125867.5249999999</v>
      </c>
      <c r="F427" s="6">
        <f t="shared" si="111"/>
        <v>16137434.525</v>
      </c>
      <c r="G427" s="60">
        <v>0</v>
      </c>
      <c r="H427" s="60">
        <v>0</v>
      </c>
      <c r="I427" s="6">
        <f>(G427-H427)*'16-PlantAdditions'!$E$103</f>
        <v>0</v>
      </c>
      <c r="J427" s="6">
        <f t="shared" si="109"/>
        <v>79056680.280775011</v>
      </c>
      <c r="K427" s="6">
        <f t="shared" si="112"/>
        <v>48985369.430775009</v>
      </c>
    </row>
    <row r="428" spans="1:11" ht="13">
      <c r="A428" s="2">
        <f t="shared" si="110"/>
        <v>325</v>
      </c>
      <c r="B428" s="349" t="s">
        <v>390</v>
      </c>
      <c r="C428" s="350">
        <v>2022</v>
      </c>
      <c r="D428" s="60">
        <v>10608067</v>
      </c>
      <c r="E428" s="6">
        <f>D428*'16-PlantAdditions'!$E$103</f>
        <v>795605.02500000002</v>
      </c>
      <c r="F428" s="6">
        <f t="shared" si="111"/>
        <v>11403672.025</v>
      </c>
      <c r="G428" s="60">
        <v>0</v>
      </c>
      <c r="H428" s="60">
        <v>0</v>
      </c>
      <c r="I428" s="6">
        <f>(G428-H428)*'16-PlantAdditions'!$E$103</f>
        <v>0</v>
      </c>
      <c r="J428" s="6">
        <f t="shared" si="109"/>
        <v>90460352.305775017</v>
      </c>
      <c r="K428" s="6">
        <f t="shared" si="112"/>
        <v>60389041.455775015</v>
      </c>
    </row>
    <row r="429" spans="1:11" ht="13">
      <c r="A429" s="2">
        <f t="shared" si="110"/>
        <v>326</v>
      </c>
      <c r="B429" s="349" t="s">
        <v>391</v>
      </c>
      <c r="C429" s="350">
        <v>2022</v>
      </c>
      <c r="D429" s="60">
        <v>9981564.129999999</v>
      </c>
      <c r="E429" s="6">
        <f>D429*'16-PlantAdditions'!$E$103</f>
        <v>748617.3097499999</v>
      </c>
      <c r="F429" s="6">
        <f t="shared" si="111"/>
        <v>10730181.439749999</v>
      </c>
      <c r="G429" s="60">
        <v>0</v>
      </c>
      <c r="H429" s="60">
        <v>0</v>
      </c>
      <c r="I429" s="6">
        <f>(G429-H429)*'16-PlantAdditions'!$E$103</f>
        <v>0</v>
      </c>
      <c r="J429" s="6">
        <f t="shared" si="109"/>
        <v>101190533.74552502</v>
      </c>
      <c r="K429" s="6">
        <f t="shared" si="112"/>
        <v>71119222.895525008</v>
      </c>
    </row>
    <row r="430" spans="1:11" ht="13">
      <c r="A430" s="2">
        <f t="shared" si="110"/>
        <v>327</v>
      </c>
      <c r="B430" s="349" t="s">
        <v>379</v>
      </c>
      <c r="C430" s="350">
        <v>2022</v>
      </c>
      <c r="D430" s="60">
        <v>10523342</v>
      </c>
      <c r="E430" s="6">
        <f>D430*'16-PlantAdditions'!$E$103</f>
        <v>789250.65</v>
      </c>
      <c r="F430" s="6">
        <f t="shared" si="111"/>
        <v>11312592.65</v>
      </c>
      <c r="G430" s="60">
        <v>46844772.226110004</v>
      </c>
      <c r="H430" s="60">
        <v>1309.5791100000001</v>
      </c>
      <c r="I430" s="6">
        <f>(G430-H430)*'16-PlantAdditions'!$E$103</f>
        <v>3513259.6985250004</v>
      </c>
      <c r="J430" s="6">
        <f t="shared" si="109"/>
        <v>62145094.470890015</v>
      </c>
      <c r="K430" s="6">
        <f t="shared" si="112"/>
        <v>32073783.620890014</v>
      </c>
    </row>
    <row r="431" spans="1:11" ht="13">
      <c r="A431" s="2">
        <f t="shared" si="110"/>
        <v>328</v>
      </c>
      <c r="B431" s="349" t="s">
        <v>381</v>
      </c>
      <c r="C431" s="350">
        <v>2023</v>
      </c>
      <c r="D431" s="60">
        <v>6989281</v>
      </c>
      <c r="E431" s="6">
        <f>D431*'16-PlantAdditions'!$E$103</f>
        <v>524196.07499999995</v>
      </c>
      <c r="F431" s="6">
        <f t="shared" si="111"/>
        <v>7513477.0750000002</v>
      </c>
      <c r="G431" s="60">
        <v>0</v>
      </c>
      <c r="H431" s="60">
        <v>0</v>
      </c>
      <c r="I431" s="6">
        <f>(G431-H431)*'16-PlantAdditions'!$E$103</f>
        <v>0</v>
      </c>
      <c r="J431" s="6">
        <f t="shared" si="109"/>
        <v>69658571.545890018</v>
      </c>
      <c r="K431" s="6">
        <f t="shared" si="112"/>
        <v>39587260.695890017</v>
      </c>
    </row>
    <row r="432" spans="1:11" ht="13">
      <c r="A432" s="2">
        <f t="shared" si="110"/>
        <v>329</v>
      </c>
      <c r="B432" s="349" t="s">
        <v>382</v>
      </c>
      <c r="C432" s="350">
        <v>2023</v>
      </c>
      <c r="D432" s="60">
        <v>6989281</v>
      </c>
      <c r="E432" s="6">
        <f>D432*'16-PlantAdditions'!$E$103</f>
        <v>524196.07499999995</v>
      </c>
      <c r="F432" s="6">
        <f t="shared" si="111"/>
        <v>7513477.0750000002</v>
      </c>
      <c r="G432" s="60">
        <v>0</v>
      </c>
      <c r="H432" s="60">
        <v>0</v>
      </c>
      <c r="I432" s="6">
        <f>(G432-H432)*'16-PlantAdditions'!$E$103</f>
        <v>0</v>
      </c>
      <c r="J432" s="6">
        <f t="shared" si="109"/>
        <v>77172048.620890021</v>
      </c>
      <c r="K432" s="6">
        <f t="shared" si="112"/>
        <v>47100737.77089002</v>
      </c>
    </row>
    <row r="433" spans="1:11" ht="13">
      <c r="A433" s="2">
        <f t="shared" si="110"/>
        <v>330</v>
      </c>
      <c r="B433" s="349" t="s">
        <v>383</v>
      </c>
      <c r="C433" s="350">
        <v>2023</v>
      </c>
      <c r="D433" s="60">
        <v>6989281</v>
      </c>
      <c r="E433" s="6">
        <f>D433*'16-PlantAdditions'!$E$103</f>
        <v>524196.07499999995</v>
      </c>
      <c r="F433" s="6">
        <f t="shared" si="111"/>
        <v>7513477.0750000002</v>
      </c>
      <c r="G433" s="60">
        <v>50606675.530000001</v>
      </c>
      <c r="H433" s="60">
        <v>6189635.5300000012</v>
      </c>
      <c r="I433" s="6">
        <f>(G433-H433)*'16-PlantAdditions'!$E$103</f>
        <v>3331278</v>
      </c>
      <c r="J433" s="6">
        <f t="shared" si="109"/>
        <v>30747572.165890023</v>
      </c>
      <c r="K433" s="6">
        <f t="shared" si="112"/>
        <v>676261.31589002162</v>
      </c>
    </row>
    <row r="434" spans="1:11" ht="13">
      <c r="A434" s="2">
        <f t="shared" si="110"/>
        <v>331</v>
      </c>
      <c r="B434" s="349" t="s">
        <v>384</v>
      </c>
      <c r="C434" s="350">
        <v>2023</v>
      </c>
      <c r="D434" s="60">
        <v>6989281</v>
      </c>
      <c r="E434" s="6">
        <f>D434*'16-PlantAdditions'!$E$103</f>
        <v>524196.07499999995</v>
      </c>
      <c r="F434" s="6">
        <f t="shared" si="111"/>
        <v>7513477.0750000002</v>
      </c>
      <c r="G434" s="60">
        <v>5010570</v>
      </c>
      <c r="H434" s="60">
        <v>0</v>
      </c>
      <c r="I434" s="6">
        <f>(G434-H434)*'16-PlantAdditions'!$E$103</f>
        <v>375792.75</v>
      </c>
      <c r="J434" s="6">
        <f t="shared" si="109"/>
        <v>32874686.490890026</v>
      </c>
      <c r="K434" s="6">
        <f t="shared" si="112"/>
        <v>2803375.6408900246</v>
      </c>
    </row>
    <row r="435" spans="1:11" ht="13">
      <c r="A435" s="2">
        <f t="shared" si="110"/>
        <v>332</v>
      </c>
      <c r="B435" s="349" t="s">
        <v>385</v>
      </c>
      <c r="C435" s="350">
        <v>2023</v>
      </c>
      <c r="D435" s="60">
        <v>6989281</v>
      </c>
      <c r="E435" s="6">
        <f>D435*'16-PlantAdditions'!$E$103</f>
        <v>524196.07499999995</v>
      </c>
      <c r="F435" s="6">
        <f t="shared" si="111"/>
        <v>7513477.0750000002</v>
      </c>
      <c r="G435" s="60">
        <v>5010570</v>
      </c>
      <c r="H435" s="60">
        <v>0</v>
      </c>
      <c r="I435" s="6">
        <f>(G435-H435)*'16-PlantAdditions'!$E$103</f>
        <v>375792.75</v>
      </c>
      <c r="J435" s="6">
        <f t="shared" si="109"/>
        <v>35001800.815890029</v>
      </c>
      <c r="K435" s="6">
        <f t="shared" si="112"/>
        <v>4930489.9658900276</v>
      </c>
    </row>
    <row r="436" spans="1:11" ht="13">
      <c r="A436" s="2">
        <f t="shared" si="110"/>
        <v>333</v>
      </c>
      <c r="B436" s="349" t="s">
        <v>594</v>
      </c>
      <c r="C436" s="350">
        <v>2023</v>
      </c>
      <c r="D436" s="60">
        <v>6989281</v>
      </c>
      <c r="E436" s="6">
        <f>D436*'16-PlantAdditions'!$E$103</f>
        <v>524196.07499999995</v>
      </c>
      <c r="F436" s="6">
        <f t="shared" si="111"/>
        <v>7513477.0750000002</v>
      </c>
      <c r="G436" s="60">
        <v>5010570</v>
      </c>
      <c r="H436" s="60">
        <v>0</v>
      </c>
      <c r="I436" s="6">
        <f>(G436-H436)*'16-PlantAdditions'!$E$103</f>
        <v>375792.75</v>
      </c>
      <c r="J436" s="6">
        <f t="shared" si="109"/>
        <v>37128915.140890032</v>
      </c>
      <c r="K436" s="6">
        <f t="shared" si="112"/>
        <v>7057604.2908900306</v>
      </c>
    </row>
    <row r="437" spans="1:11" ht="13">
      <c r="A437" s="2">
        <f t="shared" si="110"/>
        <v>334</v>
      </c>
      <c r="B437" s="349" t="s">
        <v>387</v>
      </c>
      <c r="C437" s="350">
        <v>2023</v>
      </c>
      <c r="D437" s="60">
        <v>6989281</v>
      </c>
      <c r="E437" s="6">
        <f>D437*'16-PlantAdditions'!$E$103</f>
        <v>524196.07499999995</v>
      </c>
      <c r="F437" s="6">
        <f t="shared" si="111"/>
        <v>7513477.0750000002</v>
      </c>
      <c r="G437" s="60">
        <v>18460314.830000032</v>
      </c>
      <c r="H437" s="60">
        <v>13449744.830000034</v>
      </c>
      <c r="I437" s="6">
        <f>(G437-H437)*'16-PlantAdditions'!$E$103</f>
        <v>375792.74999999983</v>
      </c>
      <c r="J437" s="6">
        <f t="shared" si="109"/>
        <v>25806284.635890003</v>
      </c>
      <c r="K437" s="6">
        <f t="shared" si="112"/>
        <v>-4265026.2141099982</v>
      </c>
    </row>
    <row r="438" spans="1:11" ht="13">
      <c r="A438" s="2">
        <f t="shared" si="110"/>
        <v>335</v>
      </c>
      <c r="B438" s="349" t="s">
        <v>388</v>
      </c>
      <c r="C438" s="350">
        <v>2023</v>
      </c>
      <c r="D438" s="60">
        <v>6989281</v>
      </c>
      <c r="E438" s="6">
        <f>D438*'16-PlantAdditions'!$E$103</f>
        <v>524196.07499999995</v>
      </c>
      <c r="F438" s="6">
        <f t="shared" si="111"/>
        <v>7513477.0750000002</v>
      </c>
      <c r="G438" s="60">
        <v>5010570</v>
      </c>
      <c r="H438" s="60">
        <v>0</v>
      </c>
      <c r="I438" s="6">
        <f>(G438-H438)*'16-PlantAdditions'!$E$103</f>
        <v>375792.75</v>
      </c>
      <c r="J438" s="6">
        <f t="shared" si="109"/>
        <v>27933398.960890003</v>
      </c>
      <c r="K438" s="6">
        <f t="shared" si="112"/>
        <v>-2137911.8891099989</v>
      </c>
    </row>
    <row r="439" spans="1:11" ht="13">
      <c r="A439" s="2">
        <f t="shared" si="110"/>
        <v>336</v>
      </c>
      <c r="B439" s="349" t="s">
        <v>389</v>
      </c>
      <c r="C439" s="350">
        <v>2023</v>
      </c>
      <c r="D439" s="60">
        <v>6989281</v>
      </c>
      <c r="E439" s="6">
        <f>D439*'16-PlantAdditions'!$E$103</f>
        <v>524196.07499999995</v>
      </c>
      <c r="F439" s="6">
        <f t="shared" si="111"/>
        <v>7513477.0750000002</v>
      </c>
      <c r="G439" s="60">
        <v>5010570</v>
      </c>
      <c r="H439" s="60">
        <v>0</v>
      </c>
      <c r="I439" s="6">
        <f>(G439-H439)*'16-PlantAdditions'!$E$103</f>
        <v>375792.75</v>
      </c>
      <c r="J439" s="6">
        <f t="shared" si="109"/>
        <v>30060513.285890006</v>
      </c>
      <c r="K439" s="6">
        <f t="shared" si="112"/>
        <v>-10797.564109995961</v>
      </c>
    </row>
    <row r="440" spans="1:11" ht="13">
      <c r="A440" s="2">
        <f t="shared" si="110"/>
        <v>337</v>
      </c>
      <c r="B440" s="349" t="s">
        <v>390</v>
      </c>
      <c r="C440" s="350">
        <v>2023</v>
      </c>
      <c r="D440" s="60">
        <v>32989281.000000004</v>
      </c>
      <c r="E440" s="6">
        <f>D440*'16-PlantAdditions'!$E$103</f>
        <v>2474196.0750000002</v>
      </c>
      <c r="F440" s="6">
        <f t="shared" si="111"/>
        <v>35463477.075000003</v>
      </c>
      <c r="G440" s="60">
        <v>31010570</v>
      </c>
      <c r="H440" s="60">
        <v>0</v>
      </c>
      <c r="I440" s="6">
        <f>(G440-H440)*'16-PlantAdditions'!$E$103</f>
        <v>2325792.75</v>
      </c>
      <c r="J440" s="6">
        <f t="shared" si="109"/>
        <v>32187627.610890009</v>
      </c>
      <c r="K440" s="6">
        <f t="shared" si="112"/>
        <v>2116316.760890007</v>
      </c>
    </row>
    <row r="441" spans="1:11" ht="13">
      <c r="A441" s="2">
        <f t="shared" si="110"/>
        <v>338</v>
      </c>
      <c r="B441" s="349" t="s">
        <v>391</v>
      </c>
      <c r="C441" s="350">
        <v>2023</v>
      </c>
      <c r="D441" s="60">
        <v>32989281.000000004</v>
      </c>
      <c r="E441" s="6">
        <f>D441*'16-PlantAdditions'!$E$103</f>
        <v>2474196.0750000002</v>
      </c>
      <c r="F441" s="6">
        <f t="shared" si="111"/>
        <v>35463477.075000003</v>
      </c>
      <c r="G441" s="60">
        <v>31010570</v>
      </c>
      <c r="H441" s="60">
        <v>0</v>
      </c>
      <c r="I441" s="6">
        <f>(G441-H441)*'16-PlantAdditions'!$E$103</f>
        <v>2325792.75</v>
      </c>
      <c r="J441" s="6">
        <f t="shared" si="109"/>
        <v>34314741.935890019</v>
      </c>
      <c r="K441" s="6">
        <f t="shared" si="112"/>
        <v>4243431.0858900174</v>
      </c>
    </row>
    <row r="442" spans="1:11" ht="13">
      <c r="A442" s="2">
        <f t="shared" si="110"/>
        <v>339</v>
      </c>
      <c r="B442" s="349" t="s">
        <v>379</v>
      </c>
      <c r="C442" s="350">
        <v>2023</v>
      </c>
      <c r="D442" s="60">
        <v>26989279.000000004</v>
      </c>
      <c r="E442" s="6">
        <f>D442*'16-PlantAdditions'!$E$103</f>
        <v>2024195.9250000003</v>
      </c>
      <c r="F442" s="6">
        <f t="shared" si="111"/>
        <v>29013474.925000004</v>
      </c>
      <c r="G442" s="60">
        <v>25010570</v>
      </c>
      <c r="H442" s="60">
        <v>0</v>
      </c>
      <c r="I442" s="6">
        <f>(G442-H442)*'16-PlantAdditions'!$E$103</f>
        <v>1875792.75</v>
      </c>
      <c r="J442" s="6">
        <f t="shared" si="109"/>
        <v>36441854.110890023</v>
      </c>
      <c r="K442" s="53">
        <f t="shared" si="112"/>
        <v>6370543.2608900219</v>
      </c>
    </row>
    <row r="443" spans="1:11" ht="13">
      <c r="A443" s="2">
        <f t="shared" si="110"/>
        <v>340</v>
      </c>
      <c r="C443" s="371" t="s">
        <v>999</v>
      </c>
      <c r="H443" s="257"/>
      <c r="I443" s="257"/>
      <c r="K443" s="42">
        <f>AVERAGE(K430:K442)</f>
        <v>10811236.057043863</v>
      </c>
    </row>
    <row r="445" spans="1:11" ht="13">
      <c r="B445" s="34" t="s">
        <v>1025</v>
      </c>
      <c r="D445" s="258" t="s">
        <v>1026</v>
      </c>
      <c r="E445" s="258"/>
      <c r="F445" s="55"/>
      <c r="G445" s="55"/>
    </row>
    <row r="446" spans="1:11" ht="13">
      <c r="A446" s="3"/>
      <c r="B446" s="3"/>
      <c r="C446" s="3"/>
      <c r="D446" s="3" t="s">
        <v>336</v>
      </c>
      <c r="E446" s="3" t="s">
        <v>337</v>
      </c>
      <c r="F446" s="3" t="s">
        <v>338</v>
      </c>
      <c r="G446" s="3" t="s">
        <v>339</v>
      </c>
      <c r="H446" s="3" t="s">
        <v>340</v>
      </c>
      <c r="I446" s="3" t="s">
        <v>341</v>
      </c>
      <c r="J446" s="3" t="s">
        <v>342</v>
      </c>
      <c r="K446" s="3" t="s">
        <v>343</v>
      </c>
    </row>
    <row r="447" spans="1:11" ht="25.5">
      <c r="D447" s="48"/>
      <c r="E447" s="372" t="s">
        <v>1003</v>
      </c>
      <c r="F447" s="257" t="s">
        <v>1004</v>
      </c>
      <c r="G447" s="257"/>
      <c r="H447" s="48"/>
      <c r="I447" s="372" t="s">
        <v>1005</v>
      </c>
      <c r="J447" s="372" t="s">
        <v>1006</v>
      </c>
      <c r="K447" s="372" t="s">
        <v>1007</v>
      </c>
    </row>
    <row r="448" spans="1:11" ht="13">
      <c r="D448" s="48"/>
      <c r="E448" s="372"/>
      <c r="F448" s="257"/>
      <c r="G448" s="4" t="str">
        <f>G118</f>
        <v>Unloaded</v>
      </c>
      <c r="H448" s="48"/>
      <c r="I448" s="372"/>
      <c r="J448" s="372"/>
      <c r="K448" s="372"/>
    </row>
    <row r="449" spans="1:11" ht="13">
      <c r="A449" s="2"/>
      <c r="B449" s="2"/>
      <c r="C449" s="2"/>
      <c r="D449" s="2" t="str">
        <f>D$52</f>
        <v>Forecast</v>
      </c>
      <c r="E449" s="2" t="str">
        <f t="shared" ref="E449:J449" si="113">E$52</f>
        <v>Corporate</v>
      </c>
      <c r="F449" s="2" t="str">
        <f t="shared" si="113"/>
        <v xml:space="preserve">Total </v>
      </c>
      <c r="G449" s="4" t="str">
        <f>G119</f>
        <v>Total</v>
      </c>
      <c r="H449" s="2" t="str">
        <f t="shared" si="113"/>
        <v>Prior Period</v>
      </c>
      <c r="I449" s="2" t="str">
        <f t="shared" si="113"/>
        <v>Over Heads</v>
      </c>
      <c r="J449" s="2" t="str">
        <f t="shared" si="113"/>
        <v>Forecast</v>
      </c>
      <c r="K449" s="2" t="str">
        <f>K$52</f>
        <v>Forecast Period</v>
      </c>
    </row>
    <row r="450" spans="1:11" ht="13">
      <c r="A450" s="30" t="s">
        <v>273</v>
      </c>
      <c r="B450" s="348" t="s">
        <v>371</v>
      </c>
      <c r="C450" s="348" t="s">
        <v>372</v>
      </c>
      <c r="D450" s="3" t="str">
        <f>D$53</f>
        <v>Expenditures</v>
      </c>
      <c r="E450" s="3" t="str">
        <f t="shared" ref="E450:J450" si="114">E$53</f>
        <v>Overheads</v>
      </c>
      <c r="F450" s="3" t="str">
        <f t="shared" si="114"/>
        <v>CWIP Exp</v>
      </c>
      <c r="G450" s="48" t="str">
        <f>G120</f>
        <v>Plant Adds</v>
      </c>
      <c r="H450" s="3" t="str">
        <f t="shared" si="114"/>
        <v>CWIP Closed</v>
      </c>
      <c r="I450" s="3" t="str">
        <f t="shared" si="114"/>
        <v>Closed to PIS</v>
      </c>
      <c r="J450" s="3" t="str">
        <f t="shared" si="114"/>
        <v>Period CWIP</v>
      </c>
      <c r="K450" s="3" t="str">
        <f>K$53</f>
        <v>Incremental CWIP</v>
      </c>
    </row>
    <row r="451" spans="1:11" ht="13">
      <c r="A451" s="2">
        <f>A443+1</f>
        <v>341</v>
      </c>
      <c r="B451" s="349" t="s">
        <v>379</v>
      </c>
      <c r="C451" s="350">
        <v>2021</v>
      </c>
      <c r="D451" s="257" t="s">
        <v>380</v>
      </c>
      <c r="E451" s="257" t="s">
        <v>380</v>
      </c>
      <c r="F451" s="257" t="s">
        <v>380</v>
      </c>
      <c r="G451" s="257" t="s">
        <v>380</v>
      </c>
      <c r="H451" s="257" t="s">
        <v>380</v>
      </c>
      <c r="I451" s="257" t="s">
        <v>380</v>
      </c>
      <c r="J451" s="6">
        <v>0</v>
      </c>
      <c r="K451" s="257" t="s">
        <v>380</v>
      </c>
    </row>
    <row r="452" spans="1:11" ht="13">
      <c r="A452" s="2">
        <f>A451+1</f>
        <v>342</v>
      </c>
      <c r="B452" s="349" t="s">
        <v>381</v>
      </c>
      <c r="C452" s="350">
        <v>2022</v>
      </c>
      <c r="D452" s="60"/>
      <c r="E452" s="6">
        <f>D452*'16-PlantAdditions'!$E$103</f>
        <v>0</v>
      </c>
      <c r="F452" s="6">
        <f>E452+D452</f>
        <v>0</v>
      </c>
      <c r="G452" s="60"/>
      <c r="H452" s="60"/>
      <c r="I452" s="6">
        <f>(G452-H452)*'16-PlantAdditions'!$E$103</f>
        <v>0</v>
      </c>
      <c r="J452" s="6">
        <f>J451+F452-G452-I452</f>
        <v>0</v>
      </c>
      <c r="K452" s="6">
        <f>J452-$J$451</f>
        <v>0</v>
      </c>
    </row>
    <row r="453" spans="1:11" ht="13">
      <c r="A453" s="2">
        <f t="shared" ref="A453:A476" si="115">A452+1</f>
        <v>343</v>
      </c>
      <c r="B453" s="349" t="s">
        <v>382</v>
      </c>
      <c r="C453" s="350">
        <v>2022</v>
      </c>
      <c r="D453" s="60"/>
      <c r="E453" s="6">
        <f>D453*'16-PlantAdditions'!$E$103</f>
        <v>0</v>
      </c>
      <c r="F453" s="6">
        <f t="shared" ref="F453:F475" si="116">E453+D453</f>
        <v>0</v>
      </c>
      <c r="G453" s="60"/>
      <c r="H453" s="60"/>
      <c r="I453" s="6">
        <f>(G453-H453)*'16-PlantAdditions'!$E$103</f>
        <v>0</v>
      </c>
      <c r="J453" s="6">
        <f t="shared" ref="J453:J475" si="117">J452+F453-G453-I453</f>
        <v>0</v>
      </c>
      <c r="K453" s="6">
        <f t="shared" ref="K453:K475" si="118">J453-$J$451</f>
        <v>0</v>
      </c>
    </row>
    <row r="454" spans="1:11" ht="13">
      <c r="A454" s="2">
        <f t="shared" si="115"/>
        <v>344</v>
      </c>
      <c r="B454" s="349" t="s">
        <v>383</v>
      </c>
      <c r="C454" s="350">
        <v>2022</v>
      </c>
      <c r="D454" s="60"/>
      <c r="E454" s="6">
        <f>D454*'16-PlantAdditions'!$E$103</f>
        <v>0</v>
      </c>
      <c r="F454" s="6">
        <f t="shared" si="116"/>
        <v>0</v>
      </c>
      <c r="G454" s="60"/>
      <c r="H454" s="60"/>
      <c r="I454" s="6">
        <f>(G454-H454)*'16-PlantAdditions'!$E$103</f>
        <v>0</v>
      </c>
      <c r="J454" s="6">
        <f t="shared" si="117"/>
        <v>0</v>
      </c>
      <c r="K454" s="6">
        <f t="shared" si="118"/>
        <v>0</v>
      </c>
    </row>
    <row r="455" spans="1:11" ht="13">
      <c r="A455" s="2">
        <f t="shared" si="115"/>
        <v>345</v>
      </c>
      <c r="B455" s="349" t="s">
        <v>384</v>
      </c>
      <c r="C455" s="350">
        <v>2022</v>
      </c>
      <c r="D455" s="60"/>
      <c r="E455" s="6">
        <f>D455*'16-PlantAdditions'!$E$103</f>
        <v>0</v>
      </c>
      <c r="F455" s="6">
        <f t="shared" si="116"/>
        <v>0</v>
      </c>
      <c r="G455" s="60"/>
      <c r="H455" s="60"/>
      <c r="I455" s="6">
        <f>(G455-H455)*'16-PlantAdditions'!$E$103</f>
        <v>0</v>
      </c>
      <c r="J455" s="6">
        <f t="shared" si="117"/>
        <v>0</v>
      </c>
      <c r="K455" s="6">
        <f t="shared" si="118"/>
        <v>0</v>
      </c>
    </row>
    <row r="456" spans="1:11" ht="13">
      <c r="A456" s="2">
        <f t="shared" si="115"/>
        <v>346</v>
      </c>
      <c r="B456" s="349" t="s">
        <v>385</v>
      </c>
      <c r="C456" s="350">
        <v>2022</v>
      </c>
      <c r="D456" s="60"/>
      <c r="E456" s="6">
        <f>D456*'16-PlantAdditions'!$E$103</f>
        <v>0</v>
      </c>
      <c r="F456" s="6">
        <f t="shared" si="116"/>
        <v>0</v>
      </c>
      <c r="G456" s="60"/>
      <c r="H456" s="60"/>
      <c r="I456" s="6">
        <f>(G456-H456)*'16-PlantAdditions'!$E$103</f>
        <v>0</v>
      </c>
      <c r="J456" s="6">
        <f t="shared" si="117"/>
        <v>0</v>
      </c>
      <c r="K456" s="6">
        <f t="shared" si="118"/>
        <v>0</v>
      </c>
    </row>
    <row r="457" spans="1:11" ht="13">
      <c r="A457" s="2">
        <f t="shared" si="115"/>
        <v>347</v>
      </c>
      <c r="B457" s="349" t="s">
        <v>594</v>
      </c>
      <c r="C457" s="350">
        <v>2022</v>
      </c>
      <c r="D457" s="60"/>
      <c r="E457" s="6">
        <f>D457*'16-PlantAdditions'!$E$103</f>
        <v>0</v>
      </c>
      <c r="F457" s="6">
        <f t="shared" si="116"/>
        <v>0</v>
      </c>
      <c r="G457" s="60"/>
      <c r="H457" s="60"/>
      <c r="I457" s="6">
        <f>(G457-H457)*'16-PlantAdditions'!$E$103</f>
        <v>0</v>
      </c>
      <c r="J457" s="6">
        <f t="shared" si="117"/>
        <v>0</v>
      </c>
      <c r="K457" s="6">
        <f t="shared" si="118"/>
        <v>0</v>
      </c>
    </row>
    <row r="458" spans="1:11" ht="13">
      <c r="A458" s="2">
        <f t="shared" si="115"/>
        <v>348</v>
      </c>
      <c r="B458" s="349" t="s">
        <v>387</v>
      </c>
      <c r="C458" s="350">
        <v>2022</v>
      </c>
      <c r="D458" s="60"/>
      <c r="E458" s="6">
        <f>D458*'16-PlantAdditions'!$E$103</f>
        <v>0</v>
      </c>
      <c r="F458" s="6">
        <f t="shared" si="116"/>
        <v>0</v>
      </c>
      <c r="G458" s="60"/>
      <c r="H458" s="60"/>
      <c r="I458" s="6">
        <f>(G458-H458)*'16-PlantAdditions'!$E$103</f>
        <v>0</v>
      </c>
      <c r="J458" s="6">
        <f t="shared" si="117"/>
        <v>0</v>
      </c>
      <c r="K458" s="6">
        <f t="shared" si="118"/>
        <v>0</v>
      </c>
    </row>
    <row r="459" spans="1:11" ht="13">
      <c r="A459" s="2">
        <f t="shared" si="115"/>
        <v>349</v>
      </c>
      <c r="B459" s="349" t="s">
        <v>388</v>
      </c>
      <c r="C459" s="350">
        <v>2022</v>
      </c>
      <c r="D459" s="60"/>
      <c r="E459" s="6">
        <f>D459*'16-PlantAdditions'!$E$103</f>
        <v>0</v>
      </c>
      <c r="F459" s="6">
        <f t="shared" si="116"/>
        <v>0</v>
      </c>
      <c r="G459" s="60"/>
      <c r="H459" s="60"/>
      <c r="I459" s="6">
        <f>(G459-H459)*'16-PlantAdditions'!$E$103</f>
        <v>0</v>
      </c>
      <c r="J459" s="6">
        <f t="shared" si="117"/>
        <v>0</v>
      </c>
      <c r="K459" s="6">
        <f t="shared" si="118"/>
        <v>0</v>
      </c>
    </row>
    <row r="460" spans="1:11" ht="13">
      <c r="A460" s="2">
        <f t="shared" si="115"/>
        <v>350</v>
      </c>
      <c r="B460" s="349" t="s">
        <v>389</v>
      </c>
      <c r="C460" s="350">
        <v>2022</v>
      </c>
      <c r="D460" s="60"/>
      <c r="E460" s="6">
        <f>D460*'16-PlantAdditions'!$E$103</f>
        <v>0</v>
      </c>
      <c r="F460" s="6">
        <f t="shared" si="116"/>
        <v>0</v>
      </c>
      <c r="G460" s="60"/>
      <c r="H460" s="60"/>
      <c r="I460" s="6">
        <f>(G460-H460)*'16-PlantAdditions'!$E$103</f>
        <v>0</v>
      </c>
      <c r="J460" s="6">
        <f t="shared" si="117"/>
        <v>0</v>
      </c>
      <c r="K460" s="6">
        <f t="shared" si="118"/>
        <v>0</v>
      </c>
    </row>
    <row r="461" spans="1:11" ht="13">
      <c r="A461" s="2">
        <f t="shared" si="115"/>
        <v>351</v>
      </c>
      <c r="B461" s="349" t="s">
        <v>390</v>
      </c>
      <c r="C461" s="350">
        <v>2022</v>
      </c>
      <c r="D461" s="60"/>
      <c r="E461" s="6">
        <f>D461*'16-PlantAdditions'!$E$103</f>
        <v>0</v>
      </c>
      <c r="F461" s="6">
        <f t="shared" si="116"/>
        <v>0</v>
      </c>
      <c r="G461" s="60"/>
      <c r="H461" s="60"/>
      <c r="I461" s="6">
        <f>(G461-H461)*'16-PlantAdditions'!$E$103</f>
        <v>0</v>
      </c>
      <c r="J461" s="6">
        <f t="shared" si="117"/>
        <v>0</v>
      </c>
      <c r="K461" s="6">
        <f t="shared" si="118"/>
        <v>0</v>
      </c>
    </row>
    <row r="462" spans="1:11" ht="13">
      <c r="A462" s="2">
        <f t="shared" si="115"/>
        <v>352</v>
      </c>
      <c r="B462" s="349" t="s">
        <v>391</v>
      </c>
      <c r="C462" s="350">
        <v>2022</v>
      </c>
      <c r="D462" s="60"/>
      <c r="E462" s="6">
        <f>D462*'16-PlantAdditions'!$E$103</f>
        <v>0</v>
      </c>
      <c r="F462" s="6">
        <f t="shared" si="116"/>
        <v>0</v>
      </c>
      <c r="G462" s="60"/>
      <c r="H462" s="60"/>
      <c r="I462" s="6">
        <f>(G462-H462)*'16-PlantAdditions'!$E$103</f>
        <v>0</v>
      </c>
      <c r="J462" s="6">
        <f t="shared" si="117"/>
        <v>0</v>
      </c>
      <c r="K462" s="6">
        <f t="shared" si="118"/>
        <v>0</v>
      </c>
    </row>
    <row r="463" spans="1:11" ht="13">
      <c r="A463" s="2">
        <f t="shared" si="115"/>
        <v>353</v>
      </c>
      <c r="B463" s="349" t="s">
        <v>379</v>
      </c>
      <c r="C463" s="350">
        <v>2022</v>
      </c>
      <c r="D463" s="60"/>
      <c r="E463" s="6">
        <f>D463*'16-PlantAdditions'!$E$103</f>
        <v>0</v>
      </c>
      <c r="F463" s="6">
        <f t="shared" si="116"/>
        <v>0</v>
      </c>
      <c r="G463" s="60"/>
      <c r="H463" s="60"/>
      <c r="I463" s="6">
        <f>(G463-H463)*'16-PlantAdditions'!$E$103</f>
        <v>0</v>
      </c>
      <c r="J463" s="6">
        <f t="shared" si="117"/>
        <v>0</v>
      </c>
      <c r="K463" s="6">
        <f t="shared" si="118"/>
        <v>0</v>
      </c>
    </row>
    <row r="464" spans="1:11" ht="13">
      <c r="A464" s="2">
        <f t="shared" si="115"/>
        <v>354</v>
      </c>
      <c r="B464" s="349" t="s">
        <v>381</v>
      </c>
      <c r="C464" s="350">
        <v>2023</v>
      </c>
      <c r="D464" s="60"/>
      <c r="E464" s="6">
        <f>D464*'16-PlantAdditions'!$E$103</f>
        <v>0</v>
      </c>
      <c r="F464" s="6">
        <f t="shared" si="116"/>
        <v>0</v>
      </c>
      <c r="G464" s="60"/>
      <c r="H464" s="60"/>
      <c r="I464" s="6">
        <f>(G464-H464)*'16-PlantAdditions'!$E$103</f>
        <v>0</v>
      </c>
      <c r="J464" s="6">
        <f t="shared" si="117"/>
        <v>0</v>
      </c>
      <c r="K464" s="6">
        <f t="shared" si="118"/>
        <v>0</v>
      </c>
    </row>
    <row r="465" spans="1:11" ht="13">
      <c r="A465" s="2">
        <f t="shared" si="115"/>
        <v>355</v>
      </c>
      <c r="B465" s="349" t="s">
        <v>382</v>
      </c>
      <c r="C465" s="350">
        <v>2023</v>
      </c>
      <c r="D465" s="60"/>
      <c r="E465" s="6">
        <f>D465*'16-PlantAdditions'!$E$103</f>
        <v>0</v>
      </c>
      <c r="F465" s="6">
        <f t="shared" si="116"/>
        <v>0</v>
      </c>
      <c r="G465" s="60"/>
      <c r="H465" s="60"/>
      <c r="I465" s="6">
        <f>(G465-H465)*'16-PlantAdditions'!$E$103</f>
        <v>0</v>
      </c>
      <c r="J465" s="6">
        <f t="shared" si="117"/>
        <v>0</v>
      </c>
      <c r="K465" s="6">
        <f t="shared" si="118"/>
        <v>0</v>
      </c>
    </row>
    <row r="466" spans="1:11" ht="13">
      <c r="A466" s="2">
        <f t="shared" si="115"/>
        <v>356</v>
      </c>
      <c r="B466" s="349" t="s">
        <v>383</v>
      </c>
      <c r="C466" s="350">
        <v>2023</v>
      </c>
      <c r="D466" s="60"/>
      <c r="E466" s="6">
        <f>D466*'16-PlantAdditions'!$E$103</f>
        <v>0</v>
      </c>
      <c r="F466" s="6">
        <f t="shared" si="116"/>
        <v>0</v>
      </c>
      <c r="G466" s="60"/>
      <c r="H466" s="60"/>
      <c r="I466" s="6">
        <f>(G466-H466)*'16-PlantAdditions'!$E$103</f>
        <v>0</v>
      </c>
      <c r="J466" s="6">
        <f t="shared" si="117"/>
        <v>0</v>
      </c>
      <c r="K466" s="6">
        <f t="shared" si="118"/>
        <v>0</v>
      </c>
    </row>
    <row r="467" spans="1:11" ht="13">
      <c r="A467" s="2">
        <f t="shared" si="115"/>
        <v>357</v>
      </c>
      <c r="B467" s="349" t="s">
        <v>384</v>
      </c>
      <c r="C467" s="350">
        <v>2023</v>
      </c>
      <c r="D467" s="60"/>
      <c r="E467" s="6">
        <f>D467*'16-PlantAdditions'!$E$103</f>
        <v>0</v>
      </c>
      <c r="F467" s="6">
        <f t="shared" si="116"/>
        <v>0</v>
      </c>
      <c r="G467" s="60"/>
      <c r="H467" s="60"/>
      <c r="I467" s="6">
        <f>(G467-H467)*'16-PlantAdditions'!$E$103</f>
        <v>0</v>
      </c>
      <c r="J467" s="6">
        <f t="shared" si="117"/>
        <v>0</v>
      </c>
      <c r="K467" s="6">
        <f t="shared" si="118"/>
        <v>0</v>
      </c>
    </row>
    <row r="468" spans="1:11" ht="13">
      <c r="A468" s="2">
        <f t="shared" si="115"/>
        <v>358</v>
      </c>
      <c r="B468" s="349" t="s">
        <v>385</v>
      </c>
      <c r="C468" s="350">
        <v>2023</v>
      </c>
      <c r="D468" s="60"/>
      <c r="E468" s="6">
        <f>D468*'16-PlantAdditions'!$E$103</f>
        <v>0</v>
      </c>
      <c r="F468" s="6">
        <f t="shared" si="116"/>
        <v>0</v>
      </c>
      <c r="G468" s="60"/>
      <c r="H468" s="60"/>
      <c r="I468" s="6">
        <f>(G468-H468)*'16-PlantAdditions'!$E$103</f>
        <v>0</v>
      </c>
      <c r="J468" s="6">
        <f t="shared" si="117"/>
        <v>0</v>
      </c>
      <c r="K468" s="6">
        <f t="shared" si="118"/>
        <v>0</v>
      </c>
    </row>
    <row r="469" spans="1:11" ht="13">
      <c r="A469" s="2">
        <f t="shared" si="115"/>
        <v>359</v>
      </c>
      <c r="B469" s="349" t="s">
        <v>594</v>
      </c>
      <c r="C469" s="350">
        <v>2023</v>
      </c>
      <c r="D469" s="60"/>
      <c r="E469" s="6">
        <f>D469*'16-PlantAdditions'!$E$103</f>
        <v>0</v>
      </c>
      <c r="F469" s="6">
        <f t="shared" si="116"/>
        <v>0</v>
      </c>
      <c r="G469" s="60"/>
      <c r="H469" s="60"/>
      <c r="I469" s="6">
        <f>(G469-H469)*'16-PlantAdditions'!$E$103</f>
        <v>0</v>
      </c>
      <c r="J469" s="6">
        <f t="shared" si="117"/>
        <v>0</v>
      </c>
      <c r="K469" s="6">
        <f t="shared" si="118"/>
        <v>0</v>
      </c>
    </row>
    <row r="470" spans="1:11" ht="13">
      <c r="A470" s="2">
        <f t="shared" si="115"/>
        <v>360</v>
      </c>
      <c r="B470" s="349" t="s">
        <v>387</v>
      </c>
      <c r="C470" s="350">
        <v>2023</v>
      </c>
      <c r="D470" s="60"/>
      <c r="E470" s="6">
        <f>D470*'16-PlantAdditions'!$E$103</f>
        <v>0</v>
      </c>
      <c r="F470" s="6">
        <f t="shared" si="116"/>
        <v>0</v>
      </c>
      <c r="G470" s="60"/>
      <c r="H470" s="60"/>
      <c r="I470" s="6">
        <f>(G470-H470)*'16-PlantAdditions'!$E$103</f>
        <v>0</v>
      </c>
      <c r="J470" s="6">
        <f t="shared" si="117"/>
        <v>0</v>
      </c>
      <c r="K470" s="6">
        <f t="shared" si="118"/>
        <v>0</v>
      </c>
    </row>
    <row r="471" spans="1:11" ht="13">
      <c r="A471" s="2">
        <f t="shared" si="115"/>
        <v>361</v>
      </c>
      <c r="B471" s="349" t="s">
        <v>388</v>
      </c>
      <c r="C471" s="350">
        <v>2023</v>
      </c>
      <c r="D471" s="60"/>
      <c r="E471" s="6">
        <f>D471*'16-PlantAdditions'!$E$103</f>
        <v>0</v>
      </c>
      <c r="F471" s="6">
        <f t="shared" si="116"/>
        <v>0</v>
      </c>
      <c r="G471" s="60"/>
      <c r="H471" s="60"/>
      <c r="I471" s="6">
        <f>(G471-H471)*'16-PlantAdditions'!$E$103</f>
        <v>0</v>
      </c>
      <c r="J471" s="6">
        <f t="shared" si="117"/>
        <v>0</v>
      </c>
      <c r="K471" s="6">
        <f t="shared" si="118"/>
        <v>0</v>
      </c>
    </row>
    <row r="472" spans="1:11" ht="13">
      <c r="A472" s="2">
        <f t="shared" si="115"/>
        <v>362</v>
      </c>
      <c r="B472" s="349" t="s">
        <v>389</v>
      </c>
      <c r="C472" s="350">
        <v>2023</v>
      </c>
      <c r="D472" s="60"/>
      <c r="E472" s="6">
        <f>D472*'16-PlantAdditions'!$E$103</f>
        <v>0</v>
      </c>
      <c r="F472" s="6">
        <f t="shared" si="116"/>
        <v>0</v>
      </c>
      <c r="G472" s="60"/>
      <c r="H472" s="60"/>
      <c r="I472" s="6">
        <f>(G472-H472)*'16-PlantAdditions'!$E$103</f>
        <v>0</v>
      </c>
      <c r="J472" s="6">
        <f t="shared" si="117"/>
        <v>0</v>
      </c>
      <c r="K472" s="6">
        <f t="shared" si="118"/>
        <v>0</v>
      </c>
    </row>
    <row r="473" spans="1:11" ht="13">
      <c r="A473" s="2">
        <f t="shared" si="115"/>
        <v>363</v>
      </c>
      <c r="B473" s="349" t="s">
        <v>390</v>
      </c>
      <c r="C473" s="350">
        <v>2023</v>
      </c>
      <c r="D473" s="60"/>
      <c r="E473" s="6">
        <f>D473*'16-PlantAdditions'!$E$103</f>
        <v>0</v>
      </c>
      <c r="F473" s="6">
        <f t="shared" si="116"/>
        <v>0</v>
      </c>
      <c r="G473" s="60"/>
      <c r="H473" s="60"/>
      <c r="I473" s="6">
        <f>(G473-H473)*'16-PlantAdditions'!$E$103</f>
        <v>0</v>
      </c>
      <c r="J473" s="6">
        <f t="shared" si="117"/>
        <v>0</v>
      </c>
      <c r="K473" s="6">
        <f t="shared" si="118"/>
        <v>0</v>
      </c>
    </row>
    <row r="474" spans="1:11" ht="13">
      <c r="A474" s="2">
        <f t="shared" si="115"/>
        <v>364</v>
      </c>
      <c r="B474" s="349" t="s">
        <v>391</v>
      </c>
      <c r="C474" s="350">
        <v>2023</v>
      </c>
      <c r="D474" s="60"/>
      <c r="E474" s="6">
        <f>D474*'16-PlantAdditions'!$E$103</f>
        <v>0</v>
      </c>
      <c r="F474" s="6">
        <f t="shared" si="116"/>
        <v>0</v>
      </c>
      <c r="G474" s="60"/>
      <c r="H474" s="60"/>
      <c r="I474" s="6">
        <f>(G474-H474)*'16-PlantAdditions'!$E$103</f>
        <v>0</v>
      </c>
      <c r="J474" s="6">
        <f t="shared" si="117"/>
        <v>0</v>
      </c>
      <c r="K474" s="6">
        <f t="shared" si="118"/>
        <v>0</v>
      </c>
    </row>
    <row r="475" spans="1:11" ht="13">
      <c r="A475" s="2">
        <f t="shared" si="115"/>
        <v>365</v>
      </c>
      <c r="B475" s="349" t="s">
        <v>379</v>
      </c>
      <c r="C475" s="350">
        <v>2023</v>
      </c>
      <c r="D475" s="60"/>
      <c r="E475" s="6">
        <f>D475*'16-PlantAdditions'!$E$103</f>
        <v>0</v>
      </c>
      <c r="F475" s="6">
        <f t="shared" si="116"/>
        <v>0</v>
      </c>
      <c r="G475" s="60"/>
      <c r="H475" s="60"/>
      <c r="I475" s="6">
        <f>(G475-H475)*'16-PlantAdditions'!$E$103</f>
        <v>0</v>
      </c>
      <c r="J475" s="6">
        <f t="shared" si="117"/>
        <v>0</v>
      </c>
      <c r="K475" s="53">
        <f t="shared" si="118"/>
        <v>0</v>
      </c>
    </row>
    <row r="476" spans="1:11" ht="13">
      <c r="A476" s="2">
        <f t="shared" si="115"/>
        <v>366</v>
      </c>
      <c r="C476" s="371" t="s">
        <v>999</v>
      </c>
      <c r="H476" s="257"/>
      <c r="I476" s="257"/>
      <c r="K476" s="42">
        <f>AVERAGE(K463:K475)</f>
        <v>0</v>
      </c>
    </row>
    <row r="477" spans="1:11" ht="13">
      <c r="B477" s="354" t="s">
        <v>228</v>
      </c>
    </row>
    <row r="478" spans="1:11">
      <c r="B478" s="349" t="s">
        <v>1027</v>
      </c>
    </row>
    <row r="479" spans="1:11">
      <c r="B479" s="349" t="s">
        <v>1028</v>
      </c>
    </row>
    <row r="481" spans="2:2" ht="13">
      <c r="B481" s="1" t="s">
        <v>433</v>
      </c>
    </row>
    <row r="482" spans="2:2">
      <c r="B482" s="251" t="s">
        <v>1029</v>
      </c>
    </row>
    <row r="483" spans="2:2">
      <c r="B483" s="251" t="s">
        <v>1030</v>
      </c>
    </row>
    <row r="484" spans="2:2">
      <c r="B484" s="251" t="s">
        <v>1031</v>
      </c>
    </row>
  </sheetData>
  <mergeCells count="12">
    <mergeCell ref="D247:E247"/>
    <mergeCell ref="D379:E379"/>
    <mergeCell ref="D82:E82"/>
    <mergeCell ref="D115:E115"/>
    <mergeCell ref="D148:E148"/>
    <mergeCell ref="D181:E181"/>
    <mergeCell ref="D214:E214"/>
    <mergeCell ref="D412:E412"/>
    <mergeCell ref="F379:G379"/>
    <mergeCell ref="D280:E280"/>
    <mergeCell ref="D313:E313"/>
    <mergeCell ref="D346:E346"/>
  </mergeCells>
  <pageMargins left="0.7" right="0.7" top="0.75" bottom="0.75" header="0.3" footer="0.3"/>
  <pageSetup scale="50" fitToHeight="0" orientation="landscape" cellComments="asDisplayed" r:id="rId1"/>
  <headerFooter>
    <oddHeader>&amp;CSchedule 10
CWIP
&amp;RTO2023 Draft Annual Update 
Attachment 1</oddHeader>
    <oddFooter>&amp;R&amp;A</oddFooter>
  </headerFooter>
  <rowBreaks count="7" manualBreakCount="7">
    <brk id="47" max="16383" man="1"/>
    <brk id="113" max="10" man="1"/>
    <brk id="179" max="10" man="1"/>
    <brk id="245" max="10" man="1"/>
    <brk id="311" max="10" man="1"/>
    <brk id="377" max="10" man="1"/>
    <brk id="44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election activeCell="E48" sqref="E48"/>
    </sheetView>
  </sheetViews>
  <sheetFormatPr defaultRowHeight="12.5"/>
  <cols>
    <col min="1" max="1" width="4.54296875" customWidth="1"/>
    <col min="2" max="2" width="22.54296875" customWidth="1"/>
    <col min="3" max="3" width="9.7265625" customWidth="1"/>
    <col min="4" max="5" width="25.54296875" customWidth="1"/>
    <col min="6" max="6" width="22.54296875" customWidth="1"/>
  </cols>
  <sheetData>
    <row r="1" spans="1:6" ht="13">
      <c r="A1" s="9" t="s">
        <v>1032</v>
      </c>
      <c r="B1" s="64"/>
      <c r="C1" s="10"/>
      <c r="D1" s="10"/>
      <c r="E1" s="10"/>
      <c r="F1" s="10"/>
    </row>
    <row r="2" spans="1:6" ht="13">
      <c r="A2" s="65"/>
      <c r="C2" s="66"/>
      <c r="D2" s="66"/>
      <c r="F2" s="27" t="s">
        <v>635</v>
      </c>
    </row>
    <row r="3" spans="1:6" ht="13">
      <c r="A3" s="65"/>
      <c r="B3" s="251" t="s">
        <v>1033</v>
      </c>
      <c r="C3" s="66"/>
      <c r="D3" s="66"/>
      <c r="E3" s="66"/>
    </row>
    <row r="4" spans="1:6" ht="13">
      <c r="A4" s="65"/>
      <c r="B4" s="251" t="s">
        <v>1034</v>
      </c>
      <c r="C4" s="66"/>
      <c r="D4" s="66"/>
      <c r="E4" s="66"/>
    </row>
    <row r="5" spans="1:6" ht="13">
      <c r="A5" s="65"/>
      <c r="B5" s="251" t="s">
        <v>1035</v>
      </c>
      <c r="C5" s="66"/>
      <c r="D5" s="66"/>
      <c r="E5" s="66"/>
    </row>
    <row r="6" spans="1:6" ht="13">
      <c r="A6" s="65"/>
    </row>
    <row r="7" spans="1:6" ht="13">
      <c r="A7" s="30" t="s">
        <v>273</v>
      </c>
      <c r="C7" s="66"/>
      <c r="D7" s="3" t="s">
        <v>1036</v>
      </c>
      <c r="E7" s="3" t="s">
        <v>1037</v>
      </c>
      <c r="F7" s="3" t="s">
        <v>652</v>
      </c>
    </row>
    <row r="8" spans="1:6" ht="13">
      <c r="A8" s="2">
        <v>1</v>
      </c>
      <c r="B8" s="251" t="s">
        <v>1038</v>
      </c>
      <c r="D8" s="5">
        <v>30786584</v>
      </c>
      <c r="E8" s="5">
        <v>21304971</v>
      </c>
      <c r="F8" s="250" t="s">
        <v>1039</v>
      </c>
    </row>
    <row r="9" spans="1:6" ht="13">
      <c r="A9" s="2"/>
      <c r="B9" s="251"/>
      <c r="E9" s="251"/>
    </row>
    <row r="10" spans="1:6" ht="13">
      <c r="A10" s="2"/>
      <c r="B10" s="251" t="s">
        <v>1040</v>
      </c>
      <c r="E10" s="251"/>
    </row>
    <row r="11" spans="1:6" ht="13">
      <c r="A11" s="2"/>
      <c r="B11" s="251"/>
      <c r="E11" s="251"/>
    </row>
    <row r="12" spans="1:6" ht="13">
      <c r="A12" s="2"/>
      <c r="B12" s="48" t="s">
        <v>336</v>
      </c>
      <c r="C12" s="48" t="s">
        <v>337</v>
      </c>
      <c r="D12" s="48" t="s">
        <v>338</v>
      </c>
      <c r="E12" s="48" t="s">
        <v>339</v>
      </c>
      <c r="F12" s="48" t="s">
        <v>340</v>
      </c>
    </row>
    <row r="13" spans="1:6" ht="13">
      <c r="A13" s="2"/>
      <c r="B13" s="251"/>
      <c r="C13" s="2" t="s">
        <v>1041</v>
      </c>
      <c r="E13" s="251"/>
    </row>
    <row r="14" spans="1:6" ht="13">
      <c r="A14" s="2"/>
      <c r="B14" s="30" t="s">
        <v>814</v>
      </c>
      <c r="C14" s="3" t="s">
        <v>1042</v>
      </c>
      <c r="D14" s="3" t="s">
        <v>1036</v>
      </c>
      <c r="E14" s="3" t="s">
        <v>1037</v>
      </c>
      <c r="F14" s="3" t="s">
        <v>652</v>
      </c>
    </row>
    <row r="15" spans="1:6" ht="13">
      <c r="A15" s="2" t="s">
        <v>549</v>
      </c>
      <c r="B15" s="258" t="s">
        <v>980</v>
      </c>
      <c r="C15" s="55" t="s">
        <v>710</v>
      </c>
      <c r="D15" s="5">
        <v>9942155</v>
      </c>
      <c r="E15" s="60">
        <v>6392187.2700000005</v>
      </c>
      <c r="F15" s="55" t="s">
        <v>2959</v>
      </c>
    </row>
    <row r="16" spans="1:6" ht="13">
      <c r="A16" s="2" t="s">
        <v>1043</v>
      </c>
      <c r="B16" s="258"/>
      <c r="C16" s="55"/>
      <c r="D16" s="5"/>
      <c r="E16" s="5"/>
      <c r="F16" s="55"/>
    </row>
    <row r="17" spans="1:6" ht="13">
      <c r="A17" s="2" t="s">
        <v>1044</v>
      </c>
      <c r="B17" s="258"/>
      <c r="C17" s="55"/>
      <c r="D17" s="5"/>
      <c r="E17" s="5"/>
      <c r="F17" s="55"/>
    </row>
    <row r="18" spans="1:6" ht="13">
      <c r="A18" s="2" t="s">
        <v>1045</v>
      </c>
      <c r="B18" s="258"/>
      <c r="C18" s="55"/>
      <c r="D18" s="5"/>
      <c r="E18" s="5"/>
      <c r="F18" s="55"/>
    </row>
    <row r="19" spans="1:6" ht="13">
      <c r="A19" s="2" t="s">
        <v>1046</v>
      </c>
      <c r="B19" s="258"/>
      <c r="C19" s="55"/>
      <c r="D19" s="5"/>
      <c r="E19" s="5"/>
      <c r="F19" s="55"/>
    </row>
    <row r="20" spans="1:6" ht="13">
      <c r="A20" s="2" t="s">
        <v>1047</v>
      </c>
      <c r="B20" s="258"/>
      <c r="C20" s="55"/>
      <c r="D20" s="5"/>
      <c r="E20" s="5"/>
      <c r="F20" s="55"/>
    </row>
    <row r="21" spans="1:6" ht="13">
      <c r="A21" s="2" t="s">
        <v>1048</v>
      </c>
      <c r="B21" s="258"/>
      <c r="C21" s="55"/>
      <c r="D21" s="5"/>
      <c r="E21" s="5"/>
      <c r="F21" s="55"/>
    </row>
    <row r="22" spans="1:6" ht="13">
      <c r="A22" s="2" t="s">
        <v>1049</v>
      </c>
      <c r="B22" s="258"/>
      <c r="C22" s="55"/>
      <c r="D22" s="5"/>
      <c r="E22" s="5"/>
      <c r="F22" s="55"/>
    </row>
    <row r="23" spans="1:6" ht="13">
      <c r="A23" s="2"/>
      <c r="B23" s="213" t="s">
        <v>823</v>
      </c>
      <c r="C23" s="55"/>
      <c r="D23" s="971"/>
      <c r="E23" s="971"/>
      <c r="F23" s="55"/>
    </row>
    <row r="24" spans="1:6" ht="13">
      <c r="A24" s="2">
        <v>3</v>
      </c>
      <c r="C24" s="251" t="s">
        <v>409</v>
      </c>
      <c r="D24" s="6">
        <f>SUM(D15:D22)</f>
        <v>9942155</v>
      </c>
      <c r="E24" s="6">
        <f>SUM(E15:E22)</f>
        <v>6392187.2700000005</v>
      </c>
      <c r="F24" s="250" t="s">
        <v>1050</v>
      </c>
    </row>
    <row r="25" spans="1:6">
      <c r="C25" s="251"/>
    </row>
    <row r="26" spans="1:6" ht="13">
      <c r="C26" s="251"/>
      <c r="D26" s="3" t="s">
        <v>1036</v>
      </c>
      <c r="E26" s="3" t="s">
        <v>1037</v>
      </c>
      <c r="F26" s="3" t="s">
        <v>652</v>
      </c>
    </row>
    <row r="27" spans="1:6" ht="13">
      <c r="A27" s="2">
        <v>4</v>
      </c>
      <c r="B27" s="251" t="s">
        <v>1051</v>
      </c>
      <c r="C27" s="251"/>
      <c r="D27" s="5">
        <v>0</v>
      </c>
      <c r="E27" s="5">
        <v>0</v>
      </c>
      <c r="F27" s="250" t="s">
        <v>1052</v>
      </c>
    </row>
    <row r="28" spans="1:6" ht="13">
      <c r="A28" s="4" t="s">
        <v>1053</v>
      </c>
      <c r="B28" s="251"/>
      <c r="C28" s="251"/>
      <c r="D28" s="251"/>
      <c r="E28" s="249" t="s">
        <v>1054</v>
      </c>
      <c r="F28" s="282" t="s">
        <v>445</v>
      </c>
    </row>
    <row r="29" spans="1:6" ht="13">
      <c r="A29" s="2">
        <v>5</v>
      </c>
      <c r="B29" s="251" t="s">
        <v>1055</v>
      </c>
      <c r="D29" s="958">
        <f>'27-Allocators'!G15</f>
        <v>6.2174818554839952E-2</v>
      </c>
      <c r="E29" s="958">
        <f>'27-Allocators'!G15</f>
        <v>6.2174818554839952E-2</v>
      </c>
      <c r="F29" s="250" t="str">
        <f>"27-Allocators, L "&amp;'27-Allocators'!A15&amp;""</f>
        <v>27-Allocators, L 9</v>
      </c>
    </row>
    <row r="30" spans="1:6" ht="13">
      <c r="A30" s="2">
        <v>6</v>
      </c>
      <c r="B30" s="251" t="s">
        <v>1056</v>
      </c>
      <c r="C30" s="251"/>
      <c r="D30" s="6">
        <f>D27*D29</f>
        <v>0</v>
      </c>
      <c r="E30" s="6">
        <f>E27*E29</f>
        <v>0</v>
      </c>
      <c r="F30" s="250" t="str">
        <f>"L "&amp;A27&amp;" * L "&amp;A29&amp;""</f>
        <v>L 4 * L 5</v>
      </c>
    </row>
    <row r="31" spans="1:6">
      <c r="C31" s="251"/>
    </row>
    <row r="32" spans="1:6">
      <c r="B32" s="251" t="s">
        <v>1057</v>
      </c>
    </row>
    <row r="33" spans="1:6">
      <c r="C33" s="22"/>
      <c r="D33" s="972"/>
      <c r="E33" s="23"/>
    </row>
    <row r="34" spans="1:6" ht="13">
      <c r="D34" s="3" t="s">
        <v>1036</v>
      </c>
      <c r="E34" s="3" t="s">
        <v>1037</v>
      </c>
      <c r="F34" s="3" t="s">
        <v>652</v>
      </c>
    </row>
    <row r="35" spans="1:6" ht="13">
      <c r="A35" s="2">
        <v>7</v>
      </c>
      <c r="C35" s="251"/>
      <c r="D35" s="5">
        <v>20844429</v>
      </c>
      <c r="E35" s="5">
        <v>14912783.73</v>
      </c>
      <c r="F35" s="250" t="s">
        <v>144</v>
      </c>
    </row>
    <row r="38" spans="1:6" ht="13">
      <c r="B38" s="251" t="s">
        <v>1058</v>
      </c>
      <c r="D38" s="3" t="s">
        <v>1036</v>
      </c>
      <c r="E38" s="3" t="s">
        <v>1037</v>
      </c>
      <c r="F38" s="3" t="s">
        <v>652</v>
      </c>
    </row>
    <row r="39" spans="1:6" ht="13">
      <c r="A39" s="2">
        <v>8</v>
      </c>
      <c r="D39" s="253">
        <f>D24+D30</f>
        <v>9942155</v>
      </c>
      <c r="E39" s="253">
        <f>E24+E30</f>
        <v>6392187.2700000005</v>
      </c>
      <c r="F39" s="250" t="str">
        <f>"L "&amp;A24&amp;" + L "&amp;A30&amp;""</f>
        <v>L 3 + L 6</v>
      </c>
    </row>
    <row r="40" spans="1:6" ht="13">
      <c r="A40" s="2"/>
      <c r="D40" s="253"/>
      <c r="E40" s="253"/>
      <c r="F40" s="250"/>
    </row>
    <row r="41" spans="1:6">
      <c r="B41" t="s">
        <v>1059</v>
      </c>
    </row>
    <row r="42" spans="1:6" ht="13">
      <c r="A42" s="2">
        <v>9</v>
      </c>
      <c r="B42" s="251" t="s">
        <v>1058</v>
      </c>
      <c r="D42" s="253">
        <f>(D39+E39)/2</f>
        <v>8167171.1349999998</v>
      </c>
      <c r="E42" s="253"/>
      <c r="F42" s="250" t="str">
        <f>"Sum of Line "&amp;A39&amp;" / 2"</f>
        <v>Sum of Line 8 / 2</v>
      </c>
    </row>
    <row r="43" spans="1:6">
      <c r="B43" s="251"/>
    </row>
    <row r="44" spans="1:6" ht="13">
      <c r="B44" s="1" t="s">
        <v>1060</v>
      </c>
      <c r="C44" s="251"/>
    </row>
    <row r="45" spans="1:6">
      <c r="C45" s="251"/>
    </row>
    <row r="46" spans="1:6" ht="13">
      <c r="A46" s="2"/>
      <c r="F46" s="3" t="s">
        <v>652</v>
      </c>
    </row>
    <row r="47" spans="1:6" ht="13">
      <c r="A47" s="2">
        <v>10</v>
      </c>
      <c r="B47" s="251" t="s">
        <v>1061</v>
      </c>
      <c r="E47" s="555">
        <v>0</v>
      </c>
      <c r="F47" s="250" t="s">
        <v>895</v>
      </c>
    </row>
    <row r="50" spans="2:2" ht="13">
      <c r="B50" s="1" t="s">
        <v>433</v>
      </c>
    </row>
    <row r="51" spans="2:2">
      <c r="B51" s="251" t="s">
        <v>1062</v>
      </c>
    </row>
    <row r="52" spans="2:2">
      <c r="B52" s="251" t="s">
        <v>1063</v>
      </c>
    </row>
    <row r="53" spans="2:2">
      <c r="B53" s="251" t="s">
        <v>1064</v>
      </c>
    </row>
    <row r="54" spans="2:2">
      <c r="B54" s="251" t="s">
        <v>1065</v>
      </c>
    </row>
    <row r="55" spans="2:2">
      <c r="B55" s="251" t="str">
        <f>"2) For any Electric Plant Held for Future Use classified as General note amount on Line "&amp;A27&amp;"."</f>
        <v>2) For any Electric Plant Held for Future Use classified as General note amount on Line 4.</v>
      </c>
    </row>
    <row r="56" spans="2:2">
      <c r="B56" s="251" t="s">
        <v>1066</v>
      </c>
    </row>
    <row r="57" spans="2:2">
      <c r="B57" s="251" t="s">
        <v>1067</v>
      </c>
    </row>
    <row r="58" spans="2:2">
      <c r="B58" s="251" t="s">
        <v>1068</v>
      </c>
    </row>
    <row r="59" spans="2:2">
      <c r="B59" s="251" t="s">
        <v>1069</v>
      </c>
    </row>
    <row r="60" spans="2:2">
      <c r="B60" s="251"/>
    </row>
    <row r="61" spans="2:2" ht="13">
      <c r="B61" s="1" t="s">
        <v>228</v>
      </c>
    </row>
    <row r="62" spans="2:2">
      <c r="B62" s="251" t="s">
        <v>1070</v>
      </c>
    </row>
  </sheetData>
  <pageMargins left="0.7" right="0.7" top="0.75" bottom="0.75" header="0.3" footer="0.3"/>
  <pageSetup scale="80" orientation="portrait" cellComments="asDisplayed" r:id="rId1"/>
  <headerFooter>
    <oddHeader>&amp;CSchedule 11
Plant Held for Future Use
&amp;RTO2023 Draft Annual Update 
Attachment 1</oddHead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56"/>
  <sheetViews>
    <sheetView zoomScaleNormal="100" workbookViewId="0"/>
  </sheetViews>
  <sheetFormatPr defaultRowHeight="12.5"/>
  <cols>
    <col min="1" max="1" width="4.54296875" customWidth="1"/>
    <col min="2" max="2" width="5.54296875" customWidth="1"/>
    <col min="3" max="10" width="12.54296875" customWidth="1"/>
    <col min="12" max="12" width="9.453125"/>
  </cols>
  <sheetData>
    <row r="1" spans="1:10" ht="13">
      <c r="A1" s="1" t="s">
        <v>1071</v>
      </c>
    </row>
    <row r="2" spans="1:10">
      <c r="I2" s="282" t="s">
        <v>1072</v>
      </c>
      <c r="J2" s="282"/>
    </row>
    <row r="3" spans="1:10">
      <c r="B3" t="s">
        <v>1073</v>
      </c>
    </row>
    <row r="5" spans="1:10">
      <c r="B5" t="s">
        <v>1074</v>
      </c>
    </row>
    <row r="6" spans="1:10">
      <c r="B6" t="s">
        <v>1075</v>
      </c>
    </row>
    <row r="7" spans="1:10">
      <c r="F7" s="28" t="s">
        <v>1076</v>
      </c>
      <c r="H7" s="28" t="s">
        <v>1077</v>
      </c>
    </row>
    <row r="8" spans="1:10">
      <c r="B8" t="s">
        <v>1078</v>
      </c>
      <c r="F8" s="258"/>
      <c r="G8" s="55"/>
      <c r="H8" s="258"/>
      <c r="I8" s="55"/>
      <c r="J8" s="55"/>
    </row>
    <row r="9" spans="1:10">
      <c r="F9" s="258"/>
      <c r="G9" s="55"/>
      <c r="H9" s="55"/>
      <c r="I9" s="55"/>
      <c r="J9" s="55"/>
    </row>
    <row r="10" spans="1:10">
      <c r="F10" s="31" t="s">
        <v>823</v>
      </c>
      <c r="H10" s="31" t="s">
        <v>823</v>
      </c>
    </row>
    <row r="12" spans="1:10">
      <c r="B12" s="251" t="s">
        <v>1079</v>
      </c>
    </row>
    <row r="13" spans="1:10">
      <c r="B13" s="251"/>
    </row>
    <row r="14" spans="1:10">
      <c r="B14" s="251" t="s">
        <v>1080</v>
      </c>
    </row>
    <row r="15" spans="1:10">
      <c r="B15" s="251" t="s">
        <v>1081</v>
      </c>
    </row>
    <row r="16" spans="1:10" ht="13">
      <c r="B16" s="251"/>
      <c r="G16" s="2" t="s">
        <v>1082</v>
      </c>
    </row>
    <row r="17" spans="1:10" ht="13">
      <c r="A17" s="30" t="s">
        <v>273</v>
      </c>
      <c r="G17" s="3" t="s">
        <v>860</v>
      </c>
      <c r="I17" s="30" t="s">
        <v>407</v>
      </c>
    </row>
    <row r="18" spans="1:10" ht="13">
      <c r="A18" s="2">
        <v>1</v>
      </c>
      <c r="F18" s="25" t="s">
        <v>1083</v>
      </c>
      <c r="G18" s="6">
        <f>SUM(IF(B31='1-BaseTRR'!$K$4,E31+I31,0),IF(B32='1-BaseTRR'!$K$4,E32+I32,0),IF(B33='1-BaseTRR'!$K$4,E33+I33,0),IF(B34='1-BaseTRR'!$K$4,E34+I34,0),IF(B35='1-BaseTRR'!$K$4,E35+I35,0),IF(B36='1-BaseTRR'!$K$4,E36+I36,0),IF(B37='1-BaseTRR'!$K$4,E37+I37,0),IF(B38='1-BaseTRR'!$K$4,E38+I38,0),IF(B39='1-BaseTRR'!$K$4,E39+I39,0),IF(B40='1-BaseTRR'!$K$4,E40+I40,0),IF(B41='1-BaseTRR'!$K$4,E41+I41,0))</f>
        <v>0</v>
      </c>
      <c r="I18" s="251" t="s">
        <v>1084</v>
      </c>
    </row>
    <row r="19" spans="1:10" ht="13">
      <c r="A19" s="2">
        <v>2</v>
      </c>
      <c r="F19" s="249" t="s">
        <v>1085</v>
      </c>
      <c r="G19" s="6">
        <f>SUM(IF(B31='1-BaseTRR'!$K$4-1,C31+G31,0),IF(B32='1-BaseTRR'!$K$4-1,C32+G32,0),IF(B33='1-BaseTRR'!$K$4-1,C33+G33,0),IF(B34='1-BaseTRR'!$K$4-1,C34+G34,0),IF(B35='1-BaseTRR'!$K$4-1,C35+G35,0),IF(B36='1-BaseTRR'!$K$4-1,C36+G36,0),IF(B37='1-BaseTRR'!$K$4-1,C37+G37,0),IF(B38='1-BaseTRR'!$K$4-1,C38+G38,0),IF(B39='1-BaseTRR'!$K$4-1,C39+G39,0),IF(B40='1-BaseTRR'!$K$4-1,C40+G40,0),IF(B41='1-BaseTRR'!$K$4-1,C41+G41,0))</f>
        <v>0</v>
      </c>
      <c r="I19" s="251" t="s">
        <v>1084</v>
      </c>
    </row>
    <row r="20" spans="1:10" ht="13">
      <c r="A20" s="2">
        <v>3</v>
      </c>
      <c r="F20" s="25" t="s">
        <v>1086</v>
      </c>
      <c r="G20" s="6">
        <f>SUM(IF(B31='1-BaseTRR'!$K$4,C31+G31,0),IF(B32='1-BaseTRR'!$K$4,C32+G32,0),IF(B33='1-BaseTRR'!$K$4,C33+G33,0),IF(B34='1-BaseTRR'!$K$4,C34+G34,0),IF(B35='1-BaseTRR'!$K$4,C35+G35,0),IF(B36='1-BaseTRR'!$K$4,C36+G36,0),IF(B37='1-BaseTRR'!$K$4,C37+G37,0),IF(B38='1-BaseTRR'!$K$4,C38+G38,0),IF(B39='1-BaseTRR'!$K$4,C39+G39,0),IF(B40='1-BaseTRR'!$K$4,C40+G40,0),IF(B41='1-BaseTRR'!$K$4,C41+G41,0))</f>
        <v>0</v>
      </c>
      <c r="I20" s="251" t="s">
        <v>1084</v>
      </c>
    </row>
    <row r="21" spans="1:10" ht="13">
      <c r="A21" s="2">
        <v>4</v>
      </c>
      <c r="F21" s="25" t="s">
        <v>1087</v>
      </c>
      <c r="G21" s="6">
        <f>(G19+G20)/2</f>
        <v>0</v>
      </c>
      <c r="I21" s="251" t="str">
        <f>"Average of Lines "&amp;A19&amp;" and "&amp;A20&amp;"."</f>
        <v>Average of Lines 2 and 3.</v>
      </c>
    </row>
    <row r="22" spans="1:10" ht="13">
      <c r="A22" s="2">
        <v>5</v>
      </c>
      <c r="E22" s="251"/>
      <c r="F22" s="249" t="s">
        <v>1088</v>
      </c>
      <c r="G22" s="6">
        <f>SUM(IF(B31='1-BaseTRR'!$K$4-1,D31+H31,0),IF(B32='1-BaseTRR'!$K$4-1,D32+H32,0),IF(B33='1-BaseTRR'!$K$4-1,D33+H33,0),IF(B34='1-BaseTRR'!$K$4-1,D34+H34,0),IF(B35='1-BaseTRR'!$K$4-1,D35+H35,0),IF(B36='1-BaseTRR'!$K$4-1,D36+H36,0),IF(B37='1-BaseTRR'!$K$4-1,D37+H37,0),IF(B38='1-BaseTRR'!$K$4-1,D38+H38,0),IF(B39='1-BaseTRR'!$K$4-1,D39+H39,0),IF(B40='1-BaseTRR'!$K$4-1,D40+H40,0),IF(B41='1-BaseTRR'!$K$4-1,D41+H41,0))</f>
        <v>0</v>
      </c>
      <c r="H22" s="251"/>
      <c r="I22" s="251" t="s">
        <v>1084</v>
      </c>
      <c r="J22" s="251"/>
    </row>
    <row r="23" spans="1:10">
      <c r="I23" s="251"/>
    </row>
    <row r="25" spans="1:10" ht="13">
      <c r="A25" s="2">
        <v>6</v>
      </c>
      <c r="C25" s="1" t="s">
        <v>1089</v>
      </c>
      <c r="D25" s="258" t="s">
        <v>1090</v>
      </c>
      <c r="G25" s="86" t="s">
        <v>1091</v>
      </c>
      <c r="H25" s="258" t="s">
        <v>1090</v>
      </c>
      <c r="I25" s="86"/>
      <c r="J25" s="251"/>
    </row>
    <row r="26" spans="1:10" ht="13">
      <c r="A26" s="2"/>
      <c r="C26" s="1"/>
      <c r="D26" s="251"/>
      <c r="G26" s="86"/>
      <c r="H26" s="251"/>
      <c r="I26" s="86"/>
      <c r="J26" s="251"/>
    </row>
    <row r="27" spans="1:10" ht="13">
      <c r="D27" s="2" t="s">
        <v>1092</v>
      </c>
      <c r="E27" s="2" t="s">
        <v>1093</v>
      </c>
      <c r="H27" s="2" t="s">
        <v>1092</v>
      </c>
      <c r="I27" s="2" t="s">
        <v>1093</v>
      </c>
      <c r="J27" s="2"/>
    </row>
    <row r="28" spans="1:10" ht="13">
      <c r="C28" s="2" t="s">
        <v>1094</v>
      </c>
      <c r="D28" s="2" t="s">
        <v>1093</v>
      </c>
      <c r="E28" s="2" t="s">
        <v>660</v>
      </c>
      <c r="G28" s="2" t="s">
        <v>1094</v>
      </c>
      <c r="H28" s="2" t="s">
        <v>1093</v>
      </c>
      <c r="I28" s="2" t="s">
        <v>660</v>
      </c>
      <c r="J28" s="2"/>
    </row>
    <row r="29" spans="1:10" ht="13">
      <c r="C29" s="2" t="s">
        <v>1093</v>
      </c>
      <c r="D29" s="2" t="s">
        <v>660</v>
      </c>
      <c r="E29" s="2" t="s">
        <v>1095</v>
      </c>
      <c r="G29" s="2" t="s">
        <v>1093</v>
      </c>
      <c r="H29" s="2" t="s">
        <v>660</v>
      </c>
      <c r="I29" s="2" t="s">
        <v>1095</v>
      </c>
      <c r="J29" s="2"/>
    </row>
    <row r="30" spans="1:10" ht="13">
      <c r="A30" s="2"/>
      <c r="B30" s="3" t="s">
        <v>372</v>
      </c>
      <c r="C30" s="3" t="s">
        <v>660</v>
      </c>
      <c r="D30" s="3" t="s">
        <v>1096</v>
      </c>
      <c r="E30" s="3" t="s">
        <v>1097</v>
      </c>
      <c r="G30" s="3" t="s">
        <v>660</v>
      </c>
      <c r="H30" s="3" t="s">
        <v>1096</v>
      </c>
      <c r="I30" s="3" t="s">
        <v>1097</v>
      </c>
      <c r="J30" s="3"/>
    </row>
    <row r="31" spans="1:10" ht="13">
      <c r="A31" s="2">
        <v>7</v>
      </c>
      <c r="B31">
        <v>2015</v>
      </c>
      <c r="C31" s="586"/>
      <c r="D31" s="586"/>
      <c r="E31" s="586"/>
      <c r="G31" s="55"/>
      <c r="H31" s="55"/>
      <c r="I31" s="55"/>
    </row>
    <row r="32" spans="1:10" ht="13">
      <c r="A32" s="2">
        <v>8</v>
      </c>
      <c r="B32">
        <v>2016</v>
      </c>
      <c r="C32" s="586"/>
      <c r="D32" s="586"/>
      <c r="E32" s="586"/>
      <c r="G32" s="55"/>
      <c r="H32" s="55"/>
      <c r="I32" s="55"/>
    </row>
    <row r="33" spans="1:9" ht="13">
      <c r="A33" s="2">
        <v>9</v>
      </c>
      <c r="B33">
        <v>2017</v>
      </c>
      <c r="C33" s="55"/>
      <c r="D33" s="55"/>
      <c r="E33" s="55"/>
      <c r="G33" s="55"/>
      <c r="H33" s="55"/>
      <c r="I33" s="55"/>
    </row>
    <row r="34" spans="1:9" ht="13">
      <c r="A34" s="2">
        <v>10</v>
      </c>
      <c r="B34">
        <v>2018</v>
      </c>
      <c r="C34" s="55"/>
      <c r="D34" s="55"/>
      <c r="E34" s="55"/>
      <c r="G34" s="55"/>
      <c r="H34" s="55"/>
      <c r="I34" s="55"/>
    </row>
    <row r="35" spans="1:9" ht="13">
      <c r="A35" s="2">
        <v>11</v>
      </c>
      <c r="B35">
        <v>2019</v>
      </c>
      <c r="C35" s="55"/>
      <c r="D35" s="55"/>
      <c r="E35" s="55"/>
      <c r="G35" s="55"/>
      <c r="H35" s="55"/>
      <c r="I35" s="55"/>
    </row>
    <row r="36" spans="1:9" ht="13">
      <c r="A36" s="2">
        <v>12</v>
      </c>
      <c r="B36">
        <v>2020</v>
      </c>
      <c r="C36" s="55"/>
      <c r="D36" s="55"/>
      <c r="E36" s="55"/>
      <c r="G36" s="55"/>
      <c r="H36" s="55"/>
      <c r="I36" s="55"/>
    </row>
    <row r="37" spans="1:9" ht="13">
      <c r="A37" s="2">
        <v>13</v>
      </c>
      <c r="B37">
        <v>2021</v>
      </c>
      <c r="C37" s="55"/>
      <c r="D37" s="55"/>
      <c r="E37" s="55"/>
      <c r="G37" s="55"/>
      <c r="H37" s="55"/>
      <c r="I37" s="55"/>
    </row>
    <row r="38" spans="1:9" ht="13">
      <c r="A38" s="2">
        <v>14</v>
      </c>
      <c r="B38">
        <v>2022</v>
      </c>
      <c r="C38" s="55"/>
      <c r="D38" s="55"/>
      <c r="E38" s="55"/>
      <c r="G38" s="55"/>
      <c r="H38" s="55"/>
      <c r="I38" s="55"/>
    </row>
    <row r="39" spans="1:9" ht="13">
      <c r="A39" s="2">
        <v>15</v>
      </c>
      <c r="B39">
        <v>2023</v>
      </c>
      <c r="C39" s="55"/>
      <c r="D39" s="55"/>
      <c r="E39" s="55"/>
      <c r="G39" s="55"/>
      <c r="H39" s="55"/>
      <c r="I39" s="55"/>
    </row>
    <row r="40" spans="1:9" ht="13">
      <c r="A40" s="2">
        <v>16</v>
      </c>
      <c r="B40">
        <v>2024</v>
      </c>
      <c r="C40" s="55"/>
      <c r="D40" s="55"/>
      <c r="E40" s="55"/>
      <c r="G40" s="55"/>
      <c r="H40" s="55"/>
      <c r="I40" s="55"/>
    </row>
    <row r="41" spans="1:9" ht="13">
      <c r="A41" s="2">
        <v>17</v>
      </c>
      <c r="B41">
        <v>2025</v>
      </c>
      <c r="C41" s="55"/>
      <c r="D41" s="55"/>
      <c r="E41" s="55"/>
      <c r="G41" s="55"/>
      <c r="H41" s="55"/>
      <c r="I41" s="55"/>
    </row>
    <row r="42" spans="1:9" ht="13">
      <c r="A42" s="2">
        <v>18</v>
      </c>
      <c r="B42" s="306" t="s">
        <v>823</v>
      </c>
    </row>
    <row r="43" spans="1:9" ht="13">
      <c r="A43" s="2"/>
      <c r="B43" s="306"/>
    </row>
    <row r="44" spans="1:9" ht="13">
      <c r="A44" s="2"/>
      <c r="B44" s="1" t="s">
        <v>228</v>
      </c>
    </row>
    <row r="45" spans="1:9" ht="13">
      <c r="A45" s="2"/>
      <c r="B45" s="251" t="s">
        <v>1098</v>
      </c>
    </row>
    <row r="46" spans="1:9" ht="13">
      <c r="A46" s="2"/>
    </row>
    <row r="47" spans="1:9" ht="13">
      <c r="A47" s="2"/>
      <c r="B47" s="1" t="s">
        <v>433</v>
      </c>
    </row>
    <row r="48" spans="1:9" ht="13">
      <c r="A48" s="2"/>
      <c r="B48" s="251" t="s">
        <v>1099</v>
      </c>
    </row>
    <row r="49" spans="1:2" ht="13">
      <c r="A49" s="2"/>
      <c r="B49" s="250" t="s">
        <v>1100</v>
      </c>
    </row>
    <row r="50" spans="1:2" ht="13">
      <c r="A50" s="2"/>
      <c r="B50" s="250" t="s">
        <v>1101</v>
      </c>
    </row>
    <row r="51" spans="1:2" ht="13">
      <c r="A51" s="2"/>
      <c r="B51" s="250" t="s">
        <v>1102</v>
      </c>
    </row>
    <row r="52" spans="1:2" ht="13">
      <c r="A52" s="2"/>
      <c r="B52" s="250" t="s">
        <v>1103</v>
      </c>
    </row>
    <row r="53" spans="1:2">
      <c r="B53" s="250" t="s">
        <v>1104</v>
      </c>
    </row>
    <row r="54" spans="1:2">
      <c r="B54" s="298" t="s">
        <v>1105</v>
      </c>
    </row>
    <row r="55" spans="1:2">
      <c r="B55" s="251" t="s">
        <v>1106</v>
      </c>
    </row>
    <row r="56" spans="1:2">
      <c r="B56" s="251" t="s">
        <v>1107</v>
      </c>
    </row>
  </sheetData>
  <pageMargins left="0.7" right="0.7" top="0.75" bottom="0.75" header="0.3" footer="0.3"/>
  <pageSetup scale="80" orientation="portrait" cellComments="asDisplayed" r:id="rId1"/>
  <headerFooter>
    <oddHeader>&amp;CSchedule 12
Abandoned Plant
&amp;RTO2023 Draft Annual Update 
Attachment 1</oddHeader>
    <oddFooter>&amp;R&amp;A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election activeCell="F24" sqref="F24"/>
    </sheetView>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1108</v>
      </c>
    </row>
    <row r="2" spans="1:7">
      <c r="C2" s="251"/>
      <c r="F2" s="27" t="s">
        <v>635</v>
      </c>
      <c r="G2" s="711"/>
    </row>
    <row r="3" spans="1:7" ht="13">
      <c r="B3" s="1" t="s">
        <v>1109</v>
      </c>
      <c r="F3" s="39" t="s">
        <v>195</v>
      </c>
      <c r="G3" s="258" t="s">
        <v>1110</v>
      </c>
    </row>
    <row r="4" spans="1:7">
      <c r="C4" s="251" t="s">
        <v>1111</v>
      </c>
      <c r="E4" s="13"/>
      <c r="F4" s="973"/>
      <c r="G4" s="20"/>
    </row>
    <row r="5" spans="1:7">
      <c r="C5" s="251" t="s">
        <v>1112</v>
      </c>
      <c r="E5" s="13"/>
      <c r="F5" s="973"/>
      <c r="G5" s="20"/>
    </row>
    <row r="6" spans="1:7" ht="13">
      <c r="E6" s="13"/>
      <c r="F6" s="43"/>
      <c r="G6" s="20"/>
    </row>
    <row r="7" spans="1:7" ht="13">
      <c r="C7" s="14"/>
      <c r="D7" s="13"/>
      <c r="E7" s="19" t="s">
        <v>659</v>
      </c>
      <c r="F7" s="19" t="s">
        <v>1113</v>
      </c>
      <c r="G7" s="19"/>
    </row>
    <row r="8" spans="1:7" ht="13">
      <c r="A8" s="32" t="s">
        <v>99</v>
      </c>
      <c r="C8" s="18" t="s">
        <v>371</v>
      </c>
      <c r="D8" s="18" t="s">
        <v>372</v>
      </c>
      <c r="E8" s="18" t="s">
        <v>652</v>
      </c>
      <c r="F8" s="18" t="s">
        <v>1114</v>
      </c>
      <c r="G8" s="18" t="s">
        <v>100</v>
      </c>
    </row>
    <row r="9" spans="1:7" ht="13">
      <c r="A9" s="2">
        <v>1</v>
      </c>
      <c r="C9" s="13" t="s">
        <v>379</v>
      </c>
      <c r="D9" s="83">
        <v>2020</v>
      </c>
      <c r="E9" s="21" t="s">
        <v>1115</v>
      </c>
      <c r="F9" s="592">
        <v>402935061</v>
      </c>
      <c r="G9" s="21" t="s">
        <v>1116</v>
      </c>
    </row>
    <row r="10" spans="1:7" ht="13">
      <c r="A10" s="2">
        <f>A9+1</f>
        <v>2</v>
      </c>
      <c r="C10" s="259" t="s">
        <v>381</v>
      </c>
      <c r="D10" s="83">
        <v>2021</v>
      </c>
      <c r="E10" s="273" t="s">
        <v>895</v>
      </c>
      <c r="F10" s="877">
        <v>410993860.57999998</v>
      </c>
      <c r="G10" s="21"/>
    </row>
    <row r="11" spans="1:7" ht="13">
      <c r="A11" s="2">
        <f t="shared" ref="A11:A21" si="0">A10+1</f>
        <v>3</v>
      </c>
      <c r="C11" s="259" t="s">
        <v>382</v>
      </c>
      <c r="D11" s="83">
        <v>2021</v>
      </c>
      <c r="E11" s="273" t="s">
        <v>895</v>
      </c>
      <c r="F11" s="877">
        <v>416466710.69999999</v>
      </c>
      <c r="G11" s="21"/>
    </row>
    <row r="12" spans="1:7" ht="13">
      <c r="A12" s="2">
        <f t="shared" si="0"/>
        <v>4</v>
      </c>
      <c r="C12" s="259" t="s">
        <v>383</v>
      </c>
      <c r="D12" s="83">
        <v>2021</v>
      </c>
      <c r="E12" s="273" t="s">
        <v>895</v>
      </c>
      <c r="F12" s="877">
        <v>413912572.29000002</v>
      </c>
      <c r="G12" s="21"/>
    </row>
    <row r="13" spans="1:7" ht="13">
      <c r="A13" s="2">
        <f t="shared" si="0"/>
        <v>5</v>
      </c>
      <c r="C13" s="259" t="s">
        <v>384</v>
      </c>
      <c r="D13" s="83">
        <v>2021</v>
      </c>
      <c r="E13" s="273" t="s">
        <v>895</v>
      </c>
      <c r="F13" s="877">
        <v>409624986.06999999</v>
      </c>
      <c r="G13" s="21"/>
    </row>
    <row r="14" spans="1:7" ht="13">
      <c r="A14" s="2">
        <f t="shared" si="0"/>
        <v>6</v>
      </c>
      <c r="C14" s="259" t="s">
        <v>385</v>
      </c>
      <c r="D14" s="83">
        <v>2021</v>
      </c>
      <c r="E14" s="273" t="s">
        <v>895</v>
      </c>
      <c r="F14" s="877">
        <v>401047068.06</v>
      </c>
      <c r="G14" s="21"/>
    </row>
    <row r="15" spans="1:7" ht="13">
      <c r="A15" s="2">
        <f t="shared" si="0"/>
        <v>7</v>
      </c>
      <c r="C15" s="259" t="s">
        <v>594</v>
      </c>
      <c r="D15" s="83">
        <v>2021</v>
      </c>
      <c r="E15" s="273" t="s">
        <v>895</v>
      </c>
      <c r="F15" s="877">
        <v>402334436.04000002</v>
      </c>
      <c r="G15" s="21"/>
    </row>
    <row r="16" spans="1:7" ht="13">
      <c r="A16" s="2">
        <f t="shared" si="0"/>
        <v>8</v>
      </c>
      <c r="C16" s="259" t="s">
        <v>387</v>
      </c>
      <c r="D16" s="83">
        <v>2021</v>
      </c>
      <c r="E16" s="273" t="s">
        <v>895</v>
      </c>
      <c r="F16" s="877">
        <v>406996196.24000001</v>
      </c>
      <c r="G16" s="21"/>
    </row>
    <row r="17" spans="1:7" ht="13">
      <c r="A17" s="2">
        <f t="shared" si="0"/>
        <v>9</v>
      </c>
      <c r="C17" s="259" t="s">
        <v>388</v>
      </c>
      <c r="D17" s="83">
        <v>2021</v>
      </c>
      <c r="E17" s="273" t="s">
        <v>895</v>
      </c>
      <c r="F17" s="877">
        <v>403339138.23000002</v>
      </c>
      <c r="G17" s="21"/>
    </row>
    <row r="18" spans="1:7" ht="13">
      <c r="A18" s="2">
        <f t="shared" si="0"/>
        <v>10</v>
      </c>
      <c r="C18" s="259" t="s">
        <v>389</v>
      </c>
      <c r="D18" s="83">
        <v>2021</v>
      </c>
      <c r="E18" s="273" t="s">
        <v>895</v>
      </c>
      <c r="F18" s="877">
        <v>408403518.48000002</v>
      </c>
      <c r="G18" s="21"/>
    </row>
    <row r="19" spans="1:7" ht="13">
      <c r="A19" s="2">
        <f t="shared" si="0"/>
        <v>11</v>
      </c>
      <c r="C19" s="259" t="s">
        <v>390</v>
      </c>
      <c r="D19" s="83">
        <v>2021</v>
      </c>
      <c r="E19" s="273" t="s">
        <v>895</v>
      </c>
      <c r="F19" s="877">
        <v>404723001.64999998</v>
      </c>
      <c r="G19" s="21"/>
    </row>
    <row r="20" spans="1:7" ht="13">
      <c r="A20" s="2">
        <f t="shared" si="0"/>
        <v>12</v>
      </c>
      <c r="C20" s="259" t="s">
        <v>391</v>
      </c>
      <c r="D20" s="83">
        <v>2021</v>
      </c>
      <c r="E20" s="273" t="s">
        <v>895</v>
      </c>
      <c r="F20" s="271">
        <v>400261194.01999998</v>
      </c>
      <c r="G20" s="21"/>
    </row>
    <row r="21" spans="1:7" ht="13">
      <c r="A21" s="2">
        <f t="shared" si="0"/>
        <v>13</v>
      </c>
      <c r="C21" s="14" t="s">
        <v>379</v>
      </c>
      <c r="D21" s="83">
        <v>2021</v>
      </c>
      <c r="E21" s="21" t="s">
        <v>1117</v>
      </c>
      <c r="F21" s="592">
        <v>407317077</v>
      </c>
      <c r="G21" s="12" t="s">
        <v>748</v>
      </c>
    </row>
    <row r="22" spans="1:7" ht="13">
      <c r="C22" s="15"/>
      <c r="D22" s="15"/>
      <c r="E22" s="13"/>
      <c r="G22" s="21"/>
    </row>
    <row r="23" spans="1:7" ht="13">
      <c r="A23" s="2">
        <f>A21+1</f>
        <v>14</v>
      </c>
      <c r="C23" s="15"/>
      <c r="D23" s="15"/>
      <c r="E23" s="272" t="s">
        <v>1118</v>
      </c>
      <c r="F23" s="972">
        <f>SUM(F9:F21)/13</f>
        <v>406796524.64307684</v>
      </c>
      <c r="G23" s="12" t="str">
        <f>"(Sum Line "&amp;A9&amp;" to Line "&amp;A21&amp;") / 13"</f>
        <v>(Sum Line 1 to Line 13) / 13</v>
      </c>
    </row>
    <row r="24" spans="1:7" ht="13">
      <c r="A24" s="2">
        <f>A23+1</f>
        <v>15</v>
      </c>
      <c r="C24" s="15"/>
      <c r="D24" s="15"/>
      <c r="E24" s="22" t="s">
        <v>1119</v>
      </c>
      <c r="F24" s="24">
        <f>'27-Allocators'!G15</f>
        <v>6.2174818554839952E-2</v>
      </c>
      <c r="G24" s="12" t="str">
        <f>"27-Allocators, Line "&amp;'27-Allocators'!A15&amp;""</f>
        <v>27-Allocators, Line 9</v>
      </c>
    </row>
    <row r="25" spans="1:7" ht="13">
      <c r="D25" s="15"/>
      <c r="E25" s="22"/>
      <c r="F25" s="972"/>
      <c r="G25" s="12"/>
    </row>
    <row r="26" spans="1:7" ht="13">
      <c r="A26" s="2">
        <f>A24+1</f>
        <v>16</v>
      </c>
      <c r="C26" s="15" t="s">
        <v>109</v>
      </c>
      <c r="D26" s="15"/>
      <c r="E26" s="249" t="s">
        <v>654</v>
      </c>
      <c r="F26" s="972">
        <f>F21*F24</f>
        <v>25324865.356762774</v>
      </c>
      <c r="G26" s="250" t="str">
        <f>"Line "&amp;A21&amp;" * Line "&amp;A24&amp;""</f>
        <v>Line 13 * Line 15</v>
      </c>
    </row>
    <row r="27" spans="1:7" ht="13">
      <c r="A27" s="2">
        <f>A26+1</f>
        <v>17</v>
      </c>
      <c r="C27" s="15"/>
      <c r="D27" s="15"/>
      <c r="E27" s="272" t="s">
        <v>1120</v>
      </c>
      <c r="F27" s="972">
        <f>F23*F24</f>
        <v>25292500.108422782</v>
      </c>
      <c r="G27" s="250" t="str">
        <f>"Line "&amp;A23&amp;" * Line "&amp;A24&amp;""</f>
        <v>Line 14 * Line 15</v>
      </c>
    </row>
    <row r="29" spans="1:7" ht="13">
      <c r="B29" s="1" t="s">
        <v>1121</v>
      </c>
    </row>
    <row r="30" spans="1:7">
      <c r="C30" t="s">
        <v>1122</v>
      </c>
      <c r="E30" s="13"/>
      <c r="F30" s="973"/>
      <c r="G30" s="20"/>
    </row>
    <row r="31" spans="1:7">
      <c r="C31" t="s">
        <v>1123</v>
      </c>
      <c r="E31" s="13"/>
      <c r="F31" s="973"/>
      <c r="G31" s="20"/>
    </row>
    <row r="32" spans="1:7" ht="13">
      <c r="C32" s="14"/>
      <c r="D32" s="13"/>
      <c r="E32" s="19" t="s">
        <v>659</v>
      </c>
      <c r="F32" s="43" t="s">
        <v>1124</v>
      </c>
      <c r="G32" s="19"/>
    </row>
    <row r="33" spans="1:11" ht="13">
      <c r="C33" s="18" t="s">
        <v>371</v>
      </c>
      <c r="D33" s="18" t="s">
        <v>372</v>
      </c>
      <c r="E33" s="18" t="s">
        <v>652</v>
      </c>
      <c r="F33" s="18" t="s">
        <v>662</v>
      </c>
      <c r="G33" s="18" t="s">
        <v>100</v>
      </c>
    </row>
    <row r="34" spans="1:11" ht="13">
      <c r="A34" s="2">
        <f>A27+1</f>
        <v>18</v>
      </c>
      <c r="C34" s="13" t="s">
        <v>379</v>
      </c>
      <c r="D34" s="83">
        <v>2020</v>
      </c>
      <c r="E34" s="587" t="s">
        <v>1125</v>
      </c>
      <c r="F34" s="6">
        <f>F63</f>
        <v>280079123</v>
      </c>
      <c r="G34" s="587" t="s">
        <v>1126</v>
      </c>
    </row>
    <row r="35" spans="1:11" ht="13">
      <c r="A35" s="2">
        <f>A34+1</f>
        <v>19</v>
      </c>
      <c r="C35" s="259" t="s">
        <v>381</v>
      </c>
      <c r="D35" s="83">
        <v>2021</v>
      </c>
      <c r="E35" s="273" t="s">
        <v>895</v>
      </c>
      <c r="F35" s="60">
        <v>247547424.99000001</v>
      </c>
      <c r="G35" s="587"/>
      <c r="J35" s="6"/>
      <c r="K35" s="6"/>
    </row>
    <row r="36" spans="1:11" ht="13">
      <c r="A36" s="2">
        <f t="shared" ref="A36:A46" si="1">A35+1</f>
        <v>20</v>
      </c>
      <c r="C36" s="259" t="s">
        <v>382</v>
      </c>
      <c r="D36" s="83">
        <v>2021</v>
      </c>
      <c r="E36" s="273" t="s">
        <v>895</v>
      </c>
      <c r="F36" s="60">
        <v>208006510.88999999</v>
      </c>
      <c r="G36" s="587"/>
      <c r="J36" s="6"/>
      <c r="K36" s="6"/>
    </row>
    <row r="37" spans="1:11" ht="13">
      <c r="A37" s="2">
        <f t="shared" si="1"/>
        <v>21</v>
      </c>
      <c r="C37" s="259" t="s">
        <v>383</v>
      </c>
      <c r="D37" s="83">
        <v>2021</v>
      </c>
      <c r="E37" s="273" t="s">
        <v>895</v>
      </c>
      <c r="F37" s="60">
        <v>162895983.46000001</v>
      </c>
      <c r="G37" s="587"/>
      <c r="J37" s="6"/>
      <c r="K37" s="6"/>
    </row>
    <row r="38" spans="1:11" ht="13">
      <c r="A38" s="2">
        <f t="shared" si="1"/>
        <v>22</v>
      </c>
      <c r="C38" s="259" t="s">
        <v>384</v>
      </c>
      <c r="D38" s="83">
        <v>2021</v>
      </c>
      <c r="E38" s="273" t="s">
        <v>895</v>
      </c>
      <c r="F38" s="60">
        <v>214364785.88999999</v>
      </c>
      <c r="G38" s="587"/>
      <c r="J38" s="6"/>
      <c r="K38" s="6"/>
    </row>
    <row r="39" spans="1:11" ht="13">
      <c r="A39" s="2">
        <f t="shared" si="1"/>
        <v>23</v>
      </c>
      <c r="C39" s="259" t="s">
        <v>385</v>
      </c>
      <c r="D39" s="83">
        <v>2021</v>
      </c>
      <c r="E39" s="273" t="s">
        <v>895</v>
      </c>
      <c r="F39" s="60">
        <v>135009185.15000001</v>
      </c>
      <c r="G39" s="587"/>
      <c r="J39" s="6"/>
      <c r="K39" s="6"/>
    </row>
    <row r="40" spans="1:11" ht="13">
      <c r="A40" s="2">
        <f t="shared" si="1"/>
        <v>24</v>
      </c>
      <c r="C40" s="259" t="s">
        <v>594</v>
      </c>
      <c r="D40" s="83">
        <v>2021</v>
      </c>
      <c r="E40" s="273" t="s">
        <v>895</v>
      </c>
      <c r="F40" s="60">
        <v>56414249.200000003</v>
      </c>
      <c r="G40" s="587"/>
      <c r="J40" s="6"/>
      <c r="K40" s="6"/>
    </row>
    <row r="41" spans="1:11" ht="13">
      <c r="A41" s="2">
        <f t="shared" si="1"/>
        <v>25</v>
      </c>
      <c r="C41" s="259" t="s">
        <v>387</v>
      </c>
      <c r="D41" s="83">
        <v>2021</v>
      </c>
      <c r="E41" s="273" t="s">
        <v>895</v>
      </c>
      <c r="F41" s="60">
        <v>334837437.83999997</v>
      </c>
      <c r="G41" s="587"/>
      <c r="J41" s="6"/>
      <c r="K41" s="6"/>
    </row>
    <row r="42" spans="1:11" ht="13">
      <c r="A42" s="2">
        <f t="shared" si="1"/>
        <v>26</v>
      </c>
      <c r="C42" s="259" t="s">
        <v>388</v>
      </c>
      <c r="D42" s="83">
        <v>2021</v>
      </c>
      <c r="E42" s="273" t="s">
        <v>895</v>
      </c>
      <c r="F42" s="60">
        <v>370063730.12</v>
      </c>
      <c r="G42" s="587"/>
      <c r="J42" s="6"/>
      <c r="K42" s="6"/>
    </row>
    <row r="43" spans="1:11" ht="13">
      <c r="A43" s="2">
        <f t="shared" si="1"/>
        <v>27</v>
      </c>
      <c r="C43" s="259" t="s">
        <v>389</v>
      </c>
      <c r="D43" s="83">
        <v>2021</v>
      </c>
      <c r="E43" s="273" t="s">
        <v>895</v>
      </c>
      <c r="F43" s="60">
        <v>327457882.98000002</v>
      </c>
      <c r="G43" s="587"/>
      <c r="J43" s="6"/>
      <c r="K43" s="6"/>
    </row>
    <row r="44" spans="1:11" ht="13">
      <c r="A44" s="2">
        <f t="shared" si="1"/>
        <v>28</v>
      </c>
      <c r="C44" s="259" t="s">
        <v>390</v>
      </c>
      <c r="D44" s="83">
        <v>2021</v>
      </c>
      <c r="E44" s="273" t="s">
        <v>895</v>
      </c>
      <c r="F44" s="60">
        <v>295231168.51999998</v>
      </c>
      <c r="G44" s="587"/>
      <c r="J44" s="6"/>
      <c r="K44" s="6"/>
    </row>
    <row r="45" spans="1:11" ht="14.5">
      <c r="A45" s="2">
        <f t="shared" si="1"/>
        <v>29</v>
      </c>
      <c r="C45" s="259" t="s">
        <v>391</v>
      </c>
      <c r="D45" s="83">
        <v>2021</v>
      </c>
      <c r="E45" s="273" t="s">
        <v>895</v>
      </c>
      <c r="F45" s="878">
        <v>320588499.88999999</v>
      </c>
      <c r="G45" s="587"/>
      <c r="J45" s="6"/>
      <c r="K45" s="6"/>
    </row>
    <row r="46" spans="1:11" ht="13">
      <c r="A46" s="2">
        <f t="shared" si="1"/>
        <v>30</v>
      </c>
      <c r="C46" s="14" t="s">
        <v>379</v>
      </c>
      <c r="D46" s="83">
        <v>2021</v>
      </c>
      <c r="E46" s="587" t="s">
        <v>1127</v>
      </c>
      <c r="F46" s="6">
        <f>F69</f>
        <v>254754590</v>
      </c>
      <c r="G46" s="587" t="s">
        <v>1128</v>
      </c>
    </row>
    <row r="47" spans="1:11">
      <c r="C47" s="14"/>
      <c r="D47" s="17"/>
      <c r="E47" s="16"/>
      <c r="F47" s="972"/>
      <c r="G47" s="12"/>
    </row>
    <row r="48" spans="1:11" ht="13">
      <c r="C48" s="354" t="s">
        <v>1129</v>
      </c>
      <c r="D48" s="354"/>
      <c r="E48" s="323"/>
      <c r="G48" s="21"/>
    </row>
    <row r="49" spans="1:8" ht="13">
      <c r="A49" s="2">
        <f>A46+1</f>
        <v>31</v>
      </c>
      <c r="C49" s="15"/>
      <c r="D49" s="15"/>
      <c r="E49" s="374" t="s">
        <v>1120</v>
      </c>
      <c r="F49" s="972">
        <f>SUM(F34:F46)/13</f>
        <v>246711582.45615384</v>
      </c>
      <c r="G49" s="12" t="str">
        <f>"(Sum Line "&amp;A34&amp;" to Line "&amp;A46&amp;") / 13"</f>
        <v>(Sum Line 18 to Line 30) / 13</v>
      </c>
    </row>
    <row r="50" spans="1:8" ht="13">
      <c r="A50" s="2">
        <f>A49+1</f>
        <v>32</v>
      </c>
      <c r="C50" s="15"/>
      <c r="D50" s="15"/>
      <c r="E50" s="272" t="s">
        <v>1119</v>
      </c>
      <c r="F50" s="24">
        <f>'27-Allocators'!G15</f>
        <v>6.2174818554839952E-2</v>
      </c>
      <c r="G50" s="12" t="str">
        <f>"27-Allocators, Line "&amp;'27-Allocators'!A15&amp;""</f>
        <v>27-Allocators, Line 9</v>
      </c>
    </row>
    <row r="51" spans="1:8" ht="13">
      <c r="A51" s="2">
        <f>A50+1</f>
        <v>33</v>
      </c>
      <c r="C51" s="15"/>
      <c r="D51" s="15"/>
      <c r="E51" s="22" t="s">
        <v>1130</v>
      </c>
      <c r="F51" s="972">
        <f>F49*F50</f>
        <v>15339247.874588801</v>
      </c>
      <c r="G51" s="250" t="str">
        <f>"Line "&amp;A49&amp;" * Line "&amp;A50&amp;""</f>
        <v>Line 31 * Line 32</v>
      </c>
    </row>
    <row r="52" spans="1:8" ht="13">
      <c r="C52" s="15" t="s">
        <v>1131</v>
      </c>
      <c r="D52" s="15"/>
      <c r="E52" s="13"/>
      <c r="G52" s="23"/>
    </row>
    <row r="53" spans="1:8" ht="13">
      <c r="A53" s="2">
        <f>A51+1</f>
        <v>34</v>
      </c>
      <c r="C53" s="15"/>
      <c r="D53" s="15"/>
      <c r="E53" s="22" t="s">
        <v>654</v>
      </c>
      <c r="F53" s="972">
        <f>F46</f>
        <v>254754590</v>
      </c>
      <c r="G53" s="23" t="str">
        <f>"Line "&amp;A46&amp;""</f>
        <v>Line 30</v>
      </c>
    </row>
    <row r="54" spans="1:8" ht="13">
      <c r="A54" s="2">
        <f>A53+1</f>
        <v>35</v>
      </c>
      <c r="C54" s="15"/>
      <c r="D54" s="15"/>
      <c r="E54" s="22" t="s">
        <v>1119</v>
      </c>
      <c r="F54" s="24">
        <f>'27-Allocators'!G15</f>
        <v>6.2174818554839952E-2</v>
      </c>
      <c r="G54" s="12" t="str">
        <f>"27-Allocators, Line "&amp;'27-Allocators'!A15&amp;""</f>
        <v>27-Allocators, Line 9</v>
      </c>
    </row>
    <row r="55" spans="1:8" ht="13">
      <c r="A55" s="2">
        <f>A54+1</f>
        <v>36</v>
      </c>
      <c r="C55" s="15"/>
      <c r="D55" s="15"/>
      <c r="E55" s="22" t="s">
        <v>1130</v>
      </c>
      <c r="F55" s="972">
        <f>F53*F54</f>
        <v>15839320.409262644</v>
      </c>
      <c r="G55" s="250" t="str">
        <f>"Line "&amp;A53&amp;" * Line "&amp;A54&amp;""</f>
        <v>Line 34 * Line 35</v>
      </c>
    </row>
    <row r="56" spans="1:8" ht="13">
      <c r="B56" s="30" t="s">
        <v>228</v>
      </c>
      <c r="C56" s="251"/>
      <c r="D56" s="251"/>
      <c r="E56" s="251"/>
      <c r="F56" s="251"/>
      <c r="G56" s="251"/>
    </row>
    <row r="57" spans="1:8">
      <c r="B57" s="251" t="s">
        <v>1132</v>
      </c>
      <c r="C57" s="251" t="str">
        <f>"Remove any amounts related to years prior to 2012 on "&amp;B62&amp;" and "&amp;B68&amp;" below."</f>
        <v>Remove any amounts related to years prior to 2012 on b and e below.</v>
      </c>
      <c r="D57" s="251"/>
      <c r="E57" s="251"/>
      <c r="F57" s="251"/>
      <c r="G57" s="251"/>
    </row>
    <row r="58" spans="1:8" ht="13">
      <c r="A58" s="2"/>
      <c r="B58" s="251"/>
      <c r="C58" s="251"/>
      <c r="D58" s="251"/>
      <c r="E58" s="249"/>
      <c r="F58" s="253"/>
      <c r="G58" s="250"/>
      <c r="H58" s="1"/>
    </row>
    <row r="59" spans="1:8" ht="13">
      <c r="A59" s="2"/>
      <c r="B59" s="251"/>
      <c r="C59" s="251" t="s">
        <v>1133</v>
      </c>
      <c r="D59" s="251"/>
      <c r="E59" s="249"/>
      <c r="F59" s="588" t="s">
        <v>110</v>
      </c>
      <c r="G59" s="250"/>
    </row>
    <row r="60" spans="1:8" ht="13">
      <c r="A60" s="2"/>
      <c r="B60" s="251"/>
      <c r="C60" s="251"/>
      <c r="D60" s="251"/>
      <c r="E60" s="249"/>
      <c r="F60" s="348" t="s">
        <v>662</v>
      </c>
      <c r="G60" s="203" t="s">
        <v>652</v>
      </c>
    </row>
    <row r="61" spans="1:8" ht="13">
      <c r="A61" s="2"/>
      <c r="B61" s="2" t="s">
        <v>515</v>
      </c>
      <c r="C61" s="323"/>
      <c r="D61" s="251"/>
      <c r="E61" s="249" t="s">
        <v>1134</v>
      </c>
      <c r="F61" s="592">
        <v>280079123</v>
      </c>
      <c r="G61" s="587" t="s">
        <v>1135</v>
      </c>
    </row>
    <row r="62" spans="1:8" ht="13">
      <c r="A62" s="2"/>
      <c r="B62" s="2" t="s">
        <v>518</v>
      </c>
      <c r="C62" s="251"/>
      <c r="D62" s="251"/>
      <c r="E62" s="249" t="s">
        <v>1136</v>
      </c>
      <c r="F62" s="62">
        <v>0</v>
      </c>
      <c r="G62" s="250" t="s">
        <v>144</v>
      </c>
    </row>
    <row r="63" spans="1:8" ht="13">
      <c r="A63" s="2"/>
      <c r="B63" s="2" t="s">
        <v>521</v>
      </c>
      <c r="C63" s="251"/>
      <c r="D63" s="251"/>
      <c r="E63" s="249" t="s">
        <v>1137</v>
      </c>
      <c r="F63" s="253">
        <f>F61-F62</f>
        <v>280079123</v>
      </c>
      <c r="G63" s="250" t="str">
        <f>""&amp;B61&amp;" - "&amp;B62&amp;""</f>
        <v>a - b</v>
      </c>
    </row>
    <row r="64" spans="1:8" ht="13">
      <c r="A64" s="2"/>
      <c r="B64" s="251"/>
      <c r="C64" s="251"/>
      <c r="D64" s="251"/>
      <c r="E64" s="251"/>
      <c r="F64" s="251"/>
      <c r="G64" s="251"/>
    </row>
    <row r="65" spans="1:7" ht="13">
      <c r="A65" s="2"/>
      <c r="B65" s="251"/>
      <c r="C65" s="251" t="s">
        <v>1138</v>
      </c>
      <c r="D65" s="251"/>
      <c r="E65" s="249"/>
      <c r="F65" s="588" t="s">
        <v>110</v>
      </c>
      <c r="G65" s="250"/>
    </row>
    <row r="66" spans="1:7" ht="13">
      <c r="A66" s="2"/>
      <c r="B66" s="251"/>
      <c r="C66" s="251"/>
      <c r="D66" s="251"/>
      <c r="E66" s="249"/>
      <c r="F66" s="348" t="s">
        <v>662</v>
      </c>
      <c r="G66" s="203" t="s">
        <v>652</v>
      </c>
    </row>
    <row r="67" spans="1:7" ht="13">
      <c r="A67" s="2"/>
      <c r="B67" s="2" t="s">
        <v>523</v>
      </c>
      <c r="C67" s="323"/>
      <c r="D67" s="251"/>
      <c r="E67" s="249" t="s">
        <v>1134</v>
      </c>
      <c r="F67" s="592">
        <v>254754590</v>
      </c>
      <c r="G67" s="587" t="s">
        <v>1139</v>
      </c>
    </row>
    <row r="68" spans="1:7" ht="13">
      <c r="A68" s="2"/>
      <c r="B68" s="2" t="s">
        <v>527</v>
      </c>
      <c r="C68" s="251"/>
      <c r="D68" s="251"/>
      <c r="E68" s="249" t="s">
        <v>1136</v>
      </c>
      <c r="F68" s="62">
        <v>0</v>
      </c>
      <c r="G68" s="250" t="s">
        <v>144</v>
      </c>
    </row>
    <row r="69" spans="1:7" ht="13">
      <c r="A69" s="2"/>
      <c r="B69" s="2" t="s">
        <v>530</v>
      </c>
      <c r="C69" s="251"/>
      <c r="D69" s="251"/>
      <c r="E69" s="249" t="s">
        <v>1140</v>
      </c>
      <c r="F69" s="253">
        <f>F67-F68</f>
        <v>254754590</v>
      </c>
      <c r="G69" s="250" t="str">
        <f>""&amp;B67&amp;" - "&amp;B68&amp;""</f>
        <v>d - e</v>
      </c>
    </row>
    <row r="73" spans="1:7">
      <c r="F73" s="304"/>
    </row>
  </sheetData>
  <phoneticPr fontId="23" type="noConversion"/>
  <pageMargins left="0.75" right="0.75" top="1" bottom="1" header="0.5" footer="0.5"/>
  <pageSetup scale="73" orientation="portrait" cellComments="asDisplayed" r:id="rId1"/>
  <headerFooter alignWithMargins="0">
    <oddHeader>&amp;CSchedule 13
Working Capital
&amp;RTO2023 Draft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5"/>
  <cols>
    <col min="1" max="1" width="2.54296875" customWidth="1"/>
    <col min="2" max="2" width="20" customWidth="1"/>
    <col min="3" max="3" width="10.54296875" customWidth="1"/>
    <col min="4" max="4" width="66.54296875" customWidth="1"/>
  </cols>
  <sheetData>
    <row r="1" spans="1:4" ht="13">
      <c r="A1" s="1" t="s">
        <v>1</v>
      </c>
      <c r="C1" s="1"/>
    </row>
    <row r="3" spans="1:4" ht="13">
      <c r="B3" s="3" t="s">
        <v>2</v>
      </c>
      <c r="C3" s="3" t="s">
        <v>3</v>
      </c>
      <c r="D3" s="203" t="s">
        <v>4</v>
      </c>
    </row>
    <row r="4" spans="1:4">
      <c r="B4" s="196" t="s">
        <v>0</v>
      </c>
      <c r="C4" s="37"/>
      <c r="D4" s="251" t="s">
        <v>5</v>
      </c>
    </row>
    <row r="5" spans="1:4">
      <c r="B5" s="196" t="s">
        <v>6</v>
      </c>
      <c r="C5" s="37">
        <v>1</v>
      </c>
      <c r="D5" s="251" t="s">
        <v>7</v>
      </c>
    </row>
    <row r="6" spans="1:4">
      <c r="B6" s="196" t="s">
        <v>8</v>
      </c>
      <c r="C6" s="37">
        <v>2</v>
      </c>
      <c r="D6" s="251" t="s">
        <v>9</v>
      </c>
    </row>
    <row r="7" spans="1:4">
      <c r="B7" s="196" t="s">
        <v>10</v>
      </c>
      <c r="C7" s="37">
        <v>3</v>
      </c>
      <c r="D7" s="251" t="s">
        <v>11</v>
      </c>
    </row>
    <row r="8" spans="1:4">
      <c r="B8" s="196" t="s">
        <v>12</v>
      </c>
      <c r="C8" s="37">
        <v>4</v>
      </c>
      <c r="D8" s="251" t="s">
        <v>13</v>
      </c>
    </row>
    <row r="9" spans="1:4">
      <c r="B9" s="196" t="s">
        <v>14</v>
      </c>
      <c r="C9" s="37">
        <v>5</v>
      </c>
      <c r="D9" s="251" t="s">
        <v>15</v>
      </c>
    </row>
    <row r="10" spans="1:4">
      <c r="B10" s="196" t="s">
        <v>16</v>
      </c>
      <c r="C10" s="37">
        <v>6</v>
      </c>
      <c r="D10" s="251" t="s">
        <v>17</v>
      </c>
    </row>
    <row r="11" spans="1:4">
      <c r="B11" s="196" t="s">
        <v>18</v>
      </c>
      <c r="C11" s="37">
        <v>7</v>
      </c>
      <c r="D11" s="251" t="s">
        <v>19</v>
      </c>
    </row>
    <row r="12" spans="1:4">
      <c r="B12" s="196" t="s">
        <v>20</v>
      </c>
      <c r="C12" s="37">
        <v>8</v>
      </c>
      <c r="D12" s="251" t="s">
        <v>21</v>
      </c>
    </row>
    <row r="13" spans="1:4">
      <c r="B13" s="196" t="s">
        <v>22</v>
      </c>
      <c r="C13" s="37">
        <v>9</v>
      </c>
      <c r="D13" s="251" t="s">
        <v>23</v>
      </c>
    </row>
    <row r="14" spans="1:4">
      <c r="B14" s="196" t="s">
        <v>24</v>
      </c>
      <c r="C14" s="37">
        <v>10</v>
      </c>
      <c r="D14" s="251" t="s">
        <v>25</v>
      </c>
    </row>
    <row r="15" spans="1:4">
      <c r="B15" s="196" t="s">
        <v>26</v>
      </c>
      <c r="C15" s="37">
        <v>11</v>
      </c>
      <c r="D15" s="251" t="s">
        <v>27</v>
      </c>
    </row>
    <row r="16" spans="1:4">
      <c r="B16" s="196" t="s">
        <v>28</v>
      </c>
      <c r="C16" s="37">
        <v>12</v>
      </c>
      <c r="D16" s="251" t="s">
        <v>29</v>
      </c>
    </row>
    <row r="17" spans="2:4">
      <c r="B17" s="196" t="s">
        <v>30</v>
      </c>
      <c r="C17" s="37">
        <v>13</v>
      </c>
      <c r="D17" s="251" t="s">
        <v>31</v>
      </c>
    </row>
    <row r="18" spans="2:4">
      <c r="B18" s="196" t="s">
        <v>32</v>
      </c>
      <c r="C18" s="37">
        <v>14</v>
      </c>
      <c r="D18" s="251" t="s">
        <v>33</v>
      </c>
    </row>
    <row r="19" spans="2:4">
      <c r="B19" s="196" t="s">
        <v>34</v>
      </c>
      <c r="C19" s="37">
        <v>15</v>
      </c>
      <c r="D19" s="251" t="s">
        <v>35</v>
      </c>
    </row>
    <row r="20" spans="2:4">
      <c r="B20" s="196" t="s">
        <v>36</v>
      </c>
      <c r="C20" s="37">
        <v>16</v>
      </c>
      <c r="D20" s="251" t="s">
        <v>37</v>
      </c>
    </row>
    <row r="21" spans="2:4">
      <c r="B21" s="196" t="s">
        <v>38</v>
      </c>
      <c r="C21" s="37">
        <v>17</v>
      </c>
      <c r="D21" s="251" t="s">
        <v>39</v>
      </c>
    </row>
    <row r="22" spans="2:4">
      <c r="B22" s="196" t="s">
        <v>40</v>
      </c>
      <c r="C22" s="37">
        <v>18</v>
      </c>
      <c r="D22" s="251" t="s">
        <v>41</v>
      </c>
    </row>
    <row r="23" spans="2:4">
      <c r="B23" s="196" t="s">
        <v>42</v>
      </c>
      <c r="C23" s="37">
        <v>19</v>
      </c>
      <c r="D23" s="251" t="s">
        <v>43</v>
      </c>
    </row>
    <row r="24" spans="2:4">
      <c r="B24" s="196" t="s">
        <v>44</v>
      </c>
      <c r="C24" s="37">
        <v>20</v>
      </c>
      <c r="D24" s="251" t="s">
        <v>45</v>
      </c>
    </row>
    <row r="25" spans="2:4">
      <c r="B25" s="196" t="s">
        <v>46</v>
      </c>
      <c r="C25" s="37">
        <v>21</v>
      </c>
      <c r="D25" s="251" t="s">
        <v>47</v>
      </c>
    </row>
    <row r="26" spans="2:4">
      <c r="B26" s="196" t="s">
        <v>48</v>
      </c>
      <c r="C26" s="37">
        <v>22</v>
      </c>
      <c r="D26" s="251" t="s">
        <v>49</v>
      </c>
    </row>
    <row r="27" spans="2:4">
      <c r="B27" s="196" t="s">
        <v>50</v>
      </c>
      <c r="C27" s="37">
        <v>23</v>
      </c>
      <c r="D27" s="251" t="s">
        <v>51</v>
      </c>
    </row>
    <row r="28" spans="2:4" ht="12.75" customHeight="1">
      <c r="B28" s="196" t="s">
        <v>52</v>
      </c>
      <c r="C28" s="37">
        <v>24</v>
      </c>
      <c r="D28" s="251" t="s">
        <v>53</v>
      </c>
    </row>
    <row r="29" spans="2:4">
      <c r="B29" s="196" t="s">
        <v>54</v>
      </c>
      <c r="C29" s="37">
        <v>25</v>
      </c>
      <c r="D29" s="251" t="s">
        <v>55</v>
      </c>
    </row>
    <row r="30" spans="2:4">
      <c r="B30" s="196" t="s">
        <v>56</v>
      </c>
      <c r="C30" s="37">
        <v>26</v>
      </c>
      <c r="D30" s="251" t="s">
        <v>57</v>
      </c>
    </row>
    <row r="31" spans="2:4">
      <c r="B31" s="196" t="s">
        <v>58</v>
      </c>
      <c r="C31" s="37">
        <v>27</v>
      </c>
      <c r="D31" s="251" t="s">
        <v>59</v>
      </c>
    </row>
    <row r="32" spans="2:4">
      <c r="B32" s="196" t="s">
        <v>60</v>
      </c>
      <c r="C32" s="37">
        <v>28</v>
      </c>
      <c r="D32" s="251" t="s">
        <v>61</v>
      </c>
    </row>
    <row r="33" spans="2:4">
      <c r="B33" s="196" t="s">
        <v>62</v>
      </c>
      <c r="C33" s="37">
        <v>29</v>
      </c>
      <c r="D33" s="251" t="s">
        <v>63</v>
      </c>
    </row>
    <row r="34" spans="2:4">
      <c r="B34" s="196" t="s">
        <v>64</v>
      </c>
      <c r="C34" s="37">
        <v>30</v>
      </c>
      <c r="D34" s="251" t="s">
        <v>65</v>
      </c>
    </row>
    <row r="35" spans="2:4">
      <c r="B35" s="196" t="s">
        <v>66</v>
      </c>
      <c r="C35" s="37">
        <v>31</v>
      </c>
      <c r="D35" s="251" t="s">
        <v>67</v>
      </c>
    </row>
    <row r="36" spans="2:4">
      <c r="B36" s="196" t="s">
        <v>68</v>
      </c>
      <c r="C36" s="37">
        <v>32</v>
      </c>
      <c r="D36" s="251" t="s">
        <v>69</v>
      </c>
    </row>
    <row r="37" spans="2:4">
      <c r="B37" s="196" t="s">
        <v>70</v>
      </c>
      <c r="C37" s="37">
        <v>33</v>
      </c>
      <c r="D37" s="251" t="s">
        <v>71</v>
      </c>
    </row>
    <row r="38" spans="2:4">
      <c r="B38" s="196" t="s">
        <v>72</v>
      </c>
      <c r="C38" s="37">
        <v>34</v>
      </c>
      <c r="D38" s="251" t="s">
        <v>73</v>
      </c>
    </row>
    <row r="39" spans="2:4">
      <c r="B39" s="196" t="s">
        <v>74</v>
      </c>
      <c r="C39" s="252">
        <v>35</v>
      </c>
      <c r="D39" s="251" t="s">
        <v>75</v>
      </c>
    </row>
    <row r="40" spans="2:4">
      <c r="B40" s="251"/>
    </row>
    <row r="41" spans="2:4">
      <c r="B41" s="251"/>
    </row>
    <row r="42" spans="2:4">
      <c r="B42" s="251"/>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1'!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A1" display="Unfunded Reserves" xr:uid="{00000000-0004-0000-0100-000022000000}"/>
    <hyperlink ref="B39" location="'35-Other Formula Revenue'!A1" display="OtherFormulaRevenue" xr:uid="{6CB9F45F-834A-415C-AC55-B7CC8A4D9570}"/>
  </hyperlinks>
  <pageMargins left="0.7" right="0.7" top="0.75" bottom="0.75" header="0.3" footer="0.3"/>
  <pageSetup scale="90" orientation="portrait" cellComments="asDisplayed" r:id="rId1"/>
  <headerFooter>
    <oddHeader>&amp;RTO2023 Draft Annual Update 
Attachment 1</oddHead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40"/>
  <sheetViews>
    <sheetView topLeftCell="D352" zoomScaleNormal="100" zoomScalePageLayoutView="80" workbookViewId="0">
      <selection activeCell="F95" sqref="F95:F107"/>
    </sheetView>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1141</v>
      </c>
    </row>
    <row r="2" spans="1:10" ht="13">
      <c r="A2" s="1" t="s">
        <v>1142</v>
      </c>
      <c r="E2" s="39" t="s">
        <v>195</v>
      </c>
      <c r="F2" s="258" t="s">
        <v>1143</v>
      </c>
      <c r="G2" s="55"/>
    </row>
    <row r="3" spans="1:10" ht="13">
      <c r="B3" s="1"/>
      <c r="H3" s="258" t="s">
        <v>1072</v>
      </c>
      <c r="I3" s="55"/>
      <c r="J3" s="35"/>
    </row>
    <row r="4" spans="1:10" ht="13">
      <c r="B4" s="1" t="s">
        <v>1144</v>
      </c>
      <c r="H4" s="652"/>
    </row>
    <row r="5" spans="1:10" ht="13">
      <c r="B5" s="34" t="s">
        <v>1145</v>
      </c>
    </row>
    <row r="6" spans="1:10" ht="13">
      <c r="B6" s="34" t="s">
        <v>1146</v>
      </c>
    </row>
    <row r="7" spans="1:10" ht="13">
      <c r="B7" s="59" t="s">
        <v>1147</v>
      </c>
    </row>
    <row r="8" spans="1:10" ht="13">
      <c r="B8" s="59" t="s">
        <v>1148</v>
      </c>
    </row>
    <row r="9" spans="1:10" ht="13">
      <c r="B9" s="59" t="s">
        <v>1149</v>
      </c>
      <c r="D9" s="1"/>
      <c r="E9" s="1"/>
    </row>
    <row r="10" spans="1:10" ht="13">
      <c r="B10" s="34"/>
    </row>
    <row r="11" spans="1:10" ht="13">
      <c r="B11" s="34"/>
      <c r="C11" s="251" t="s">
        <v>1150</v>
      </c>
    </row>
    <row r="12" spans="1:10" ht="13">
      <c r="B12" s="34"/>
      <c r="C12" s="250" t="s">
        <v>1151</v>
      </c>
    </row>
    <row r="13" spans="1:10" ht="13">
      <c r="B13" s="34"/>
      <c r="C13" s="250" t="s">
        <v>1152</v>
      </c>
    </row>
    <row r="14" spans="1:10" ht="13">
      <c r="B14" s="34"/>
      <c r="C14" s="250" t="s">
        <v>1153</v>
      </c>
    </row>
    <row r="15" spans="1:10" ht="13">
      <c r="B15" s="34"/>
      <c r="C15" s="265" t="s">
        <v>1154</v>
      </c>
    </row>
    <row r="16" spans="1:10" ht="13">
      <c r="B16" s="34"/>
      <c r="C16" s="250" t="s">
        <v>1155</v>
      </c>
    </row>
    <row r="17" spans="1:10" ht="13">
      <c r="B17" s="34"/>
      <c r="C17" s="250" t="s">
        <v>1156</v>
      </c>
    </row>
    <row r="18" spans="1:10" ht="13">
      <c r="B18" s="34"/>
      <c r="C18" s="250"/>
    </row>
    <row r="19" spans="1:10" ht="13">
      <c r="C19" s="1" t="s">
        <v>1157</v>
      </c>
    </row>
    <row r="20" spans="1:10" ht="13">
      <c r="C20" s="1"/>
      <c r="E20" s="3" t="s">
        <v>336</v>
      </c>
      <c r="F20" s="3" t="s">
        <v>337</v>
      </c>
      <c r="G20" s="3" t="s">
        <v>338</v>
      </c>
    </row>
    <row r="21" spans="1:10" ht="13">
      <c r="B21" s="1"/>
      <c r="F21" s="2" t="s">
        <v>860</v>
      </c>
      <c r="G21" s="2" t="s">
        <v>990</v>
      </c>
    </row>
    <row r="22" spans="1:10" ht="13">
      <c r="B22" s="1"/>
      <c r="E22" s="2" t="s">
        <v>860</v>
      </c>
      <c r="F22" s="4" t="s">
        <v>1158</v>
      </c>
      <c r="G22" s="2" t="s">
        <v>1159</v>
      </c>
    </row>
    <row r="23" spans="1:10" ht="13">
      <c r="B23" s="1"/>
      <c r="C23" s="251"/>
      <c r="E23" s="2" t="s">
        <v>1160</v>
      </c>
      <c r="F23" s="2" t="s">
        <v>799</v>
      </c>
      <c r="G23" s="2" t="s">
        <v>24</v>
      </c>
    </row>
    <row r="24" spans="1:10" ht="13">
      <c r="B24" s="1"/>
      <c r="C24" s="2" t="s">
        <v>1161</v>
      </c>
      <c r="E24" s="2" t="s">
        <v>120</v>
      </c>
      <c r="F24" s="2" t="s">
        <v>120</v>
      </c>
      <c r="G24" s="4" t="s">
        <v>473</v>
      </c>
    </row>
    <row r="25" spans="1:10" ht="13">
      <c r="A25" s="30" t="s">
        <v>273</v>
      </c>
      <c r="B25" s="1"/>
      <c r="C25" s="3" t="s">
        <v>1076</v>
      </c>
      <c r="E25" s="3" t="s">
        <v>79</v>
      </c>
      <c r="F25" s="3" t="s">
        <v>79</v>
      </c>
      <c r="G25" s="3" t="s">
        <v>79</v>
      </c>
      <c r="H25" s="3" t="s">
        <v>228</v>
      </c>
      <c r="I25" s="295"/>
      <c r="J25" s="295"/>
    </row>
    <row r="26" spans="1:10" ht="13">
      <c r="A26" s="2">
        <v>1</v>
      </c>
      <c r="B26" s="1"/>
      <c r="C26" s="251" t="s">
        <v>1162</v>
      </c>
      <c r="E26" s="6">
        <f>'10-CWIP'!E25</f>
        <v>4598499.51</v>
      </c>
      <c r="F26" s="6">
        <f>'10-CWIP'!E26</f>
        <v>2302498.6176923076</v>
      </c>
      <c r="G26" s="6">
        <f>'10-CWIP'!K113</f>
        <v>5469248.4223076906</v>
      </c>
      <c r="H26" s="250" t="str">
        <f>"10-CWIP Lines "&amp;'10-CWIP'!A25&amp;", "&amp;'10-CWIP'!A26&amp;", and "&amp;'10-CWIP'!A113&amp;""</f>
        <v>10-CWIP Lines 13, 14, and 80</v>
      </c>
    </row>
    <row r="27" spans="1:10" ht="13">
      <c r="A27" s="2">
        <f t="shared" ref="A27:A38" si="0">A26+1</f>
        <v>2</v>
      </c>
      <c r="B27" s="1"/>
      <c r="C27" s="251" t="s">
        <v>1163</v>
      </c>
      <c r="E27" s="6">
        <f>'10-CWIP'!F25</f>
        <v>0</v>
      </c>
      <c r="F27" s="6">
        <f>'10-CWIP'!F26</f>
        <v>0</v>
      </c>
      <c r="G27" s="6">
        <f>'10-CWIP'!K146</f>
        <v>0</v>
      </c>
      <c r="H27" s="250" t="str">
        <f>"10-CWIP Lines "&amp;'10-CWIP'!A25&amp;", "&amp;'10-CWIP'!A26&amp;", and "&amp;'10-CWIP'!A146&amp;""</f>
        <v>10-CWIP Lines 13, 14, and 106</v>
      </c>
    </row>
    <row r="28" spans="1:10" ht="13">
      <c r="A28" s="2">
        <f t="shared" si="0"/>
        <v>3</v>
      </c>
      <c r="B28" s="1"/>
      <c r="C28" s="251" t="s">
        <v>1164</v>
      </c>
      <c r="E28" s="6">
        <f>'10-CWIP'!G25</f>
        <v>6065998.96</v>
      </c>
      <c r="F28" s="6">
        <f>'10-CWIP'!G26</f>
        <v>5910774.2446153844</v>
      </c>
      <c r="G28" s="6">
        <f>'10-CWIP'!K179</f>
        <v>2309100</v>
      </c>
      <c r="H28" s="250" t="str">
        <f>"10-CWIP Lines "&amp;'10-CWIP'!A25&amp;", "&amp;'10-CWIP'!A26&amp;", and "&amp;'10-CWIP'!A179&amp;""</f>
        <v>10-CWIP Lines 13, 14, and 132</v>
      </c>
    </row>
    <row r="29" spans="1:10" ht="13">
      <c r="A29" s="2">
        <f t="shared" si="0"/>
        <v>4</v>
      </c>
      <c r="B29" s="1"/>
      <c r="C29" s="251" t="s">
        <v>1165</v>
      </c>
      <c r="E29" s="6">
        <f>'10-CWIP'!H25</f>
        <v>371163.37</v>
      </c>
      <c r="F29" s="6">
        <f>'10-CWIP'!H26</f>
        <v>257052996.78769225</v>
      </c>
      <c r="G29" s="6">
        <f>'10-CWIP'!K212</f>
        <v>-371163.37000000005</v>
      </c>
      <c r="H29" s="250" t="str">
        <f>"10-CWIP Lines "&amp;'10-CWIP'!A25&amp;", "&amp;'10-CWIP'!A26&amp;", and "&amp;'10-CWIP'!A212&amp;""</f>
        <v>10-CWIP Lines 13, 14, and 158</v>
      </c>
    </row>
    <row r="30" spans="1:10" ht="13">
      <c r="A30" s="2">
        <f t="shared" si="0"/>
        <v>5</v>
      </c>
      <c r="B30" s="1"/>
      <c r="C30" s="251" t="s">
        <v>1166</v>
      </c>
      <c r="E30" s="6">
        <f>'10-CWIP'!I25</f>
        <v>0</v>
      </c>
      <c r="F30" s="6">
        <f>'10-CWIP'!I26</f>
        <v>0</v>
      </c>
      <c r="G30" s="6">
        <f>'10-CWIP'!K245</f>
        <v>0</v>
      </c>
      <c r="H30" s="250" t="str">
        <f>"10-CWIP Lines "&amp;'10-CWIP'!A25&amp;", "&amp;'10-CWIP'!A26&amp;", and "&amp;'10-CWIP'!A245&amp;""</f>
        <v>10-CWIP Lines 13, 14, and 184</v>
      </c>
    </row>
    <row r="31" spans="1:10" ht="13">
      <c r="A31" s="2">
        <f t="shared" si="0"/>
        <v>6</v>
      </c>
      <c r="B31" s="1"/>
      <c r="C31" s="251" t="s">
        <v>1167</v>
      </c>
      <c r="E31" s="6">
        <f>'10-CWIP'!D45</f>
        <v>0</v>
      </c>
      <c r="F31" s="6">
        <f>'10-CWIP'!D46</f>
        <v>0</v>
      </c>
      <c r="G31" s="6">
        <f>'10-CWIP'!K278</f>
        <v>0</v>
      </c>
      <c r="H31" s="250" t="str">
        <f>"10-CWIP Lines "&amp;'10-CWIP'!A45&amp;", "&amp;'10-CWIP'!A46&amp;", and "&amp;'10-CWIP'!A278&amp;""</f>
        <v>10-CWIP Lines 27, 28, and 210</v>
      </c>
    </row>
    <row r="32" spans="1:10" ht="13">
      <c r="A32" s="2">
        <f t="shared" si="0"/>
        <v>7</v>
      </c>
      <c r="B32" s="1"/>
      <c r="C32" s="251" t="s">
        <v>1168</v>
      </c>
      <c r="E32" s="6">
        <f>'10-CWIP'!E45</f>
        <v>0</v>
      </c>
      <c r="F32" s="6">
        <f>'10-CWIP'!E46</f>
        <v>10493045.005384615</v>
      </c>
      <c r="G32" s="6">
        <f>'10-CWIP'!K311</f>
        <v>0</v>
      </c>
      <c r="H32" s="250" t="str">
        <f>"10-CWIP Lines "&amp;'10-CWIP'!A45&amp;", "&amp;'10-CWIP'!A46&amp;", and "&amp;'10-CWIP'!A311&amp;""</f>
        <v>10-CWIP Lines 27, 28, and 236</v>
      </c>
    </row>
    <row r="33" spans="1:8" ht="13">
      <c r="A33" s="2">
        <f t="shared" si="0"/>
        <v>8</v>
      </c>
      <c r="B33" s="1"/>
      <c r="C33" s="251" t="s">
        <v>1169</v>
      </c>
      <c r="E33" s="6">
        <f>'10-CWIP'!F45</f>
        <v>201436016.56999999</v>
      </c>
      <c r="F33" s="6">
        <f>'10-CWIP'!F46</f>
        <v>161043920.68230769</v>
      </c>
      <c r="G33" s="6">
        <f>'10-CWIP'!K344</f>
        <v>-200178200.26538482</v>
      </c>
      <c r="H33" s="250" t="str">
        <f>"10-CWIP Lines "&amp;'10-CWIP'!A45&amp;", "&amp;'10-CWIP'!A46&amp;", and "&amp;'10-CWIP'!A344&amp;""</f>
        <v>10-CWIP Lines 27, 28, and 262</v>
      </c>
    </row>
    <row r="34" spans="1:8" ht="13">
      <c r="A34" s="2">
        <f t="shared" si="0"/>
        <v>9</v>
      </c>
      <c r="B34" s="1"/>
      <c r="C34" s="251" t="s">
        <v>1170</v>
      </c>
      <c r="E34" s="6">
        <f>'10-CWIP'!G45</f>
        <v>25314115.41</v>
      </c>
      <c r="F34" s="6">
        <f>'10-CWIP'!G46</f>
        <v>24396938.33615385</v>
      </c>
      <c r="G34" s="6">
        <f>'10-CWIP'!K377</f>
        <v>1327722.4653153871</v>
      </c>
      <c r="H34" s="250" t="str">
        <f>"10-CWIP Lines "&amp;'10-CWIP'!A45&amp;", "&amp;'10-CWIP'!A46&amp;", and "&amp;'10-CWIP'!A377&amp;""</f>
        <v>10-CWIP Lines 27, 28, and 288</v>
      </c>
    </row>
    <row r="35" spans="1:8" ht="13">
      <c r="A35" s="2">
        <f t="shared" si="0"/>
        <v>10</v>
      </c>
      <c r="B35" s="1"/>
      <c r="C35" s="251" t="s">
        <v>1171</v>
      </c>
      <c r="E35" s="6">
        <f>'10-CWIP'!H45</f>
        <v>189682923.96000001</v>
      </c>
      <c r="F35" s="6">
        <f>'10-CWIP'!H46</f>
        <v>155401608.43153843</v>
      </c>
      <c r="G35" s="6">
        <f>'10-CWIP'!K410</f>
        <v>-137759583.52153838</v>
      </c>
      <c r="H35" s="250" t="str">
        <f>"10-CWIP Lines "&amp;'10-CWIP'!A45&amp;", "&amp;'10-CWIP'!A46&amp;", and "&amp;'10-CWIP'!A410&amp;""</f>
        <v>10-CWIP Lines 27, 28, and 314</v>
      </c>
    </row>
    <row r="36" spans="1:8" ht="13">
      <c r="A36" s="2">
        <f t="shared" si="0"/>
        <v>11</v>
      </c>
      <c r="B36" s="1"/>
      <c r="C36" s="251" t="s">
        <v>1172</v>
      </c>
      <c r="E36" s="6">
        <f>'10-CWIP'!I45</f>
        <v>30071310.850000001</v>
      </c>
      <c r="F36" s="6">
        <f>'10-CWIP'!I46</f>
        <v>26493661.004615389</v>
      </c>
      <c r="G36" s="6">
        <f>'10-CWIP'!K443</f>
        <v>10811236.057043863</v>
      </c>
      <c r="H36" s="250" t="str">
        <f>"10-CWIP Lines "&amp;'10-CWIP'!A45&amp;", "&amp;'10-CWIP'!A46&amp;", and "&amp;'10-CWIP'!A443&amp;""</f>
        <v>10-CWIP Lines 27, 28, and 340</v>
      </c>
    </row>
    <row r="37" spans="1:8" ht="13">
      <c r="A37" s="2">
        <f t="shared" si="0"/>
        <v>12</v>
      </c>
      <c r="B37" s="1"/>
      <c r="C37" s="293" t="s">
        <v>823</v>
      </c>
      <c r="D37" s="55"/>
      <c r="E37" s="511" t="str">
        <f>'10-CWIP'!J46</f>
        <v>---</v>
      </c>
      <c r="F37" s="511" t="str">
        <f>'10-CWIP'!J46</f>
        <v>---</v>
      </c>
      <c r="G37" s="6">
        <f>'10-CWIP'!K476</f>
        <v>0</v>
      </c>
      <c r="H37" s="250" t="str">
        <f>"10-CWIP Lines "&amp;'10-CWIP'!A45&amp;", "&amp;'10-CWIP'!A46&amp;", and "&amp;'10-CWIP'!A476&amp;""</f>
        <v>10-CWIP Lines 27, 28, and 366</v>
      </c>
    </row>
    <row r="38" spans="1:8" ht="13">
      <c r="A38" s="2">
        <f t="shared" si="0"/>
        <v>13</v>
      </c>
      <c r="B38" s="1"/>
      <c r="D38" s="25" t="s">
        <v>431</v>
      </c>
      <c r="E38" s="6">
        <f>SUM(E26:E37)</f>
        <v>457540028.63</v>
      </c>
      <c r="F38" s="6">
        <f>SUM(F26:F37)</f>
        <v>643095443.11000001</v>
      </c>
      <c r="G38" s="6">
        <f>SUM(G26:G37)</f>
        <v>-318391640.21225625</v>
      </c>
      <c r="H38" s="31"/>
    </row>
    <row r="39" spans="1:8" ht="13">
      <c r="B39" s="1"/>
    </row>
    <row r="40" spans="1:8" ht="13">
      <c r="B40" s="1"/>
      <c r="C40" s="1" t="s">
        <v>1173</v>
      </c>
    </row>
    <row r="41" spans="1:8" ht="13">
      <c r="B41" s="1"/>
      <c r="C41" s="1"/>
    </row>
    <row r="42" spans="1:8" ht="13">
      <c r="B42" s="1"/>
      <c r="E42" s="3" t="s">
        <v>336</v>
      </c>
      <c r="F42" s="3" t="s">
        <v>337</v>
      </c>
      <c r="G42" s="3" t="s">
        <v>338</v>
      </c>
    </row>
    <row r="43" spans="1:8" ht="13">
      <c r="B43" s="1"/>
      <c r="E43" s="257" t="s">
        <v>1174</v>
      </c>
      <c r="F43" s="3"/>
      <c r="G43" s="3"/>
    </row>
    <row r="44" spans="1:8" ht="13">
      <c r="B44" s="1"/>
      <c r="E44" s="2" t="s">
        <v>860</v>
      </c>
      <c r="F44" s="2" t="s">
        <v>1094</v>
      </c>
      <c r="G44" s="2" t="s">
        <v>1094</v>
      </c>
    </row>
    <row r="45" spans="1:8" ht="13">
      <c r="B45" s="1"/>
      <c r="E45" s="2" t="s">
        <v>1161</v>
      </c>
      <c r="F45" s="2" t="s">
        <v>24</v>
      </c>
      <c r="G45" s="2" t="s">
        <v>1175</v>
      </c>
    </row>
    <row r="46" spans="1:8" ht="13">
      <c r="B46" s="1"/>
      <c r="E46" s="3" t="s">
        <v>123</v>
      </c>
      <c r="F46" s="3" t="s">
        <v>1176</v>
      </c>
      <c r="G46" s="3" t="s">
        <v>1177</v>
      </c>
      <c r="H46" s="3" t="s">
        <v>228</v>
      </c>
    </row>
    <row r="47" spans="1:8" ht="13">
      <c r="A47" s="2">
        <f>A38+1</f>
        <v>14</v>
      </c>
      <c r="B47" s="1"/>
      <c r="C47" t="s">
        <v>1178</v>
      </c>
      <c r="E47" s="253">
        <f>F47+G47</f>
        <v>131275846.60596265</v>
      </c>
      <c r="F47" s="6">
        <v>0</v>
      </c>
      <c r="G47" s="6">
        <f>H85</f>
        <v>131275846.60596265</v>
      </c>
      <c r="H47" s="250" t="str">
        <f>"Line "&amp;A85&amp;", C4"</f>
        <v>Line 38, C4</v>
      </c>
    </row>
    <row r="48" spans="1:8" ht="13">
      <c r="A48" s="2">
        <f>A47+1</f>
        <v>15</v>
      </c>
      <c r="B48" s="1"/>
      <c r="C48" t="s">
        <v>1179</v>
      </c>
      <c r="E48" s="253">
        <f>F48+G48</f>
        <v>2445178651.8419638</v>
      </c>
      <c r="F48" s="6">
        <f>E26</f>
        <v>4598499.51</v>
      </c>
      <c r="G48" s="6">
        <f>F85</f>
        <v>2440580152.3319635</v>
      </c>
      <c r="H48" s="250" t="str">
        <f>"Line "&amp;A26&amp;", C1, and Line "&amp;A85&amp;", C2"</f>
        <v>Line 1, C1, and Line 38, C2</v>
      </c>
    </row>
    <row r="49" spans="1:9" ht="13">
      <c r="A49" s="2">
        <f>A48+1</f>
        <v>16</v>
      </c>
      <c r="B49" s="1"/>
      <c r="C49" s="251" t="s">
        <v>1180</v>
      </c>
      <c r="E49" s="253">
        <f>F49+G49</f>
        <v>609985114.5183866</v>
      </c>
      <c r="F49" s="6">
        <f>E27</f>
        <v>0</v>
      </c>
      <c r="G49" s="6">
        <f>G85</f>
        <v>609985114.5183866</v>
      </c>
      <c r="H49" s="250" t="str">
        <f>"Line "&amp;A27&amp;", C1, and Line "&amp;A85&amp;", C3"</f>
        <v>Line 2, C1, and Line 38, C3</v>
      </c>
    </row>
    <row r="50" spans="1:9" ht="13">
      <c r="A50" s="2">
        <f>A49+1</f>
        <v>17</v>
      </c>
      <c r="B50" s="1"/>
      <c r="C50" s="293" t="s">
        <v>823</v>
      </c>
      <c r="D50" s="55"/>
      <c r="E50" s="293" t="s">
        <v>380</v>
      </c>
      <c r="F50" s="293" t="s">
        <v>380</v>
      </c>
      <c r="G50" s="293" t="s">
        <v>380</v>
      </c>
      <c r="H50" s="293" t="s">
        <v>823</v>
      </c>
      <c r="I50" s="55"/>
    </row>
    <row r="51" spans="1:9" ht="13">
      <c r="A51" s="2">
        <f>A50+1</f>
        <v>18</v>
      </c>
      <c r="B51" s="1"/>
      <c r="C51" s="266"/>
      <c r="E51" s="257"/>
      <c r="F51" s="257"/>
      <c r="G51" s="257"/>
      <c r="H51" s="250"/>
    </row>
    <row r="52" spans="1:9" ht="13">
      <c r="A52" s="2">
        <f>A51+1</f>
        <v>19</v>
      </c>
      <c r="B52" s="1"/>
      <c r="D52" s="249" t="s">
        <v>1181</v>
      </c>
      <c r="E52" s="6">
        <f>SUM(E47:E49)</f>
        <v>3186439612.9663134</v>
      </c>
      <c r="F52" s="257"/>
      <c r="G52" s="257"/>
      <c r="H52" s="250" t="s">
        <v>1182</v>
      </c>
    </row>
    <row r="53" spans="1:9" ht="13">
      <c r="B53" s="1"/>
    </row>
    <row r="54" spans="1:9" ht="13">
      <c r="B54" s="1"/>
      <c r="C54" s="1" t="s">
        <v>1183</v>
      </c>
    </row>
    <row r="55" spans="1:9" ht="13">
      <c r="B55" s="1"/>
      <c r="C55" s="1"/>
    </row>
    <row r="56" spans="1:9" ht="13">
      <c r="B56" s="1"/>
      <c r="C56" s="1"/>
      <c r="E56" s="3" t="s">
        <v>336</v>
      </c>
      <c r="F56" s="3" t="s">
        <v>337</v>
      </c>
      <c r="G56" s="3" t="s">
        <v>338</v>
      </c>
    </row>
    <row r="57" spans="1:9" ht="13">
      <c r="B57" s="1"/>
      <c r="E57" s="257" t="s">
        <v>1174</v>
      </c>
      <c r="G57" s="2" t="s">
        <v>473</v>
      </c>
    </row>
    <row r="58" spans="1:9" ht="13">
      <c r="B58" s="1"/>
      <c r="E58" s="2" t="s">
        <v>860</v>
      </c>
      <c r="F58" s="2" t="s">
        <v>473</v>
      </c>
      <c r="G58" s="2" t="s">
        <v>1175</v>
      </c>
    </row>
    <row r="59" spans="1:9" ht="13">
      <c r="B59" s="1"/>
      <c r="C59" s="2" t="s">
        <v>1161</v>
      </c>
      <c r="E59" s="2" t="s">
        <v>1161</v>
      </c>
      <c r="F59" s="2" t="s">
        <v>24</v>
      </c>
      <c r="G59" s="2" t="s">
        <v>1177</v>
      </c>
    </row>
    <row r="60" spans="1:9" ht="12.75" customHeight="1">
      <c r="B60" s="1"/>
      <c r="C60" s="3" t="s">
        <v>1076</v>
      </c>
      <c r="E60" s="3" t="s">
        <v>123</v>
      </c>
      <c r="F60" s="3" t="s">
        <v>1176</v>
      </c>
      <c r="G60" s="3" t="s">
        <v>1176</v>
      </c>
      <c r="H60" s="3" t="s">
        <v>228</v>
      </c>
    </row>
    <row r="61" spans="1:9" ht="13">
      <c r="A61" s="2">
        <f>A52+1</f>
        <v>20</v>
      </c>
      <c r="B61" s="1"/>
      <c r="C61" t="s">
        <v>1178</v>
      </c>
      <c r="E61" s="253">
        <f>F61+G61</f>
        <v>133645371.12668815</v>
      </c>
      <c r="F61" s="6">
        <v>0</v>
      </c>
      <c r="G61" s="859">
        <f>H86</f>
        <v>133645371.12668815</v>
      </c>
      <c r="H61" s="250" t="str">
        <f>"Line "&amp;A86&amp;", C4"</f>
        <v>Line 39, C4</v>
      </c>
    </row>
    <row r="62" spans="1:9" ht="13">
      <c r="A62" s="2">
        <f>A61+1</f>
        <v>21</v>
      </c>
      <c r="B62" s="1"/>
      <c r="C62" t="s">
        <v>1179</v>
      </c>
      <c r="E62" s="253">
        <f>F62+G62</f>
        <v>2481156540.6916399</v>
      </c>
      <c r="F62" s="6">
        <f>F26</f>
        <v>2302498.6176923076</v>
      </c>
      <c r="G62" s="859">
        <f>F86</f>
        <v>2478854042.0739474</v>
      </c>
      <c r="H62" s="250" t="str">
        <f>"Line "&amp;A26&amp;", C2, and Line "&amp;A86&amp;", C2"</f>
        <v>Line 1, C2, and Line 39, C2</v>
      </c>
    </row>
    <row r="63" spans="1:9" ht="13">
      <c r="A63" s="2">
        <f>A62+1</f>
        <v>22</v>
      </c>
      <c r="B63" s="1"/>
      <c r="C63" s="251" t="s">
        <v>1184</v>
      </c>
      <c r="E63" s="253">
        <f>F63+G63</f>
        <v>619849553.35407507</v>
      </c>
      <c r="F63" s="6">
        <f>F27</f>
        <v>0</v>
      </c>
      <c r="G63" s="859">
        <f>G86</f>
        <v>619849553.35407507</v>
      </c>
      <c r="H63" s="250" t="str">
        <f>"Line "&amp;A27&amp;", C2, and Line "&amp;A86&amp;", C3"</f>
        <v>Line 2, C2, and Line 39, C3</v>
      </c>
    </row>
    <row r="64" spans="1:9" ht="13">
      <c r="A64" s="2">
        <f>A63+1</f>
        <v>23</v>
      </c>
      <c r="B64" s="1"/>
      <c r="C64" s="293" t="s">
        <v>823</v>
      </c>
      <c r="D64" s="55"/>
      <c r="E64" s="293" t="s">
        <v>380</v>
      </c>
      <c r="F64" s="293" t="s">
        <v>380</v>
      </c>
      <c r="G64" s="293" t="s">
        <v>380</v>
      </c>
      <c r="H64" s="293" t="s">
        <v>823</v>
      </c>
      <c r="I64" s="55"/>
    </row>
    <row r="65" spans="1:11" ht="13">
      <c r="A65" s="2">
        <f>A64+1</f>
        <v>24</v>
      </c>
      <c r="B65" s="1"/>
      <c r="C65" s="266"/>
      <c r="E65" s="257"/>
      <c r="F65" s="257"/>
      <c r="G65" s="257"/>
      <c r="H65" s="250"/>
    </row>
    <row r="66" spans="1:11" ht="13">
      <c r="A66" s="2">
        <f>A65+1</f>
        <v>25</v>
      </c>
      <c r="B66" s="1"/>
      <c r="D66" s="249" t="s">
        <v>1181</v>
      </c>
      <c r="E66" s="6">
        <f>SUM(E61:E63)</f>
        <v>3234651465.1724029</v>
      </c>
      <c r="H66" s="298" t="s">
        <v>1185</v>
      </c>
    </row>
    <row r="67" spans="1:11" ht="13">
      <c r="A67" s="2"/>
      <c r="B67" s="1"/>
      <c r="D67" s="249"/>
      <c r="E67" s="6"/>
    </row>
    <row r="68" spans="1:11" ht="13">
      <c r="C68" s="1" t="s">
        <v>1186</v>
      </c>
    </row>
    <row r="69" spans="1:11" ht="13">
      <c r="E69" s="48" t="s">
        <v>336</v>
      </c>
      <c r="F69" s="48" t="s">
        <v>337</v>
      </c>
      <c r="G69" s="48" t="s">
        <v>338</v>
      </c>
      <c r="H69" s="48" t="s">
        <v>339</v>
      </c>
      <c r="I69" s="48" t="s">
        <v>340</v>
      </c>
      <c r="J69" s="48"/>
    </row>
    <row r="70" spans="1:11" ht="13">
      <c r="C70" s="2" t="s">
        <v>1187</v>
      </c>
      <c r="E70" s="2" t="s">
        <v>1188</v>
      </c>
      <c r="F70" s="37" t="str">
        <f>"L "&amp;A118&amp;" to L "&amp;A130&amp;", C3"</f>
        <v>L 54 to L 66, C3</v>
      </c>
      <c r="G70" s="37" t="str">
        <f>"L "&amp;A158&amp;" to L "&amp;A170&amp;", C3"</f>
        <v>L 80 to L 92, C3</v>
      </c>
      <c r="H70" s="37" t="str">
        <f>"L "&amp;A138&amp;" to L "&amp;A150&amp;", C3"</f>
        <v>L 67 to L 79, C3</v>
      </c>
      <c r="I70" s="55"/>
      <c r="K70" s="2"/>
    </row>
    <row r="71" spans="1:11" ht="13">
      <c r="C71" s="2" t="s">
        <v>372</v>
      </c>
      <c r="E71" s="2" t="s">
        <v>1189</v>
      </c>
      <c r="G71" s="2" t="s">
        <v>963</v>
      </c>
      <c r="H71" s="2" t="s">
        <v>1190</v>
      </c>
      <c r="I71" s="109"/>
      <c r="J71" s="257"/>
      <c r="K71" s="2"/>
    </row>
    <row r="72" spans="1:11" ht="13">
      <c r="A72" s="30"/>
      <c r="C72" s="18" t="s">
        <v>371</v>
      </c>
      <c r="D72" s="18" t="s">
        <v>372</v>
      </c>
      <c r="E72" s="3" t="s">
        <v>1177</v>
      </c>
      <c r="F72" s="3" t="s">
        <v>967</v>
      </c>
      <c r="G72" s="3" t="s">
        <v>968</v>
      </c>
      <c r="H72" s="3" t="s">
        <v>1191</v>
      </c>
      <c r="I72" s="110"/>
      <c r="J72" s="3" t="s">
        <v>100</v>
      </c>
    </row>
    <row r="73" spans="1:11" ht="13">
      <c r="A73" s="2">
        <f>A66+1</f>
        <v>26</v>
      </c>
      <c r="C73" s="14" t="s">
        <v>379</v>
      </c>
      <c r="D73" s="500">
        <v>2020</v>
      </c>
      <c r="E73" s="279">
        <f>SUM(F73:H73)</f>
        <v>3282842620.4293523</v>
      </c>
      <c r="F73" s="511">
        <f>G118</f>
        <v>2517113732.592175</v>
      </c>
      <c r="G73" s="511">
        <f>G158</f>
        <v>629713992.18976367</v>
      </c>
      <c r="H73" s="511">
        <f>G138</f>
        <v>136014895.64741364</v>
      </c>
      <c r="I73" s="257" t="s">
        <v>380</v>
      </c>
      <c r="J73" s="295" t="s">
        <v>1192</v>
      </c>
    </row>
    <row r="74" spans="1:11" ht="13">
      <c r="A74" s="2">
        <f>A73+1</f>
        <v>27</v>
      </c>
      <c r="C74" s="14" t="s">
        <v>381</v>
      </c>
      <c r="D74" s="350">
        <v>2021</v>
      </c>
      <c r="E74" s="279">
        <f t="shared" ref="E74:E85" si="1">SUM(F74:H74)</f>
        <v>3274437644.6551704</v>
      </c>
      <c r="F74" s="511">
        <f t="shared" ref="F74:F85" si="2">G119</f>
        <v>2510747750.7107286</v>
      </c>
      <c r="G74" s="511">
        <f t="shared" ref="G74:G85" si="3">G159</f>
        <v>628069919.05048227</v>
      </c>
      <c r="H74" s="511">
        <f t="shared" ref="H74:H85" si="4">G139</f>
        <v>135619974.8939594</v>
      </c>
      <c r="I74" s="257" t="s">
        <v>380</v>
      </c>
      <c r="J74" s="250" t="s">
        <v>1193</v>
      </c>
    </row>
    <row r="75" spans="1:11" ht="13">
      <c r="A75" s="2">
        <f t="shared" ref="A75:A86" si="5">A74+1</f>
        <v>28</v>
      </c>
      <c r="C75" s="14" t="s">
        <v>382</v>
      </c>
      <c r="D75" s="350">
        <v>2021</v>
      </c>
      <c r="E75" s="279">
        <f t="shared" si="1"/>
        <v>3266033273.3315015</v>
      </c>
      <c r="F75" s="511">
        <f t="shared" si="2"/>
        <v>2504382373.2797952</v>
      </c>
      <c r="G75" s="511">
        <f t="shared" si="3"/>
        <v>626425845.91120076</v>
      </c>
      <c r="H75" s="511">
        <f t="shared" si="4"/>
        <v>135225054.14050514</v>
      </c>
      <c r="I75" s="257" t="s">
        <v>380</v>
      </c>
      <c r="J75" s="257" t="s">
        <v>1194</v>
      </c>
      <c r="K75" s="2"/>
    </row>
    <row r="76" spans="1:11" ht="13">
      <c r="A76" s="2">
        <f t="shared" si="5"/>
        <v>29</v>
      </c>
      <c r="C76" s="14" t="s">
        <v>383</v>
      </c>
      <c r="D76" s="350">
        <v>2021</v>
      </c>
      <c r="E76" s="279">
        <f t="shared" si="1"/>
        <v>3257618222.5073481</v>
      </c>
      <c r="F76" s="511">
        <f t="shared" si="2"/>
        <v>2498006316.3483777</v>
      </c>
      <c r="G76" s="511">
        <f t="shared" si="3"/>
        <v>624781772.77191937</v>
      </c>
      <c r="H76" s="511">
        <f t="shared" si="4"/>
        <v>134830133.3870509</v>
      </c>
      <c r="I76" s="257" t="s">
        <v>380</v>
      </c>
      <c r="J76" s="257"/>
      <c r="K76" s="2"/>
    </row>
    <row r="77" spans="1:11" ht="13">
      <c r="A77" s="2">
        <f t="shared" si="5"/>
        <v>30</v>
      </c>
      <c r="C77" s="14" t="s">
        <v>384</v>
      </c>
      <c r="D77" s="350">
        <v>2021</v>
      </c>
      <c r="E77" s="279">
        <f t="shared" si="1"/>
        <v>3249202102.877861</v>
      </c>
      <c r="F77" s="511">
        <f t="shared" si="2"/>
        <v>2491629190.6116266</v>
      </c>
      <c r="G77" s="511">
        <f t="shared" si="3"/>
        <v>623137699.63263798</v>
      </c>
      <c r="H77" s="511">
        <f t="shared" si="4"/>
        <v>134435212.63359666</v>
      </c>
      <c r="I77" s="257" t="s">
        <v>380</v>
      </c>
      <c r="J77" s="257"/>
      <c r="K77" s="2"/>
    </row>
    <row r="78" spans="1:11" ht="13">
      <c r="A78" s="2">
        <f t="shared" si="5"/>
        <v>31</v>
      </c>
      <c r="C78" s="14" t="s">
        <v>385</v>
      </c>
      <c r="D78" s="350">
        <v>2021</v>
      </c>
      <c r="E78" s="279">
        <f t="shared" si="1"/>
        <v>3240780426.1584635</v>
      </c>
      <c r="F78" s="511">
        <f t="shared" si="2"/>
        <v>2485246507.7849646</v>
      </c>
      <c r="G78" s="511">
        <f t="shared" si="3"/>
        <v>621493626.49335659</v>
      </c>
      <c r="H78" s="511">
        <f t="shared" si="4"/>
        <v>134040291.88014239</v>
      </c>
      <c r="I78" s="257" t="s">
        <v>380</v>
      </c>
      <c r="J78" s="257"/>
      <c r="K78" s="2"/>
    </row>
    <row r="79" spans="1:11" ht="13">
      <c r="A79" s="2">
        <f t="shared" si="5"/>
        <v>32</v>
      </c>
      <c r="C79" s="14" t="s">
        <v>386</v>
      </c>
      <c r="D79" s="350">
        <v>2021</v>
      </c>
      <c r="E79" s="279">
        <f t="shared" si="1"/>
        <v>3232352568.1795597</v>
      </c>
      <c r="F79" s="511">
        <f t="shared" si="2"/>
        <v>2478857643.6987963</v>
      </c>
      <c r="G79" s="511">
        <f t="shared" si="3"/>
        <v>619849553.35407519</v>
      </c>
      <c r="H79" s="511">
        <f t="shared" si="4"/>
        <v>133645371.12668814</v>
      </c>
      <c r="I79" s="257" t="s">
        <v>380</v>
      </c>
      <c r="J79" s="257"/>
      <c r="K79" s="2"/>
    </row>
    <row r="80" spans="1:11" ht="13">
      <c r="A80" s="2">
        <f t="shared" si="5"/>
        <v>33</v>
      </c>
      <c r="C80" s="14" t="s">
        <v>387</v>
      </c>
      <c r="D80" s="350">
        <v>2021</v>
      </c>
      <c r="E80" s="279">
        <f t="shared" si="1"/>
        <v>3223929839.0367641</v>
      </c>
      <c r="F80" s="511">
        <f t="shared" si="2"/>
        <v>2472473908.4487367</v>
      </c>
      <c r="G80" s="511">
        <f t="shared" si="3"/>
        <v>618205480.21479368</v>
      </c>
      <c r="H80" s="511">
        <f t="shared" si="4"/>
        <v>133250450.37323388</v>
      </c>
      <c r="I80" s="257" t="s">
        <v>380</v>
      </c>
      <c r="J80" s="257"/>
      <c r="K80" s="47"/>
    </row>
    <row r="81" spans="1:11" ht="13">
      <c r="A81" s="2">
        <f t="shared" si="5"/>
        <v>34</v>
      </c>
      <c r="C81" s="14" t="s">
        <v>388</v>
      </c>
      <c r="D81" s="350">
        <v>2021</v>
      </c>
      <c r="E81" s="279">
        <f t="shared" si="1"/>
        <v>3215500224.9229736</v>
      </c>
      <c r="F81" s="511">
        <f t="shared" si="2"/>
        <v>2466083288.2276816</v>
      </c>
      <c r="G81" s="511">
        <f t="shared" si="3"/>
        <v>616561407.07551229</v>
      </c>
      <c r="H81" s="511">
        <f t="shared" si="4"/>
        <v>132855529.61977965</v>
      </c>
      <c r="I81" s="257" t="s">
        <v>380</v>
      </c>
      <c r="J81" s="257"/>
      <c r="K81" s="2"/>
    </row>
    <row r="82" spans="1:11" ht="13">
      <c r="A82" s="2">
        <f t="shared" si="5"/>
        <v>35</v>
      </c>
      <c r="C82" s="14" t="s">
        <v>389</v>
      </c>
      <c r="D82" s="350">
        <v>2021</v>
      </c>
      <c r="E82" s="279">
        <f t="shared" si="1"/>
        <v>3207066439.2528057</v>
      </c>
      <c r="F82" s="511">
        <f t="shared" si="2"/>
        <v>2459688496.4502497</v>
      </c>
      <c r="G82" s="511">
        <f t="shared" si="3"/>
        <v>614917333.9362309</v>
      </c>
      <c r="H82" s="511">
        <f t="shared" si="4"/>
        <v>132460608.86632541</v>
      </c>
      <c r="I82" s="257" t="s">
        <v>380</v>
      </c>
      <c r="J82" s="257"/>
      <c r="K82" s="2"/>
    </row>
    <row r="83" spans="1:11" ht="13">
      <c r="A83" s="2">
        <f t="shared" si="5"/>
        <v>36</v>
      </c>
      <c r="C83" s="14" t="s">
        <v>972</v>
      </c>
      <c r="D83" s="350">
        <v>2021</v>
      </c>
      <c r="E83" s="279">
        <f t="shared" si="1"/>
        <v>3198677311.6561189</v>
      </c>
      <c r="F83" s="511">
        <f t="shared" si="2"/>
        <v>2453338362.7462983</v>
      </c>
      <c r="G83" s="511">
        <f t="shared" si="3"/>
        <v>613273260.79694939</v>
      </c>
      <c r="H83" s="511">
        <f t="shared" si="4"/>
        <v>132065688.11287114</v>
      </c>
      <c r="I83" s="257" t="s">
        <v>380</v>
      </c>
      <c r="J83" s="257"/>
      <c r="K83" s="2"/>
    </row>
    <row r="84" spans="1:11" ht="13">
      <c r="A84" s="2">
        <f t="shared" si="5"/>
        <v>37</v>
      </c>
      <c r="C84" s="14" t="s">
        <v>391</v>
      </c>
      <c r="D84" s="350">
        <v>2021</v>
      </c>
      <c r="E84" s="279">
        <f t="shared" si="1"/>
        <v>3190254778.7470069</v>
      </c>
      <c r="F84" s="511">
        <f t="shared" si="2"/>
        <v>2446954823.7299218</v>
      </c>
      <c r="G84" s="511">
        <f t="shared" si="3"/>
        <v>611629187.65766799</v>
      </c>
      <c r="H84" s="511">
        <f t="shared" si="4"/>
        <v>131670767.3594169</v>
      </c>
      <c r="I84" s="257" t="s">
        <v>380</v>
      </c>
      <c r="J84" s="257"/>
      <c r="K84" s="2"/>
    </row>
    <row r="85" spans="1:11" ht="13">
      <c r="A85" s="2">
        <f t="shared" si="5"/>
        <v>38</v>
      </c>
      <c r="C85" s="14" t="s">
        <v>379</v>
      </c>
      <c r="D85" s="350">
        <v>2021</v>
      </c>
      <c r="E85" s="36">
        <f t="shared" si="1"/>
        <v>3181841113.4563131</v>
      </c>
      <c r="F85" s="36">
        <f t="shared" si="2"/>
        <v>2440580152.3319635</v>
      </c>
      <c r="G85" s="36">
        <f t="shared" si="3"/>
        <v>609985114.5183866</v>
      </c>
      <c r="H85" s="36">
        <f t="shared" si="4"/>
        <v>131275846.60596265</v>
      </c>
      <c r="I85" s="257" t="s">
        <v>380</v>
      </c>
      <c r="J85" s="257"/>
      <c r="K85" s="2"/>
    </row>
    <row r="86" spans="1:11" ht="13">
      <c r="A86" s="2">
        <f t="shared" si="5"/>
        <v>39</v>
      </c>
      <c r="C86" s="14"/>
      <c r="D86" s="663" t="s">
        <v>973</v>
      </c>
      <c r="E86" s="279">
        <f>SUM(E73:E85)/13</f>
        <v>3232348966.5547109</v>
      </c>
      <c r="F86" s="279">
        <f>SUM(F73:F85)/13</f>
        <v>2478854042.0739474</v>
      </c>
      <c r="G86" s="279">
        <f>SUM(G73:G85)/13</f>
        <v>619849553.35407507</v>
      </c>
      <c r="H86" s="279">
        <f>SUM(H73:H85)/13</f>
        <v>133645371.12668815</v>
      </c>
      <c r="I86" s="1"/>
      <c r="J86" s="1"/>
      <c r="K86" s="2"/>
    </row>
    <row r="88" spans="1:11" ht="13">
      <c r="A88" s="2"/>
      <c r="C88" s="15" t="s">
        <v>1195</v>
      </c>
      <c r="D88" s="278"/>
      <c r="E88" s="279"/>
      <c r="F88" s="279"/>
      <c r="G88" s="279"/>
      <c r="H88" s="279"/>
      <c r="I88" s="1"/>
      <c r="J88" s="1"/>
    </row>
    <row r="89" spans="1:11" ht="13">
      <c r="A89" s="2"/>
      <c r="C89" s="15"/>
      <c r="D89" s="278"/>
      <c r="E89" s="48" t="s">
        <v>336</v>
      </c>
      <c r="F89" s="48" t="s">
        <v>337</v>
      </c>
      <c r="G89" s="48" t="s">
        <v>338</v>
      </c>
      <c r="H89" s="279"/>
      <c r="I89" s="1"/>
      <c r="J89" s="1"/>
    </row>
    <row r="90" spans="1:11" ht="13">
      <c r="A90" s="2"/>
      <c r="C90" s="270"/>
      <c r="D90" s="278"/>
      <c r="G90" s="257" t="s">
        <v>1196</v>
      </c>
      <c r="H90" s="279"/>
      <c r="I90" s="1"/>
      <c r="J90" s="1"/>
    </row>
    <row r="91" spans="1:11" ht="13">
      <c r="A91" s="2"/>
      <c r="C91" s="270"/>
      <c r="D91" s="278"/>
      <c r="E91" s="189" t="s">
        <v>725</v>
      </c>
      <c r="F91" s="279"/>
      <c r="G91" s="280" t="s">
        <v>1197</v>
      </c>
      <c r="H91" s="279"/>
      <c r="I91" s="1"/>
      <c r="J91" s="1"/>
    </row>
    <row r="92" spans="1:11" ht="13">
      <c r="A92" s="2"/>
      <c r="C92" s="2" t="s">
        <v>1187</v>
      </c>
      <c r="E92" s="189" t="s">
        <v>1198</v>
      </c>
      <c r="F92" s="189" t="s">
        <v>706</v>
      </c>
      <c r="G92" s="189" t="s">
        <v>1198</v>
      </c>
      <c r="H92" s="279"/>
      <c r="I92" s="1"/>
      <c r="J92" s="1"/>
    </row>
    <row r="93" spans="1:11" ht="13">
      <c r="A93" s="2"/>
      <c r="C93" s="2" t="s">
        <v>372</v>
      </c>
      <c r="E93" s="189" t="s">
        <v>1161</v>
      </c>
      <c r="F93" s="4" t="s">
        <v>1199</v>
      </c>
      <c r="G93" s="189" t="s">
        <v>1161</v>
      </c>
      <c r="H93" s="279"/>
      <c r="I93" s="1"/>
      <c r="J93" s="1"/>
    </row>
    <row r="94" spans="1:11" ht="13">
      <c r="A94" s="2"/>
      <c r="C94" s="18" t="s">
        <v>371</v>
      </c>
      <c r="D94" s="18" t="s">
        <v>372</v>
      </c>
      <c r="E94" s="190" t="s">
        <v>1200</v>
      </c>
      <c r="F94" s="3" t="s">
        <v>1201</v>
      </c>
      <c r="G94" s="190" t="s">
        <v>1200</v>
      </c>
      <c r="H94" s="190" t="s">
        <v>1202</v>
      </c>
      <c r="I94" s="1"/>
      <c r="J94" s="1"/>
    </row>
    <row r="95" spans="1:11" ht="12.75" customHeight="1">
      <c r="A95" s="2">
        <f>A86+1</f>
        <v>40</v>
      </c>
      <c r="C95" s="270" t="s">
        <v>379</v>
      </c>
      <c r="D95" s="500">
        <v>2020</v>
      </c>
      <c r="E95" s="6">
        <f t="shared" ref="E95:E107" si="6">H118+H138+H158+H177+H196+H215+H234+H253+H272+H291+H310+H330</f>
        <v>0</v>
      </c>
      <c r="F95" s="281">
        <v>0</v>
      </c>
      <c r="G95" s="279">
        <f>E95-F95</f>
        <v>0</v>
      </c>
      <c r="H95" s="286" t="s">
        <v>1203</v>
      </c>
      <c r="I95" s="1"/>
      <c r="J95" s="6"/>
    </row>
    <row r="96" spans="1:11" ht="13">
      <c r="A96" s="2">
        <f>A95+1</f>
        <v>41</v>
      </c>
      <c r="C96" s="270" t="s">
        <v>381</v>
      </c>
      <c r="D96" s="350">
        <v>2021</v>
      </c>
      <c r="E96" s="6">
        <f t="shared" si="6"/>
        <v>10621837.975339472</v>
      </c>
      <c r="F96" s="281">
        <v>0</v>
      </c>
      <c r="G96" s="279">
        <f t="shared" ref="G96:G107" si="7">E96-F96</f>
        <v>10621837.975339472</v>
      </c>
      <c r="H96" s="286" t="s">
        <v>1204</v>
      </c>
      <c r="I96" s="42"/>
      <c r="J96" s="6"/>
    </row>
    <row r="97" spans="1:10" ht="13">
      <c r="A97" s="2">
        <f t="shared" ref="A97:A108" si="8">A96+1</f>
        <v>42</v>
      </c>
      <c r="C97" s="270" t="s">
        <v>382</v>
      </c>
      <c r="D97" s="350">
        <v>2021</v>
      </c>
      <c r="E97" s="6">
        <f t="shared" si="6"/>
        <v>2958067.824352704</v>
      </c>
      <c r="F97" s="281">
        <v>0</v>
      </c>
      <c r="G97" s="279">
        <f t="shared" si="7"/>
        <v>2958067.824352704</v>
      </c>
      <c r="H97" s="286"/>
      <c r="I97" s="42"/>
      <c r="J97" s="6"/>
    </row>
    <row r="98" spans="1:10" ht="13">
      <c r="A98" s="2">
        <f t="shared" si="8"/>
        <v>43</v>
      </c>
      <c r="C98" s="270" t="s">
        <v>383</v>
      </c>
      <c r="D98" s="350">
        <v>2021</v>
      </c>
      <c r="E98" s="6">
        <f t="shared" si="6"/>
        <v>223464.13973378763</v>
      </c>
      <c r="F98" s="281">
        <v>0</v>
      </c>
      <c r="G98" s="279">
        <f t="shared" si="7"/>
        <v>223464.13973378763</v>
      </c>
      <c r="H98" s="279"/>
      <c r="I98" s="42"/>
      <c r="J98" s="6"/>
    </row>
    <row r="99" spans="1:10" ht="13">
      <c r="A99" s="2">
        <f t="shared" si="8"/>
        <v>44</v>
      </c>
      <c r="C99" s="270" t="s">
        <v>384</v>
      </c>
      <c r="D99" s="350">
        <v>2021</v>
      </c>
      <c r="E99" s="6">
        <f t="shared" si="6"/>
        <v>776788.10002415255</v>
      </c>
      <c r="F99" s="281">
        <v>0</v>
      </c>
      <c r="G99" s="279">
        <f t="shared" si="7"/>
        <v>776788.10002415255</v>
      </c>
      <c r="H99" s="279"/>
      <c r="I99" s="42"/>
      <c r="J99" s="6"/>
    </row>
    <row r="100" spans="1:10" ht="13">
      <c r="A100" s="2">
        <f t="shared" si="8"/>
        <v>45</v>
      </c>
      <c r="C100" s="270" t="s">
        <v>385</v>
      </c>
      <c r="D100" s="350">
        <v>2021</v>
      </c>
      <c r="E100" s="6">
        <f t="shared" si="6"/>
        <v>660832777.90895367</v>
      </c>
      <c r="F100" s="281">
        <v>0</v>
      </c>
      <c r="G100" s="279">
        <f t="shared" si="7"/>
        <v>660832777.90895367</v>
      </c>
      <c r="H100" s="279"/>
      <c r="I100" s="42"/>
      <c r="J100" s="6"/>
    </row>
    <row r="101" spans="1:10" ht="13">
      <c r="A101" s="2">
        <f t="shared" si="8"/>
        <v>46</v>
      </c>
      <c r="C101" s="270" t="s">
        <v>386</v>
      </c>
      <c r="D101" s="350">
        <v>2021</v>
      </c>
      <c r="E101" s="6">
        <f t="shared" si="6"/>
        <v>1851185.7353781164</v>
      </c>
      <c r="F101" s="281">
        <v>0</v>
      </c>
      <c r="G101" s="279">
        <f t="shared" si="7"/>
        <v>1851185.7353781164</v>
      </c>
      <c r="H101" s="279"/>
      <c r="I101" s="42"/>
      <c r="J101" s="6"/>
    </row>
    <row r="102" spans="1:10" ht="13">
      <c r="A102" s="2">
        <f t="shared" si="8"/>
        <v>47</v>
      </c>
      <c r="C102" s="270" t="s">
        <v>387</v>
      </c>
      <c r="D102" s="350">
        <v>2021</v>
      </c>
      <c r="E102" s="6">
        <f t="shared" si="6"/>
        <v>-396603524.9773339</v>
      </c>
      <c r="F102" s="281">
        <v>0</v>
      </c>
      <c r="G102" s="279">
        <f t="shared" si="7"/>
        <v>-396603524.9773339</v>
      </c>
      <c r="H102" s="279"/>
      <c r="I102" s="42"/>
      <c r="J102" s="6"/>
    </row>
    <row r="103" spans="1:10" ht="13">
      <c r="A103" s="2">
        <f t="shared" si="8"/>
        <v>48</v>
      </c>
      <c r="C103" s="270" t="s">
        <v>388</v>
      </c>
      <c r="D103" s="350">
        <v>2021</v>
      </c>
      <c r="E103" s="6">
        <f t="shared" si="6"/>
        <v>1261566.727819562</v>
      </c>
      <c r="F103" s="281">
        <v>0</v>
      </c>
      <c r="G103" s="279">
        <f t="shared" si="7"/>
        <v>1261566.727819562</v>
      </c>
      <c r="H103" s="279"/>
      <c r="I103" s="42"/>
      <c r="J103" s="6"/>
    </row>
    <row r="104" spans="1:10" ht="13">
      <c r="A104" s="2">
        <f t="shared" si="8"/>
        <v>49</v>
      </c>
      <c r="C104" s="270" t="s">
        <v>389</v>
      </c>
      <c r="D104" s="350">
        <v>2021</v>
      </c>
      <c r="E104" s="6">
        <f t="shared" si="6"/>
        <v>3057608.3616564572</v>
      </c>
      <c r="F104" s="281">
        <v>0</v>
      </c>
      <c r="G104" s="279">
        <f t="shared" si="7"/>
        <v>3057608.3616564572</v>
      </c>
      <c r="H104" s="279"/>
      <c r="I104" s="42"/>
      <c r="J104" s="6"/>
    </row>
    <row r="105" spans="1:10" ht="13">
      <c r="A105" s="2">
        <f t="shared" si="8"/>
        <v>50</v>
      </c>
      <c r="C105" s="270" t="s">
        <v>972</v>
      </c>
      <c r="D105" s="350">
        <v>2021</v>
      </c>
      <c r="E105" s="6">
        <f t="shared" si="6"/>
        <v>1210822.1835961044</v>
      </c>
      <c r="F105" s="281">
        <v>0</v>
      </c>
      <c r="G105" s="279">
        <f t="shared" si="7"/>
        <v>1210822.1835961044</v>
      </c>
      <c r="H105" s="279"/>
      <c r="I105" s="42"/>
      <c r="J105" s="6"/>
    </row>
    <row r="106" spans="1:10" ht="13">
      <c r="A106" s="2">
        <f t="shared" si="8"/>
        <v>51</v>
      </c>
      <c r="C106" s="270" t="s">
        <v>391</v>
      </c>
      <c r="D106" s="350">
        <v>2021</v>
      </c>
      <c r="E106" s="6">
        <f t="shared" si="6"/>
        <v>24821288.543203965</v>
      </c>
      <c r="F106" s="281">
        <v>0</v>
      </c>
      <c r="G106" s="279">
        <f t="shared" si="7"/>
        <v>24821288.543203965</v>
      </c>
      <c r="H106" s="279"/>
      <c r="I106" s="42"/>
      <c r="J106" s="6"/>
    </row>
    <row r="107" spans="1:10" ht="13">
      <c r="A107" s="2">
        <f t="shared" si="8"/>
        <v>52</v>
      </c>
      <c r="C107" s="270" t="s">
        <v>379</v>
      </c>
      <c r="D107" s="350">
        <v>2021</v>
      </c>
      <c r="E107" s="53">
        <f t="shared" si="6"/>
        <v>15988265.309710106</v>
      </c>
      <c r="F107" s="218">
        <v>0</v>
      </c>
      <c r="G107" s="36">
        <f t="shared" si="7"/>
        <v>15988265.309710106</v>
      </c>
      <c r="H107" s="279"/>
      <c r="I107" s="42"/>
      <c r="J107" s="6"/>
    </row>
    <row r="108" spans="1:10" ht="13">
      <c r="A108" s="2">
        <f t="shared" si="8"/>
        <v>53</v>
      </c>
      <c r="C108" s="270" t="s">
        <v>249</v>
      </c>
      <c r="D108" s="274"/>
      <c r="E108" s="6">
        <f>SUM(E95:E107)</f>
        <v>327000147.83243424</v>
      </c>
      <c r="F108" s="6">
        <f t="shared" ref="F108:G108" si="9">SUM(F95:F107)</f>
        <v>0</v>
      </c>
      <c r="G108" s="6">
        <f t="shared" si="9"/>
        <v>327000147.83243424</v>
      </c>
      <c r="H108" s="279"/>
      <c r="I108" s="42"/>
      <c r="J108" s="1"/>
    </row>
    <row r="109" spans="1:10" ht="13">
      <c r="A109" s="2"/>
      <c r="C109" s="270"/>
      <c r="D109" s="274"/>
      <c r="E109" s="6"/>
      <c r="F109" s="279"/>
      <c r="G109" s="279"/>
      <c r="H109" s="279"/>
      <c r="I109" s="42"/>
      <c r="J109" s="1"/>
    </row>
    <row r="111" spans="1:10" ht="13">
      <c r="C111" s="15" t="s">
        <v>1205</v>
      </c>
    </row>
    <row r="113" spans="1:9" ht="13">
      <c r="C113" s="1" t="s">
        <v>1206</v>
      </c>
      <c r="E113" s="48" t="s">
        <v>336</v>
      </c>
      <c r="F113" s="48" t="s">
        <v>337</v>
      </c>
      <c r="G113" s="48" t="s">
        <v>338</v>
      </c>
      <c r="H113" s="48" t="s">
        <v>339</v>
      </c>
    </row>
    <row r="114" spans="1:9">
      <c r="G114" s="257" t="s">
        <v>1196</v>
      </c>
      <c r="H114" s="257" t="s">
        <v>1207</v>
      </c>
    </row>
    <row r="115" spans="1:9" ht="13">
      <c r="C115" s="2" t="s">
        <v>1187</v>
      </c>
      <c r="H115" s="252" t="s">
        <v>1208</v>
      </c>
    </row>
    <row r="116" spans="1:9" ht="13">
      <c r="C116" s="2" t="s">
        <v>372</v>
      </c>
      <c r="E116" s="2" t="s">
        <v>660</v>
      </c>
      <c r="F116" s="2" t="s">
        <v>1209</v>
      </c>
      <c r="G116" s="2" t="s">
        <v>1210</v>
      </c>
      <c r="H116" s="2" t="s">
        <v>704</v>
      </c>
    </row>
    <row r="117" spans="1:9" ht="13">
      <c r="C117" s="18" t="s">
        <v>371</v>
      </c>
      <c r="D117" s="18" t="s">
        <v>372</v>
      </c>
      <c r="E117" s="3" t="s">
        <v>1211</v>
      </c>
      <c r="F117" s="3" t="s">
        <v>38</v>
      </c>
      <c r="G117" s="3" t="s">
        <v>1177</v>
      </c>
      <c r="H117" s="3" t="s">
        <v>1201</v>
      </c>
    </row>
    <row r="118" spans="1:9" ht="13">
      <c r="A118" s="2">
        <f>A108+1</f>
        <v>54</v>
      </c>
      <c r="C118" s="270" t="s">
        <v>379</v>
      </c>
      <c r="D118" s="500">
        <v>2020</v>
      </c>
      <c r="E118" s="60">
        <v>3062416114.7472153</v>
      </c>
      <c r="F118" s="60">
        <v>545302382.15504014</v>
      </c>
      <c r="G118" s="6">
        <f t="shared" ref="G118:G130" si="10">E118-F118</f>
        <v>2517113732.592175</v>
      </c>
      <c r="H118" s="6">
        <f>E118-E118</f>
        <v>0</v>
      </c>
      <c r="I118" s="305"/>
    </row>
    <row r="119" spans="1:9" ht="13">
      <c r="A119" s="2">
        <f>A118+1</f>
        <v>55</v>
      </c>
      <c r="C119" s="270" t="s">
        <v>381</v>
      </c>
      <c r="D119" s="350">
        <v>2021</v>
      </c>
      <c r="E119" s="60">
        <v>3062441607.5572147</v>
      </c>
      <c r="F119" s="60">
        <v>551693856.84648633</v>
      </c>
      <c r="G119" s="6">
        <f t="shared" si="10"/>
        <v>2510747750.7107286</v>
      </c>
      <c r="H119" s="6">
        <f>E119-E118</f>
        <v>25492.809999465942</v>
      </c>
    </row>
    <row r="120" spans="1:9" ht="13">
      <c r="A120" s="2">
        <f t="shared" ref="A120:A130" si="11">A119+1</f>
        <v>56</v>
      </c>
      <c r="C120" s="270" t="s">
        <v>382</v>
      </c>
      <c r="D120" s="350">
        <v>2021</v>
      </c>
      <c r="E120" s="60">
        <v>3062467775.7972155</v>
      </c>
      <c r="F120" s="60">
        <v>558085402.51742029</v>
      </c>
      <c r="G120" s="6">
        <f t="shared" si="10"/>
        <v>2504382373.2797952</v>
      </c>
      <c r="H120" s="6">
        <f t="shared" ref="H120:H130" si="12">E120-E119</f>
        <v>26168.240000724792</v>
      </c>
    </row>
    <row r="121" spans="1:9" ht="13">
      <c r="A121" s="2">
        <f t="shared" si="11"/>
        <v>57</v>
      </c>
      <c r="C121" s="270" t="s">
        <v>383</v>
      </c>
      <c r="D121" s="350">
        <v>2021</v>
      </c>
      <c r="E121" s="60">
        <v>3062483321.0372152</v>
      </c>
      <c r="F121" s="60">
        <v>564477004.68883765</v>
      </c>
      <c r="G121" s="6">
        <f t="shared" si="10"/>
        <v>2498006316.3483777</v>
      </c>
      <c r="H121" s="6">
        <f t="shared" si="12"/>
        <v>15545.239999771118</v>
      </c>
    </row>
    <row r="122" spans="1:9" ht="13">
      <c r="A122" s="2">
        <f t="shared" si="11"/>
        <v>58</v>
      </c>
      <c r="C122" s="270" t="s">
        <v>384</v>
      </c>
      <c r="D122" s="350">
        <v>2021</v>
      </c>
      <c r="E122" s="60">
        <v>3062497833.6272154</v>
      </c>
      <c r="F122" s="60">
        <v>570868643.01558876</v>
      </c>
      <c r="G122" s="6">
        <f t="shared" si="10"/>
        <v>2491629190.6116266</v>
      </c>
      <c r="H122" s="6">
        <f t="shared" si="12"/>
        <v>14512.590000152588</v>
      </c>
    </row>
    <row r="123" spans="1:9" ht="13">
      <c r="A123" s="2">
        <f t="shared" si="11"/>
        <v>59</v>
      </c>
      <c r="C123" s="270" t="s">
        <v>385</v>
      </c>
      <c r="D123" s="350">
        <v>2021</v>
      </c>
      <c r="E123" s="60">
        <v>3062506823.027215</v>
      </c>
      <c r="F123" s="60">
        <v>577260315.24225068</v>
      </c>
      <c r="G123" s="6">
        <f t="shared" si="10"/>
        <v>2485246507.7849646</v>
      </c>
      <c r="H123" s="6">
        <f t="shared" si="12"/>
        <v>8989.3999996185303</v>
      </c>
    </row>
    <row r="124" spans="1:9" ht="13">
      <c r="A124" s="2">
        <f t="shared" si="11"/>
        <v>60</v>
      </c>
      <c r="C124" s="270" t="s">
        <v>386</v>
      </c>
      <c r="D124" s="350">
        <v>2021</v>
      </c>
      <c r="E124" s="60">
        <v>3062509635.007215</v>
      </c>
      <c r="F124" s="60">
        <v>583651991.30841875</v>
      </c>
      <c r="G124" s="6">
        <f t="shared" si="10"/>
        <v>2478857643.6987963</v>
      </c>
      <c r="H124" s="6">
        <f t="shared" si="12"/>
        <v>2811.9800000190735</v>
      </c>
    </row>
    <row r="125" spans="1:9" ht="13">
      <c r="A125" s="2">
        <f t="shared" si="11"/>
        <v>61</v>
      </c>
      <c r="C125" s="270" t="s">
        <v>387</v>
      </c>
      <c r="D125" s="350">
        <v>2021</v>
      </c>
      <c r="E125" s="60">
        <v>3062517582.4772153</v>
      </c>
      <c r="F125" s="60">
        <v>590043674.02847862</v>
      </c>
      <c r="G125" s="6">
        <f t="shared" si="10"/>
        <v>2472473908.4487367</v>
      </c>
      <c r="H125" s="6">
        <f t="shared" si="12"/>
        <v>7947.4700002670288</v>
      </c>
    </row>
    <row r="126" spans="1:9" ht="13">
      <c r="A126" s="2">
        <f t="shared" si="11"/>
        <v>62</v>
      </c>
      <c r="C126" s="270" t="s">
        <v>388</v>
      </c>
      <c r="D126" s="350">
        <v>2021</v>
      </c>
      <c r="E126" s="60">
        <v>3062518646.0172148</v>
      </c>
      <c r="F126" s="60">
        <v>596435357.78953302</v>
      </c>
      <c r="G126" s="6">
        <f t="shared" si="10"/>
        <v>2466083288.2276816</v>
      </c>
      <c r="H126" s="6">
        <f t="shared" si="12"/>
        <v>1063.5399994850159</v>
      </c>
    </row>
    <row r="127" spans="1:9" ht="13">
      <c r="A127" s="2">
        <f t="shared" si="11"/>
        <v>63</v>
      </c>
      <c r="C127" s="270" t="s">
        <v>389</v>
      </c>
      <c r="D127" s="350">
        <v>2021</v>
      </c>
      <c r="E127" s="60">
        <v>3062515540.7672153</v>
      </c>
      <c r="F127" s="60">
        <v>602827044.31696558</v>
      </c>
      <c r="G127" s="6">
        <f t="shared" si="10"/>
        <v>2459688496.4502497</v>
      </c>
      <c r="H127" s="6">
        <f t="shared" si="12"/>
        <v>-3105.2499995231628</v>
      </c>
    </row>
    <row r="128" spans="1:9" ht="13">
      <c r="A128" s="2">
        <f t="shared" si="11"/>
        <v>64</v>
      </c>
      <c r="C128" s="270" t="s">
        <v>972</v>
      </c>
      <c r="D128" s="350">
        <v>2021</v>
      </c>
      <c r="E128" s="60">
        <v>3062557086.4372153</v>
      </c>
      <c r="F128" s="60">
        <v>609218723.69091713</v>
      </c>
      <c r="G128" s="6">
        <f t="shared" si="10"/>
        <v>2453338362.7462983</v>
      </c>
      <c r="H128" s="6">
        <f t="shared" si="12"/>
        <v>41545.670000076294</v>
      </c>
    </row>
    <row r="129" spans="1:8" ht="13">
      <c r="A129" s="2">
        <f t="shared" si="11"/>
        <v>65</v>
      </c>
      <c r="C129" s="270" t="s">
        <v>391</v>
      </c>
      <c r="D129" s="350">
        <v>2021</v>
      </c>
      <c r="E129" s="60">
        <v>3062565279.6472154</v>
      </c>
      <c r="F129" s="60">
        <v>615610455.91729355</v>
      </c>
      <c r="G129" s="6">
        <f t="shared" si="10"/>
        <v>2446954823.7299218</v>
      </c>
      <c r="H129" s="6">
        <f t="shared" si="12"/>
        <v>8193.210000038147</v>
      </c>
    </row>
    <row r="130" spans="1:8" ht="13">
      <c r="A130" s="2">
        <f t="shared" si="11"/>
        <v>66</v>
      </c>
      <c r="C130" s="270" t="s">
        <v>379</v>
      </c>
      <c r="D130" s="350">
        <v>2021</v>
      </c>
      <c r="E130" s="60">
        <v>3062582365.8372154</v>
      </c>
      <c r="F130" s="60">
        <v>622002213.50525188</v>
      </c>
      <c r="G130" s="6">
        <f t="shared" si="10"/>
        <v>2440580152.3319635</v>
      </c>
      <c r="H130" s="6">
        <f t="shared" si="12"/>
        <v>17086.19000005722</v>
      </c>
    </row>
    <row r="131" spans="1:8" ht="13">
      <c r="A131" s="2"/>
      <c r="C131" s="270"/>
      <c r="D131" s="274"/>
    </row>
    <row r="133" spans="1:8" ht="13">
      <c r="C133" s="15" t="s">
        <v>1212</v>
      </c>
      <c r="E133" s="48" t="s">
        <v>336</v>
      </c>
      <c r="F133" s="48" t="s">
        <v>337</v>
      </c>
      <c r="G133" s="48" t="s">
        <v>338</v>
      </c>
      <c r="H133" s="48" t="s">
        <v>339</v>
      </c>
    </row>
    <row r="134" spans="1:8">
      <c r="G134" s="257" t="s">
        <v>1196</v>
      </c>
      <c r="H134" s="257" t="s">
        <v>1207</v>
      </c>
    </row>
    <row r="135" spans="1:8" ht="13">
      <c r="C135" s="2" t="s">
        <v>1187</v>
      </c>
      <c r="H135" s="252" t="s">
        <v>1208</v>
      </c>
    </row>
    <row r="136" spans="1:8" ht="13">
      <c r="C136" s="2" t="s">
        <v>372</v>
      </c>
      <c r="E136" s="2" t="s">
        <v>660</v>
      </c>
      <c r="F136" s="2" t="s">
        <v>1209</v>
      </c>
      <c r="G136" s="2" t="s">
        <v>1210</v>
      </c>
      <c r="H136" s="2" t="s">
        <v>704</v>
      </c>
    </row>
    <row r="137" spans="1:8" ht="13">
      <c r="C137" s="18" t="s">
        <v>371</v>
      </c>
      <c r="D137" s="18" t="s">
        <v>372</v>
      </c>
      <c r="E137" s="3" t="s">
        <v>1211</v>
      </c>
      <c r="F137" s="3" t="s">
        <v>38</v>
      </c>
      <c r="G137" s="3" t="s">
        <v>1177</v>
      </c>
      <c r="H137" s="3" t="s">
        <v>1201</v>
      </c>
    </row>
    <row r="138" spans="1:8" ht="13">
      <c r="A138" s="2">
        <f>A130+1</f>
        <v>67</v>
      </c>
      <c r="C138" s="270" t="s">
        <v>379</v>
      </c>
      <c r="D138" s="500">
        <v>2020</v>
      </c>
      <c r="E138" s="60">
        <v>191500873.53999996</v>
      </c>
      <c r="F138" s="60">
        <v>55485977.892586321</v>
      </c>
      <c r="G138" s="6">
        <f>E138-F138</f>
        <v>136014895.64741364</v>
      </c>
      <c r="H138" s="6">
        <f>E138-E138</f>
        <v>0</v>
      </c>
    </row>
    <row r="139" spans="1:8" ht="13">
      <c r="A139" s="2">
        <f>A138+1</f>
        <v>68</v>
      </c>
      <c r="C139" s="270" t="s">
        <v>381</v>
      </c>
      <c r="D139" s="350">
        <v>2021</v>
      </c>
      <c r="E139" s="60">
        <v>191500873.53999996</v>
      </c>
      <c r="F139" s="60">
        <v>55880898.646040566</v>
      </c>
      <c r="G139" s="6">
        <f t="shared" ref="G139:G150" si="13">E139-F139</f>
        <v>135619974.8939594</v>
      </c>
      <c r="H139" s="6">
        <f>E139-E138</f>
        <v>0</v>
      </c>
    </row>
    <row r="140" spans="1:8" ht="13">
      <c r="A140" s="2">
        <f t="shared" ref="A140:A150" si="14">A139+1</f>
        <v>69</v>
      </c>
      <c r="C140" s="270" t="s">
        <v>382</v>
      </c>
      <c r="D140" s="350">
        <v>2021</v>
      </c>
      <c r="E140" s="60">
        <v>191500873.53999996</v>
      </c>
      <c r="F140" s="60">
        <v>56275819.399494827</v>
      </c>
      <c r="G140" s="6">
        <f t="shared" si="13"/>
        <v>135225054.14050514</v>
      </c>
      <c r="H140" s="6">
        <f t="shared" ref="H140:H150" si="15">E140-E139</f>
        <v>0</v>
      </c>
    </row>
    <row r="141" spans="1:8" ht="13">
      <c r="A141" s="2">
        <f t="shared" si="14"/>
        <v>70</v>
      </c>
      <c r="C141" s="270" t="s">
        <v>383</v>
      </c>
      <c r="D141" s="350">
        <v>2021</v>
      </c>
      <c r="E141" s="60">
        <v>191500873.53999996</v>
      </c>
      <c r="F141" s="60">
        <v>56670740.152949072</v>
      </c>
      <c r="G141" s="6">
        <f t="shared" si="13"/>
        <v>134830133.3870509</v>
      </c>
      <c r="H141" s="6">
        <f t="shared" si="15"/>
        <v>0</v>
      </c>
    </row>
    <row r="142" spans="1:8" ht="13">
      <c r="A142" s="2">
        <f t="shared" si="14"/>
        <v>71</v>
      </c>
      <c r="C142" s="270" t="s">
        <v>384</v>
      </c>
      <c r="D142" s="350">
        <v>2021</v>
      </c>
      <c r="E142" s="60">
        <v>191500873.53999996</v>
      </c>
      <c r="F142" s="60">
        <v>57065660.906403318</v>
      </c>
      <c r="G142" s="6">
        <f t="shared" si="13"/>
        <v>134435212.63359666</v>
      </c>
      <c r="H142" s="6">
        <f t="shared" si="15"/>
        <v>0</v>
      </c>
    </row>
    <row r="143" spans="1:8" ht="13">
      <c r="A143" s="2">
        <f t="shared" si="14"/>
        <v>72</v>
      </c>
      <c r="C143" s="270" t="s">
        <v>385</v>
      </c>
      <c r="D143" s="350">
        <v>2021</v>
      </c>
      <c r="E143" s="60">
        <v>191500873.53999996</v>
      </c>
      <c r="F143" s="60">
        <v>57460581.659857571</v>
      </c>
      <c r="G143" s="6">
        <f t="shared" si="13"/>
        <v>134040291.88014239</v>
      </c>
      <c r="H143" s="6">
        <f t="shared" si="15"/>
        <v>0</v>
      </c>
    </row>
    <row r="144" spans="1:8" ht="13">
      <c r="A144" s="2">
        <f t="shared" si="14"/>
        <v>73</v>
      </c>
      <c r="C144" s="270" t="s">
        <v>386</v>
      </c>
      <c r="D144" s="350">
        <v>2021</v>
      </c>
      <c r="E144" s="60">
        <v>191500873.53999996</v>
      </c>
      <c r="F144" s="60">
        <v>57855502.413311824</v>
      </c>
      <c r="G144" s="6">
        <f t="shared" si="13"/>
        <v>133645371.12668814</v>
      </c>
      <c r="H144" s="6">
        <f t="shared" si="15"/>
        <v>0</v>
      </c>
    </row>
    <row r="145" spans="1:8" ht="13">
      <c r="A145" s="2">
        <f t="shared" si="14"/>
        <v>74</v>
      </c>
      <c r="C145" s="270" t="s">
        <v>387</v>
      </c>
      <c r="D145" s="350">
        <v>2021</v>
      </c>
      <c r="E145" s="60">
        <v>191500873.53999996</v>
      </c>
      <c r="F145" s="60">
        <v>58250423.16676607</v>
      </c>
      <c r="G145" s="6">
        <f t="shared" si="13"/>
        <v>133250450.37323388</v>
      </c>
      <c r="H145" s="6">
        <f t="shared" si="15"/>
        <v>0</v>
      </c>
    </row>
    <row r="146" spans="1:8" ht="13">
      <c r="A146" s="2">
        <f t="shared" si="14"/>
        <v>75</v>
      </c>
      <c r="C146" s="270" t="s">
        <v>388</v>
      </c>
      <c r="D146" s="350">
        <v>2021</v>
      </c>
      <c r="E146" s="60">
        <v>191500873.53999996</v>
      </c>
      <c r="F146" s="60">
        <v>58645343.920220315</v>
      </c>
      <c r="G146" s="6">
        <f t="shared" si="13"/>
        <v>132855529.61977965</v>
      </c>
      <c r="H146" s="6">
        <f t="shared" si="15"/>
        <v>0</v>
      </c>
    </row>
    <row r="147" spans="1:8" ht="13">
      <c r="A147" s="2">
        <f t="shared" si="14"/>
        <v>76</v>
      </c>
      <c r="C147" s="270" t="s">
        <v>389</v>
      </c>
      <c r="D147" s="350">
        <v>2021</v>
      </c>
      <c r="E147" s="60">
        <v>191500873.53999996</v>
      </c>
      <c r="F147" s="60">
        <v>59040264.673674561</v>
      </c>
      <c r="G147" s="6">
        <f t="shared" si="13"/>
        <v>132460608.86632541</v>
      </c>
      <c r="H147" s="6">
        <f t="shared" si="15"/>
        <v>0</v>
      </c>
    </row>
    <row r="148" spans="1:8" ht="13">
      <c r="A148" s="2">
        <f t="shared" si="14"/>
        <v>77</v>
      </c>
      <c r="C148" s="270" t="s">
        <v>972</v>
      </c>
      <c r="D148" s="350">
        <v>2021</v>
      </c>
      <c r="E148" s="60">
        <v>191500873.53999996</v>
      </c>
      <c r="F148" s="60">
        <v>59435185.427128814</v>
      </c>
      <c r="G148" s="6">
        <f t="shared" si="13"/>
        <v>132065688.11287114</v>
      </c>
      <c r="H148" s="6">
        <f t="shared" si="15"/>
        <v>0</v>
      </c>
    </row>
    <row r="149" spans="1:8" ht="13">
      <c r="A149" s="2">
        <f t="shared" si="14"/>
        <v>78</v>
      </c>
      <c r="C149" s="270" t="s">
        <v>391</v>
      </c>
      <c r="D149" s="350">
        <v>2021</v>
      </c>
      <c r="E149" s="60">
        <v>191500873.53999996</v>
      </c>
      <c r="F149" s="60">
        <v>59830106.18058306</v>
      </c>
      <c r="G149" s="6">
        <f t="shared" si="13"/>
        <v>131670767.3594169</v>
      </c>
      <c r="H149" s="6">
        <f t="shared" si="15"/>
        <v>0</v>
      </c>
    </row>
    <row r="150" spans="1:8" ht="13">
      <c r="A150" s="2">
        <f t="shared" si="14"/>
        <v>79</v>
      </c>
      <c r="C150" s="270" t="s">
        <v>379</v>
      </c>
      <c r="D150" s="350">
        <v>2021</v>
      </c>
      <c r="E150" s="60">
        <v>191500873.53999996</v>
      </c>
      <c r="F150" s="60">
        <v>60225026.934037313</v>
      </c>
      <c r="G150" s="6">
        <f t="shared" si="13"/>
        <v>131275846.60596265</v>
      </c>
      <c r="H150" s="6">
        <f t="shared" si="15"/>
        <v>0</v>
      </c>
    </row>
    <row r="151" spans="1:8" ht="13">
      <c r="A151" s="2"/>
    </row>
    <row r="152" spans="1:8" ht="12.75" customHeight="1"/>
    <row r="153" spans="1:8" ht="13">
      <c r="C153" s="15" t="s">
        <v>1213</v>
      </c>
      <c r="E153" s="48" t="s">
        <v>336</v>
      </c>
      <c r="F153" s="48" t="s">
        <v>337</v>
      </c>
      <c r="G153" s="48" t="s">
        <v>338</v>
      </c>
      <c r="H153" s="48" t="s">
        <v>339</v>
      </c>
    </row>
    <row r="154" spans="1:8">
      <c r="G154" s="257" t="s">
        <v>1196</v>
      </c>
      <c r="H154" s="257" t="s">
        <v>1207</v>
      </c>
    </row>
    <row r="155" spans="1:8" ht="13">
      <c r="C155" s="2" t="s">
        <v>1187</v>
      </c>
      <c r="H155" s="252" t="s">
        <v>1208</v>
      </c>
    </row>
    <row r="156" spans="1:8" ht="13">
      <c r="C156" s="2" t="s">
        <v>372</v>
      </c>
      <c r="E156" s="2" t="s">
        <v>660</v>
      </c>
      <c r="F156" s="2" t="s">
        <v>1209</v>
      </c>
      <c r="G156" s="2" t="s">
        <v>1210</v>
      </c>
      <c r="H156" s="2" t="s">
        <v>704</v>
      </c>
    </row>
    <row r="157" spans="1:8" ht="13">
      <c r="C157" s="18" t="s">
        <v>371</v>
      </c>
      <c r="D157" s="18" t="s">
        <v>372</v>
      </c>
      <c r="E157" s="3" t="s">
        <v>1211</v>
      </c>
      <c r="F157" s="3" t="s">
        <v>38</v>
      </c>
      <c r="G157" s="3" t="s">
        <v>1177</v>
      </c>
      <c r="H157" s="3" t="s">
        <v>1201</v>
      </c>
    </row>
    <row r="158" spans="1:8" ht="13">
      <c r="A158" s="2">
        <f>A150+1</f>
        <v>80</v>
      </c>
      <c r="C158" s="270" t="s">
        <v>379</v>
      </c>
      <c r="D158" s="500">
        <v>2020</v>
      </c>
      <c r="E158" s="60">
        <v>774699350.07999992</v>
      </c>
      <c r="F158" s="60">
        <v>144985357.89023629</v>
      </c>
      <c r="G158" s="6">
        <f t="shared" ref="G158:G170" si="16">E158-F158</f>
        <v>629713992.18976367</v>
      </c>
      <c r="H158" s="6">
        <f>E158-E158</f>
        <v>0</v>
      </c>
    </row>
    <row r="159" spans="1:8" ht="13">
      <c r="A159" s="2">
        <f>A158+1</f>
        <v>81</v>
      </c>
      <c r="C159" s="270" t="s">
        <v>381</v>
      </c>
      <c r="D159" s="350">
        <v>2021</v>
      </c>
      <c r="E159" s="60">
        <v>774699350.07999992</v>
      </c>
      <c r="F159" s="60">
        <v>146629431.02951768</v>
      </c>
      <c r="G159" s="6">
        <f t="shared" si="16"/>
        <v>628069919.05048227</v>
      </c>
      <c r="H159" s="6">
        <f>E159-E158</f>
        <v>0</v>
      </c>
    </row>
    <row r="160" spans="1:8" ht="13">
      <c r="A160" s="2">
        <f t="shared" ref="A160:A170" si="17">A159+1</f>
        <v>82</v>
      </c>
      <c r="C160" s="270" t="s">
        <v>382</v>
      </c>
      <c r="D160" s="350">
        <v>2021</v>
      </c>
      <c r="E160" s="60">
        <v>774699350.07999992</v>
      </c>
      <c r="F160" s="60">
        <v>148273504.16879913</v>
      </c>
      <c r="G160" s="6">
        <f t="shared" si="16"/>
        <v>626425845.91120076</v>
      </c>
      <c r="H160" s="6">
        <f t="shared" ref="H160:H170" si="18">E160-E159</f>
        <v>0</v>
      </c>
    </row>
    <row r="161" spans="1:8" ht="13">
      <c r="A161" s="2">
        <f t="shared" si="17"/>
        <v>83</v>
      </c>
      <c r="C161" s="270" t="s">
        <v>383</v>
      </c>
      <c r="D161" s="350">
        <v>2021</v>
      </c>
      <c r="E161" s="60">
        <v>774699350.07999992</v>
      </c>
      <c r="F161" s="60">
        <v>149917577.30808052</v>
      </c>
      <c r="G161" s="6">
        <f t="shared" si="16"/>
        <v>624781772.77191937</v>
      </c>
      <c r="H161" s="6">
        <f t="shared" si="18"/>
        <v>0</v>
      </c>
    </row>
    <row r="162" spans="1:8" ht="13">
      <c r="A162" s="2">
        <f t="shared" si="17"/>
        <v>84</v>
      </c>
      <c r="C162" s="270" t="s">
        <v>384</v>
      </c>
      <c r="D162" s="350">
        <v>2021</v>
      </c>
      <c r="E162" s="60">
        <v>774699350.07999992</v>
      </c>
      <c r="F162" s="60">
        <v>151561650.44736195</v>
      </c>
      <c r="G162" s="6">
        <f t="shared" si="16"/>
        <v>623137699.63263798</v>
      </c>
      <c r="H162" s="6">
        <f t="shared" si="18"/>
        <v>0</v>
      </c>
    </row>
    <row r="163" spans="1:8" ht="13">
      <c r="A163" s="2">
        <f t="shared" si="17"/>
        <v>85</v>
      </c>
      <c r="C163" s="270" t="s">
        <v>385</v>
      </c>
      <c r="D163" s="350">
        <v>2021</v>
      </c>
      <c r="E163" s="60">
        <v>774699350.07999992</v>
      </c>
      <c r="F163" s="60">
        <v>153205723.58664337</v>
      </c>
      <c r="G163" s="6">
        <f t="shared" si="16"/>
        <v>621493626.49335659</v>
      </c>
      <c r="H163" s="6">
        <f t="shared" si="18"/>
        <v>0</v>
      </c>
    </row>
    <row r="164" spans="1:8" ht="13">
      <c r="A164" s="2">
        <f t="shared" si="17"/>
        <v>86</v>
      </c>
      <c r="C164" s="270" t="s">
        <v>386</v>
      </c>
      <c r="D164" s="350">
        <v>2021</v>
      </c>
      <c r="E164" s="60">
        <v>774699350.07999992</v>
      </c>
      <c r="F164" s="60">
        <v>154849796.72592479</v>
      </c>
      <c r="G164" s="6">
        <f t="shared" si="16"/>
        <v>619849553.35407519</v>
      </c>
      <c r="H164" s="6">
        <f t="shared" si="18"/>
        <v>0</v>
      </c>
    </row>
    <row r="165" spans="1:8" ht="13">
      <c r="A165" s="2">
        <f t="shared" si="17"/>
        <v>87</v>
      </c>
      <c r="C165" s="270" t="s">
        <v>387</v>
      </c>
      <c r="D165" s="350">
        <v>2021</v>
      </c>
      <c r="E165" s="60">
        <v>774699350.07999992</v>
      </c>
      <c r="F165" s="60">
        <v>156493869.86520621</v>
      </c>
      <c r="G165" s="6">
        <f t="shared" si="16"/>
        <v>618205480.21479368</v>
      </c>
      <c r="H165" s="6">
        <f t="shared" si="18"/>
        <v>0</v>
      </c>
    </row>
    <row r="166" spans="1:8" ht="13">
      <c r="A166" s="2">
        <f t="shared" si="17"/>
        <v>88</v>
      </c>
      <c r="C166" s="270" t="s">
        <v>388</v>
      </c>
      <c r="D166" s="350">
        <v>2021</v>
      </c>
      <c r="E166" s="60">
        <v>774699350.07999992</v>
      </c>
      <c r="F166" s="60">
        <v>158137943.00448763</v>
      </c>
      <c r="G166" s="6">
        <f t="shared" si="16"/>
        <v>616561407.07551229</v>
      </c>
      <c r="H166" s="6">
        <f t="shared" si="18"/>
        <v>0</v>
      </c>
    </row>
    <row r="167" spans="1:8" ht="13">
      <c r="A167" s="2">
        <f t="shared" si="17"/>
        <v>89</v>
      </c>
      <c r="C167" s="270" t="s">
        <v>389</v>
      </c>
      <c r="D167" s="350">
        <v>2021</v>
      </c>
      <c r="E167" s="60">
        <v>774699350.07999992</v>
      </c>
      <c r="F167" s="60">
        <v>159782016.14376903</v>
      </c>
      <c r="G167" s="6">
        <f t="shared" si="16"/>
        <v>614917333.9362309</v>
      </c>
      <c r="H167" s="6">
        <f t="shared" si="18"/>
        <v>0</v>
      </c>
    </row>
    <row r="168" spans="1:8" ht="13">
      <c r="A168" s="2">
        <f t="shared" si="17"/>
        <v>90</v>
      </c>
      <c r="C168" s="270" t="s">
        <v>972</v>
      </c>
      <c r="D168" s="350">
        <v>2021</v>
      </c>
      <c r="E168" s="60">
        <v>774699350.07999992</v>
      </c>
      <c r="F168" s="60">
        <v>161426089.28305048</v>
      </c>
      <c r="G168" s="6">
        <f t="shared" si="16"/>
        <v>613273260.79694939</v>
      </c>
      <c r="H168" s="6">
        <f t="shared" si="18"/>
        <v>0</v>
      </c>
    </row>
    <row r="169" spans="1:8" ht="13">
      <c r="A169" s="2">
        <f t="shared" si="17"/>
        <v>91</v>
      </c>
      <c r="C169" s="270" t="s">
        <v>391</v>
      </c>
      <c r="D169" s="350">
        <v>2021</v>
      </c>
      <c r="E169" s="60">
        <v>774699350.07999992</v>
      </c>
      <c r="F169" s="60">
        <v>163070162.4223319</v>
      </c>
      <c r="G169" s="6">
        <f t="shared" si="16"/>
        <v>611629187.65766799</v>
      </c>
      <c r="H169" s="6">
        <f t="shared" si="18"/>
        <v>0</v>
      </c>
    </row>
    <row r="170" spans="1:8" ht="13">
      <c r="A170" s="2">
        <f t="shared" si="17"/>
        <v>92</v>
      </c>
      <c r="C170" s="270" t="s">
        <v>379</v>
      </c>
      <c r="D170" s="350">
        <v>2021</v>
      </c>
      <c r="E170" s="60">
        <v>774699350.07999992</v>
      </c>
      <c r="F170" s="60">
        <v>164714235.56161329</v>
      </c>
      <c r="G170" s="6">
        <f t="shared" si="16"/>
        <v>609985114.5183866</v>
      </c>
      <c r="H170" s="6">
        <f t="shared" si="18"/>
        <v>0</v>
      </c>
    </row>
    <row r="172" spans="1:8" ht="13">
      <c r="C172" s="15" t="s">
        <v>1214</v>
      </c>
      <c r="E172" s="48" t="s">
        <v>336</v>
      </c>
      <c r="F172" s="48" t="s">
        <v>337</v>
      </c>
      <c r="G172" s="48" t="s">
        <v>338</v>
      </c>
      <c r="H172" s="48" t="s">
        <v>339</v>
      </c>
    </row>
    <row r="173" spans="1:8">
      <c r="G173" s="257" t="s">
        <v>1196</v>
      </c>
      <c r="H173" s="257" t="s">
        <v>1207</v>
      </c>
    </row>
    <row r="174" spans="1:8" ht="13">
      <c r="C174" s="2" t="s">
        <v>1187</v>
      </c>
      <c r="H174" s="252" t="s">
        <v>1208</v>
      </c>
    </row>
    <row r="175" spans="1:8" ht="13">
      <c r="C175" s="2" t="s">
        <v>372</v>
      </c>
      <c r="E175" s="2" t="s">
        <v>660</v>
      </c>
      <c r="F175" s="2" t="s">
        <v>1209</v>
      </c>
      <c r="G175" s="2" t="s">
        <v>1210</v>
      </c>
      <c r="H175" s="2" t="s">
        <v>704</v>
      </c>
    </row>
    <row r="176" spans="1:8" ht="13">
      <c r="C176" s="18" t="s">
        <v>371</v>
      </c>
      <c r="D176" s="18" t="s">
        <v>372</v>
      </c>
      <c r="E176" s="3" t="s">
        <v>1211</v>
      </c>
      <c r="F176" s="3" t="s">
        <v>38</v>
      </c>
      <c r="G176" s="3" t="s">
        <v>1177</v>
      </c>
      <c r="H176" s="3" t="s">
        <v>1201</v>
      </c>
    </row>
    <row r="177" spans="1:8" ht="13">
      <c r="A177" s="2">
        <f>A170+1</f>
        <v>93</v>
      </c>
      <c r="C177" s="270" t="s">
        <v>379</v>
      </c>
      <c r="D177" s="500">
        <v>2020</v>
      </c>
      <c r="E177" s="60">
        <v>0</v>
      </c>
      <c r="F177" s="60">
        <v>0</v>
      </c>
      <c r="G177" s="6">
        <f t="shared" ref="G177:G189" si="19">E177-F177</f>
        <v>0</v>
      </c>
      <c r="H177" s="6">
        <f>E177-E177</f>
        <v>0</v>
      </c>
    </row>
    <row r="178" spans="1:8" ht="13">
      <c r="A178" s="2">
        <f>A177+1</f>
        <v>94</v>
      </c>
      <c r="C178" s="270" t="s">
        <v>381</v>
      </c>
      <c r="D178" s="350">
        <v>2021</v>
      </c>
      <c r="E178" s="60">
        <v>0</v>
      </c>
      <c r="F178" s="60">
        <v>0</v>
      </c>
      <c r="G178" s="6">
        <f t="shared" si="19"/>
        <v>0</v>
      </c>
      <c r="H178" s="6">
        <f>E178-E177</f>
        <v>0</v>
      </c>
    </row>
    <row r="179" spans="1:8" ht="13">
      <c r="A179" s="2">
        <f t="shared" ref="A179:A189" si="20">A178+1</f>
        <v>95</v>
      </c>
      <c r="C179" s="270" t="s">
        <v>382</v>
      </c>
      <c r="D179" s="350">
        <v>2021</v>
      </c>
      <c r="E179" s="60">
        <v>0</v>
      </c>
      <c r="F179" s="60">
        <v>0</v>
      </c>
      <c r="G179" s="6">
        <f t="shared" si="19"/>
        <v>0</v>
      </c>
      <c r="H179" s="6">
        <f t="shared" ref="H179:H189" si="21">E179-E178</f>
        <v>0</v>
      </c>
    </row>
    <row r="180" spans="1:8" ht="13">
      <c r="A180" s="2">
        <f t="shared" si="20"/>
        <v>96</v>
      </c>
      <c r="C180" s="270" t="s">
        <v>383</v>
      </c>
      <c r="D180" s="350">
        <v>2021</v>
      </c>
      <c r="E180" s="60">
        <v>0</v>
      </c>
      <c r="F180" s="60">
        <v>0</v>
      </c>
      <c r="G180" s="6">
        <f t="shared" si="19"/>
        <v>0</v>
      </c>
      <c r="H180" s="6">
        <f t="shared" si="21"/>
        <v>0</v>
      </c>
    </row>
    <row r="181" spans="1:8" ht="13">
      <c r="A181" s="2">
        <f t="shared" si="20"/>
        <v>97</v>
      </c>
      <c r="C181" s="270" t="s">
        <v>384</v>
      </c>
      <c r="D181" s="350">
        <v>2021</v>
      </c>
      <c r="E181" s="60">
        <v>0</v>
      </c>
      <c r="F181" s="60">
        <v>0</v>
      </c>
      <c r="G181" s="6">
        <f t="shared" si="19"/>
        <v>0</v>
      </c>
      <c r="H181" s="6">
        <f t="shared" si="21"/>
        <v>0</v>
      </c>
    </row>
    <row r="182" spans="1:8" ht="13">
      <c r="A182" s="2">
        <f t="shared" si="20"/>
        <v>98</v>
      </c>
      <c r="C182" s="270" t="s">
        <v>385</v>
      </c>
      <c r="D182" s="350">
        <v>2021</v>
      </c>
      <c r="E182" s="60">
        <v>0</v>
      </c>
      <c r="F182" s="60">
        <v>0</v>
      </c>
      <c r="G182" s="6">
        <f t="shared" si="19"/>
        <v>0</v>
      </c>
      <c r="H182" s="6">
        <f t="shared" si="21"/>
        <v>0</v>
      </c>
    </row>
    <row r="183" spans="1:8" ht="13">
      <c r="A183" s="2">
        <f t="shared" si="20"/>
        <v>99</v>
      </c>
      <c r="C183" s="270" t="s">
        <v>386</v>
      </c>
      <c r="D183" s="350">
        <v>2021</v>
      </c>
      <c r="E183" s="60">
        <v>0</v>
      </c>
      <c r="F183" s="60">
        <v>0</v>
      </c>
      <c r="G183" s="6">
        <f t="shared" si="19"/>
        <v>0</v>
      </c>
      <c r="H183" s="6">
        <f t="shared" si="21"/>
        <v>0</v>
      </c>
    </row>
    <row r="184" spans="1:8" ht="13">
      <c r="A184" s="2">
        <f t="shared" si="20"/>
        <v>100</v>
      </c>
      <c r="C184" s="270" t="s">
        <v>387</v>
      </c>
      <c r="D184" s="350">
        <v>2021</v>
      </c>
      <c r="E184" s="60">
        <v>0</v>
      </c>
      <c r="F184" s="60">
        <v>0</v>
      </c>
      <c r="G184" s="6">
        <f t="shared" si="19"/>
        <v>0</v>
      </c>
      <c r="H184" s="6">
        <f t="shared" si="21"/>
        <v>0</v>
      </c>
    </row>
    <row r="185" spans="1:8" ht="13">
      <c r="A185" s="2">
        <f t="shared" si="20"/>
        <v>101</v>
      </c>
      <c r="C185" s="270" t="s">
        <v>388</v>
      </c>
      <c r="D185" s="350">
        <v>2021</v>
      </c>
      <c r="E185" s="60">
        <v>0</v>
      </c>
      <c r="F185" s="60">
        <v>0</v>
      </c>
      <c r="G185" s="6">
        <f t="shared" si="19"/>
        <v>0</v>
      </c>
      <c r="H185" s="6">
        <f t="shared" si="21"/>
        <v>0</v>
      </c>
    </row>
    <row r="186" spans="1:8" ht="13">
      <c r="A186" s="2">
        <f t="shared" si="20"/>
        <v>102</v>
      </c>
      <c r="C186" s="270" t="s">
        <v>389</v>
      </c>
      <c r="D186" s="350">
        <v>2021</v>
      </c>
      <c r="E186" s="60">
        <v>0</v>
      </c>
      <c r="F186" s="60">
        <v>0</v>
      </c>
      <c r="G186" s="6">
        <f t="shared" si="19"/>
        <v>0</v>
      </c>
      <c r="H186" s="6">
        <f t="shared" si="21"/>
        <v>0</v>
      </c>
    </row>
    <row r="187" spans="1:8" ht="13">
      <c r="A187" s="2">
        <f t="shared" si="20"/>
        <v>103</v>
      </c>
      <c r="C187" s="270" t="s">
        <v>972</v>
      </c>
      <c r="D187" s="350">
        <v>2021</v>
      </c>
      <c r="E187" s="60">
        <v>0</v>
      </c>
      <c r="F187" s="60">
        <v>0</v>
      </c>
      <c r="G187" s="6">
        <f t="shared" si="19"/>
        <v>0</v>
      </c>
      <c r="H187" s="6">
        <f t="shared" si="21"/>
        <v>0</v>
      </c>
    </row>
    <row r="188" spans="1:8" ht="13">
      <c r="A188" s="2">
        <f t="shared" si="20"/>
        <v>104</v>
      </c>
      <c r="C188" s="270" t="s">
        <v>391</v>
      </c>
      <c r="D188" s="350">
        <v>2021</v>
      </c>
      <c r="E188" s="60">
        <v>0</v>
      </c>
      <c r="F188" s="60">
        <v>0</v>
      </c>
      <c r="G188" s="6">
        <f t="shared" si="19"/>
        <v>0</v>
      </c>
      <c r="H188" s="6">
        <f t="shared" si="21"/>
        <v>0</v>
      </c>
    </row>
    <row r="189" spans="1:8" ht="13">
      <c r="A189" s="2">
        <f t="shared" si="20"/>
        <v>105</v>
      </c>
      <c r="C189" s="270" t="s">
        <v>379</v>
      </c>
      <c r="D189" s="350">
        <v>2021</v>
      </c>
      <c r="E189" s="60">
        <v>0</v>
      </c>
      <c r="F189" s="60">
        <v>0</v>
      </c>
      <c r="G189" s="6">
        <f t="shared" si="19"/>
        <v>0</v>
      </c>
      <c r="H189" s="6">
        <f t="shared" si="21"/>
        <v>0</v>
      </c>
    </row>
    <row r="191" spans="1:8" ht="13">
      <c r="C191" s="15" t="s">
        <v>1215</v>
      </c>
      <c r="E191" s="48" t="s">
        <v>336</v>
      </c>
      <c r="F191" s="48" t="s">
        <v>337</v>
      </c>
      <c r="G191" s="48" t="s">
        <v>338</v>
      </c>
      <c r="H191" s="48" t="s">
        <v>339</v>
      </c>
    </row>
    <row r="192" spans="1:8">
      <c r="G192" s="257" t="s">
        <v>1196</v>
      </c>
      <c r="H192" s="257" t="s">
        <v>1207</v>
      </c>
    </row>
    <row r="193" spans="1:8" ht="13">
      <c r="C193" s="2" t="s">
        <v>1187</v>
      </c>
      <c r="H193" s="252" t="s">
        <v>1208</v>
      </c>
    </row>
    <row r="194" spans="1:8" ht="13">
      <c r="C194" s="2" t="s">
        <v>372</v>
      </c>
      <c r="E194" s="2" t="s">
        <v>660</v>
      </c>
      <c r="F194" s="2" t="s">
        <v>1209</v>
      </c>
      <c r="G194" s="2" t="s">
        <v>1210</v>
      </c>
      <c r="H194" s="2" t="s">
        <v>704</v>
      </c>
    </row>
    <row r="195" spans="1:8" ht="13">
      <c r="C195" s="18" t="s">
        <v>371</v>
      </c>
      <c r="D195" s="18" t="s">
        <v>372</v>
      </c>
      <c r="E195" s="3" t="s">
        <v>1211</v>
      </c>
      <c r="F195" s="3" t="s">
        <v>38</v>
      </c>
      <c r="G195" s="3" t="s">
        <v>1177</v>
      </c>
      <c r="H195" s="3" t="s">
        <v>1201</v>
      </c>
    </row>
    <row r="196" spans="1:8" ht="13">
      <c r="A196" s="2">
        <f>A189+1</f>
        <v>106</v>
      </c>
      <c r="C196" s="270" t="s">
        <v>379</v>
      </c>
      <c r="D196" s="500">
        <v>2020</v>
      </c>
      <c r="E196" s="60">
        <v>9270643.8900000006</v>
      </c>
      <c r="F196" s="60">
        <v>319387.28722116677</v>
      </c>
      <c r="G196" s="6">
        <f t="shared" ref="G196:G208" si="22">E196-F196</f>
        <v>8951256.6027788334</v>
      </c>
      <c r="H196" s="6">
        <f>E196-E196</f>
        <v>0</v>
      </c>
    </row>
    <row r="197" spans="1:8" ht="13">
      <c r="A197" s="2">
        <f>A196+1</f>
        <v>107</v>
      </c>
      <c r="C197" s="270" t="s">
        <v>381</v>
      </c>
      <c r="D197" s="350">
        <v>2021</v>
      </c>
      <c r="E197" s="60">
        <v>17907979.450000003</v>
      </c>
      <c r="F197" s="60">
        <v>338469.3625614167</v>
      </c>
      <c r="G197" s="6">
        <f t="shared" si="22"/>
        <v>17569510.087438587</v>
      </c>
      <c r="H197" s="6">
        <f>E197-E196</f>
        <v>8637335.5600000024</v>
      </c>
    </row>
    <row r="198" spans="1:8" ht="13">
      <c r="A198" s="2">
        <f t="shared" ref="A198:A208" si="23">A197+1</f>
        <v>108</v>
      </c>
      <c r="C198" s="270" t="s">
        <v>382</v>
      </c>
      <c r="D198" s="350">
        <v>2021</v>
      </c>
      <c r="E198" s="60">
        <v>18115607.350000001</v>
      </c>
      <c r="F198" s="60">
        <v>375329.95359600009</v>
      </c>
      <c r="G198" s="6">
        <f t="shared" si="22"/>
        <v>17740277.396404002</v>
      </c>
      <c r="H198" s="6">
        <f t="shared" ref="H198:H208" si="24">E198-E197</f>
        <v>207627.89999999851</v>
      </c>
    </row>
    <row r="199" spans="1:8" ht="13">
      <c r="A199" s="2">
        <f t="shared" si="23"/>
        <v>109</v>
      </c>
      <c r="C199" s="270" t="s">
        <v>383</v>
      </c>
      <c r="D199" s="350">
        <v>2021</v>
      </c>
      <c r="E199" s="60">
        <v>18213807.190000001</v>
      </c>
      <c r="F199" s="60">
        <v>412617.9120580834</v>
      </c>
      <c r="G199" s="6">
        <f t="shared" si="22"/>
        <v>17801189.277941916</v>
      </c>
      <c r="H199" s="6">
        <f t="shared" si="24"/>
        <v>98199.839999999851</v>
      </c>
    </row>
    <row r="200" spans="1:8" ht="13">
      <c r="A200" s="2">
        <f t="shared" si="23"/>
        <v>110</v>
      </c>
      <c r="C200" s="270" t="s">
        <v>384</v>
      </c>
      <c r="D200" s="350">
        <v>2021</v>
      </c>
      <c r="E200" s="60">
        <v>18302400.240000002</v>
      </c>
      <c r="F200" s="60">
        <v>450107.99852416676</v>
      </c>
      <c r="G200" s="6">
        <f t="shared" si="22"/>
        <v>17852292.241475835</v>
      </c>
      <c r="H200" s="6">
        <f t="shared" si="24"/>
        <v>88593.050000000745</v>
      </c>
    </row>
    <row r="201" spans="1:8" ht="13">
      <c r="A201" s="2">
        <f t="shared" si="23"/>
        <v>111</v>
      </c>
      <c r="C201" s="270" t="s">
        <v>385</v>
      </c>
      <c r="D201" s="350">
        <v>2021</v>
      </c>
      <c r="E201" s="60">
        <v>676875426.59000003</v>
      </c>
      <c r="F201" s="60">
        <v>487780.43901816674</v>
      </c>
      <c r="G201" s="6">
        <f t="shared" si="22"/>
        <v>676387646.1509819</v>
      </c>
      <c r="H201" s="6">
        <f t="shared" si="24"/>
        <v>658573026.35000002</v>
      </c>
    </row>
    <row r="202" spans="1:8" ht="13">
      <c r="A202" s="2">
        <f t="shared" si="23"/>
        <v>112</v>
      </c>
      <c r="C202" s="270" t="s">
        <v>386</v>
      </c>
      <c r="D202" s="350">
        <v>2021</v>
      </c>
      <c r="E202" s="60">
        <v>678729385.61000013</v>
      </c>
      <c r="F202" s="60">
        <v>1984121.9465540834</v>
      </c>
      <c r="G202" s="6">
        <f t="shared" si="22"/>
        <v>676745263.66344607</v>
      </c>
      <c r="H202" s="6">
        <f t="shared" si="24"/>
        <v>1853959.0200001001</v>
      </c>
    </row>
    <row r="203" spans="1:8" ht="13">
      <c r="A203" s="2">
        <f t="shared" si="23"/>
        <v>113</v>
      </c>
      <c r="C203" s="270" t="s">
        <v>387</v>
      </c>
      <c r="D203" s="350">
        <v>2021</v>
      </c>
      <c r="E203" s="60">
        <v>282129515.49000001</v>
      </c>
      <c r="F203" s="60">
        <v>3498267.2336690836</v>
      </c>
      <c r="G203" s="6">
        <f t="shared" si="22"/>
        <v>278631248.25633091</v>
      </c>
      <c r="H203" s="6">
        <f t="shared" si="24"/>
        <v>-396599870.12000012</v>
      </c>
    </row>
    <row r="204" spans="1:8" ht="13">
      <c r="A204" s="2">
        <f t="shared" si="23"/>
        <v>114</v>
      </c>
      <c r="C204" s="270" t="s">
        <v>388</v>
      </c>
      <c r="D204" s="350">
        <v>2021</v>
      </c>
      <c r="E204" s="60">
        <v>283355721.20000005</v>
      </c>
      <c r="F204" s="60">
        <v>4124963.5699455002</v>
      </c>
      <c r="G204" s="6">
        <f t="shared" si="22"/>
        <v>279230757.63005453</v>
      </c>
      <c r="H204" s="6">
        <f t="shared" si="24"/>
        <v>1226205.7100000381</v>
      </c>
    </row>
    <row r="205" spans="1:8" ht="13">
      <c r="A205" s="2">
        <f t="shared" si="23"/>
        <v>115</v>
      </c>
      <c r="C205" s="270" t="s">
        <v>389</v>
      </c>
      <c r="D205" s="350">
        <v>2021</v>
      </c>
      <c r="E205" s="60">
        <v>286383729.64000005</v>
      </c>
      <c r="F205" s="60">
        <v>4754394.643863</v>
      </c>
      <c r="G205" s="6">
        <f t="shared" si="22"/>
        <v>281629334.99613702</v>
      </c>
      <c r="H205" s="6">
        <f t="shared" si="24"/>
        <v>3028008.4399999976</v>
      </c>
    </row>
    <row r="206" spans="1:8" ht="13">
      <c r="A206" s="2">
        <f t="shared" si="23"/>
        <v>116</v>
      </c>
      <c r="C206" s="270" t="s">
        <v>972</v>
      </c>
      <c r="D206" s="350">
        <v>2021</v>
      </c>
      <c r="E206" s="60">
        <v>287550011.36000007</v>
      </c>
      <c r="F206" s="60">
        <v>5390597.2272118339</v>
      </c>
      <c r="G206" s="6">
        <f t="shared" si="22"/>
        <v>282159414.13278824</v>
      </c>
      <c r="H206" s="6">
        <f t="shared" si="24"/>
        <v>1166281.7200000286</v>
      </c>
    </row>
    <row r="207" spans="1:8" ht="13">
      <c r="A207" s="2">
        <f t="shared" si="23"/>
        <v>117</v>
      </c>
      <c r="C207" s="270" t="s">
        <v>391</v>
      </c>
      <c r="D207" s="350">
        <v>2021</v>
      </c>
      <c r="E207" s="60">
        <v>288916168.19999999</v>
      </c>
      <c r="F207" s="60">
        <v>6029404.7107495843</v>
      </c>
      <c r="G207" s="6">
        <f t="shared" si="22"/>
        <v>282886763.48925042</v>
      </c>
      <c r="H207" s="6">
        <f t="shared" si="24"/>
        <v>1366156.8399999142</v>
      </c>
    </row>
    <row r="208" spans="1:8" ht="13">
      <c r="A208" s="2">
        <f t="shared" si="23"/>
        <v>118</v>
      </c>
      <c r="C208" s="270" t="s">
        <v>379</v>
      </c>
      <c r="D208" s="350">
        <v>2021</v>
      </c>
      <c r="E208" s="60">
        <v>300994973.99000001</v>
      </c>
      <c r="F208" s="60">
        <v>6671240.6907404177</v>
      </c>
      <c r="G208" s="6">
        <f t="shared" si="22"/>
        <v>294323733.2992596</v>
      </c>
      <c r="H208" s="6">
        <f t="shared" si="24"/>
        <v>12078805.790000021</v>
      </c>
    </row>
    <row r="210" spans="1:8" ht="13">
      <c r="C210" s="15" t="s">
        <v>1216</v>
      </c>
      <c r="E210" s="48" t="s">
        <v>336</v>
      </c>
      <c r="F210" s="48" t="s">
        <v>337</v>
      </c>
      <c r="G210" s="48" t="s">
        <v>338</v>
      </c>
      <c r="H210" s="48" t="s">
        <v>339</v>
      </c>
    </row>
    <row r="211" spans="1:8">
      <c r="G211" s="257" t="s">
        <v>1196</v>
      </c>
      <c r="H211" s="257" t="s">
        <v>1207</v>
      </c>
    </row>
    <row r="212" spans="1:8" ht="13">
      <c r="C212" s="2" t="s">
        <v>1187</v>
      </c>
      <c r="H212" s="252" t="s">
        <v>1208</v>
      </c>
    </row>
    <row r="213" spans="1:8" ht="13">
      <c r="C213" s="2" t="s">
        <v>372</v>
      </c>
      <c r="E213" s="2" t="s">
        <v>660</v>
      </c>
      <c r="F213" s="2" t="s">
        <v>1209</v>
      </c>
      <c r="G213" s="2" t="s">
        <v>1210</v>
      </c>
      <c r="H213" s="2" t="s">
        <v>704</v>
      </c>
    </row>
    <row r="214" spans="1:8" ht="13">
      <c r="C214" s="18" t="s">
        <v>371</v>
      </c>
      <c r="D214" s="18" t="s">
        <v>372</v>
      </c>
      <c r="E214" s="3" t="s">
        <v>1211</v>
      </c>
      <c r="F214" s="3" t="s">
        <v>38</v>
      </c>
      <c r="G214" s="3" t="s">
        <v>1177</v>
      </c>
      <c r="H214" s="3" t="s">
        <v>1201</v>
      </c>
    </row>
    <row r="215" spans="1:8" ht="13">
      <c r="A215" s="2">
        <f>A208+1</f>
        <v>119</v>
      </c>
      <c r="C215" s="270" t="s">
        <v>379</v>
      </c>
      <c r="D215" s="500">
        <v>2020</v>
      </c>
      <c r="E215" s="60">
        <v>235653780.98999995</v>
      </c>
      <c r="F215" s="60">
        <v>43429878.436265171</v>
      </c>
      <c r="G215" s="6">
        <f t="shared" ref="G215:G227" si="25">E215-F215</f>
        <v>192223902.55373478</v>
      </c>
      <c r="H215" s="6">
        <f>E215-E215</f>
        <v>0</v>
      </c>
    </row>
    <row r="216" spans="1:8" ht="13">
      <c r="A216" s="2">
        <f>A215+1</f>
        <v>120</v>
      </c>
      <c r="C216" s="270" t="s">
        <v>381</v>
      </c>
      <c r="D216" s="350">
        <v>2021</v>
      </c>
      <c r="E216" s="60">
        <v>235653780.98999995</v>
      </c>
      <c r="F216" s="60">
        <v>43926629.136867501</v>
      </c>
      <c r="G216" s="6">
        <f t="shared" si="25"/>
        <v>191727151.85313246</v>
      </c>
      <c r="H216" s="6">
        <f>E216-E215</f>
        <v>0</v>
      </c>
    </row>
    <row r="217" spans="1:8" ht="13">
      <c r="A217" s="2">
        <f t="shared" ref="A217:A227" si="26">A216+1</f>
        <v>121</v>
      </c>
      <c r="C217" s="270" t="s">
        <v>382</v>
      </c>
      <c r="D217" s="350">
        <v>2021</v>
      </c>
      <c r="E217" s="60">
        <v>235653780.98999995</v>
      </c>
      <c r="F217" s="60">
        <v>44423379.837469839</v>
      </c>
      <c r="G217" s="6">
        <f t="shared" si="25"/>
        <v>191230401.1525301</v>
      </c>
      <c r="H217" s="6">
        <f t="shared" ref="H217:H227" si="27">E217-E216</f>
        <v>0</v>
      </c>
    </row>
    <row r="218" spans="1:8" ht="13">
      <c r="A218" s="2">
        <f t="shared" si="26"/>
        <v>122</v>
      </c>
      <c r="C218" s="270" t="s">
        <v>383</v>
      </c>
      <c r="D218" s="350">
        <v>2021</v>
      </c>
      <c r="E218" s="60">
        <v>235653780.98999995</v>
      </c>
      <c r="F218" s="60">
        <v>44920130.538072176</v>
      </c>
      <c r="G218" s="6">
        <f t="shared" si="25"/>
        <v>190733650.45192778</v>
      </c>
      <c r="H218" s="6">
        <f t="shared" si="27"/>
        <v>0</v>
      </c>
    </row>
    <row r="219" spans="1:8" ht="13">
      <c r="A219" s="2">
        <f t="shared" si="26"/>
        <v>123</v>
      </c>
      <c r="C219" s="270" t="s">
        <v>384</v>
      </c>
      <c r="D219" s="350">
        <v>2021</v>
      </c>
      <c r="E219" s="60">
        <v>235653780.98999995</v>
      </c>
      <c r="F219" s="60">
        <v>45416881.238674514</v>
      </c>
      <c r="G219" s="6">
        <f t="shared" si="25"/>
        <v>190236899.75132543</v>
      </c>
      <c r="H219" s="6">
        <f t="shared" si="27"/>
        <v>0</v>
      </c>
    </row>
    <row r="220" spans="1:8" ht="13">
      <c r="A220" s="2">
        <f t="shared" si="26"/>
        <v>124</v>
      </c>
      <c r="C220" s="270" t="s">
        <v>385</v>
      </c>
      <c r="D220" s="350">
        <v>2021</v>
      </c>
      <c r="E220" s="60">
        <v>235653780.98999995</v>
      </c>
      <c r="F220" s="60">
        <v>45913631.939276837</v>
      </c>
      <c r="G220" s="6">
        <f t="shared" si="25"/>
        <v>189740149.05072311</v>
      </c>
      <c r="H220" s="6">
        <f t="shared" si="27"/>
        <v>0</v>
      </c>
    </row>
    <row r="221" spans="1:8" ht="13">
      <c r="A221" s="2">
        <f t="shared" si="26"/>
        <v>125</v>
      </c>
      <c r="C221" s="270" t="s">
        <v>386</v>
      </c>
      <c r="D221" s="350">
        <v>2021</v>
      </c>
      <c r="E221" s="60">
        <v>235653780.98999995</v>
      </c>
      <c r="F221" s="60">
        <v>46410382.639879175</v>
      </c>
      <c r="G221" s="6">
        <f t="shared" si="25"/>
        <v>189243398.35012078</v>
      </c>
      <c r="H221" s="6">
        <f t="shared" si="27"/>
        <v>0</v>
      </c>
    </row>
    <row r="222" spans="1:8" ht="13">
      <c r="A222" s="2">
        <f t="shared" si="26"/>
        <v>126</v>
      </c>
      <c r="C222" s="270" t="s">
        <v>387</v>
      </c>
      <c r="D222" s="350">
        <v>2021</v>
      </c>
      <c r="E222" s="60">
        <v>235653780.98999995</v>
      </c>
      <c r="F222" s="60">
        <v>46907133.340481512</v>
      </c>
      <c r="G222" s="6">
        <f t="shared" si="25"/>
        <v>188746647.64951843</v>
      </c>
      <c r="H222" s="6">
        <f t="shared" si="27"/>
        <v>0</v>
      </c>
    </row>
    <row r="223" spans="1:8" ht="13">
      <c r="A223" s="2">
        <f t="shared" si="26"/>
        <v>127</v>
      </c>
      <c r="C223" s="270" t="s">
        <v>388</v>
      </c>
      <c r="D223" s="350">
        <v>2021</v>
      </c>
      <c r="E223" s="60">
        <v>235653780.98999995</v>
      </c>
      <c r="F223" s="60">
        <v>47403884.04108385</v>
      </c>
      <c r="G223" s="6">
        <f t="shared" si="25"/>
        <v>188249896.94891611</v>
      </c>
      <c r="H223" s="6">
        <f t="shared" si="27"/>
        <v>0</v>
      </c>
    </row>
    <row r="224" spans="1:8" ht="13">
      <c r="A224" s="2">
        <f t="shared" si="26"/>
        <v>128</v>
      </c>
      <c r="C224" s="270" t="s">
        <v>389</v>
      </c>
      <c r="D224" s="350">
        <v>2021</v>
      </c>
      <c r="E224" s="60">
        <v>235653780.98999995</v>
      </c>
      <c r="F224" s="60">
        <v>47900634.741686173</v>
      </c>
      <c r="G224" s="6">
        <f t="shared" si="25"/>
        <v>187753146.24831378</v>
      </c>
      <c r="H224" s="6">
        <f t="shared" si="27"/>
        <v>0</v>
      </c>
    </row>
    <row r="225" spans="1:8" ht="13">
      <c r="A225" s="2">
        <f t="shared" si="26"/>
        <v>129</v>
      </c>
      <c r="C225" s="270" t="s">
        <v>972</v>
      </c>
      <c r="D225" s="350">
        <v>2021</v>
      </c>
      <c r="E225" s="60">
        <v>235653780.98999995</v>
      </c>
      <c r="F225" s="60">
        <v>48397385.442288511</v>
      </c>
      <c r="G225" s="6">
        <f t="shared" si="25"/>
        <v>187256395.54771143</v>
      </c>
      <c r="H225" s="6">
        <f t="shared" si="27"/>
        <v>0</v>
      </c>
    </row>
    <row r="226" spans="1:8" ht="13">
      <c r="A226" s="2">
        <f t="shared" si="26"/>
        <v>130</v>
      </c>
      <c r="C226" s="270" t="s">
        <v>391</v>
      </c>
      <c r="D226" s="350">
        <v>2021</v>
      </c>
      <c r="E226" s="60">
        <v>235653780.98999995</v>
      </c>
      <c r="F226" s="60">
        <v>48894136.142890841</v>
      </c>
      <c r="G226" s="6">
        <f t="shared" si="25"/>
        <v>186759644.84710911</v>
      </c>
      <c r="H226" s="6">
        <f t="shared" si="27"/>
        <v>0</v>
      </c>
    </row>
    <row r="227" spans="1:8" ht="13">
      <c r="A227" s="2">
        <f t="shared" si="26"/>
        <v>131</v>
      </c>
      <c r="C227" s="270" t="s">
        <v>379</v>
      </c>
      <c r="D227" s="350">
        <v>2021</v>
      </c>
      <c r="E227" s="60">
        <v>235653780.98999995</v>
      </c>
      <c r="F227" s="60">
        <v>49390886.843493186</v>
      </c>
      <c r="G227" s="6">
        <f t="shared" si="25"/>
        <v>186262894.14650676</v>
      </c>
      <c r="H227" s="6">
        <f t="shared" si="27"/>
        <v>0</v>
      </c>
    </row>
    <row r="229" spans="1:8" ht="13">
      <c r="C229" s="354" t="s">
        <v>1217</v>
      </c>
      <c r="H229" s="48" t="s">
        <v>339</v>
      </c>
    </row>
    <row r="230" spans="1:8" ht="13">
      <c r="E230" s="48" t="s">
        <v>336</v>
      </c>
      <c r="F230" s="48" t="s">
        <v>337</v>
      </c>
      <c r="G230" s="48" t="s">
        <v>338</v>
      </c>
      <c r="H230" s="257" t="s">
        <v>1207</v>
      </c>
    </row>
    <row r="231" spans="1:8" ht="13">
      <c r="C231" s="2" t="s">
        <v>1187</v>
      </c>
      <c r="G231" s="257" t="s">
        <v>1196</v>
      </c>
      <c r="H231" s="252" t="s">
        <v>1208</v>
      </c>
    </row>
    <row r="232" spans="1:8" ht="13">
      <c r="C232" s="2" t="s">
        <v>372</v>
      </c>
      <c r="E232" s="2" t="s">
        <v>660</v>
      </c>
      <c r="F232" s="2" t="s">
        <v>1209</v>
      </c>
      <c r="G232" s="2" t="s">
        <v>1210</v>
      </c>
      <c r="H232" s="2" t="s">
        <v>704</v>
      </c>
    </row>
    <row r="233" spans="1:8" ht="13">
      <c r="C233" s="18" t="s">
        <v>371</v>
      </c>
      <c r="D233" s="18" t="s">
        <v>372</v>
      </c>
      <c r="E233" s="3" t="s">
        <v>1211</v>
      </c>
      <c r="F233" s="3" t="s">
        <v>38</v>
      </c>
      <c r="G233" s="3" t="s">
        <v>1177</v>
      </c>
      <c r="H233" s="3" t="s">
        <v>1201</v>
      </c>
    </row>
    <row r="234" spans="1:8" ht="13">
      <c r="A234" s="2">
        <f>A227+1</f>
        <v>132</v>
      </c>
      <c r="C234" s="270" t="s">
        <v>379</v>
      </c>
      <c r="D234" s="500">
        <v>2020</v>
      </c>
      <c r="E234" s="60">
        <v>87604169.900000021</v>
      </c>
      <c r="F234" s="60">
        <v>11391250.980444502</v>
      </c>
      <c r="G234" s="6">
        <f t="shared" ref="G234:G246" si="28">E234-F234</f>
        <v>76212918.919555515</v>
      </c>
      <c r="H234" s="6">
        <f>E234-E234</f>
        <v>0</v>
      </c>
    </row>
    <row r="235" spans="1:8" ht="13">
      <c r="A235" s="2">
        <f>A234+1</f>
        <v>133</v>
      </c>
      <c r="C235" s="270" t="s">
        <v>381</v>
      </c>
      <c r="D235" s="350">
        <v>2021</v>
      </c>
      <c r="E235" s="60">
        <v>87604169.900000021</v>
      </c>
      <c r="F235" s="60">
        <v>11571722.739222836</v>
      </c>
      <c r="G235" s="6">
        <f t="shared" si="28"/>
        <v>76032447.160777181</v>
      </c>
      <c r="H235" s="6">
        <f>E235-E234</f>
        <v>0</v>
      </c>
    </row>
    <row r="236" spans="1:8" ht="13">
      <c r="A236" s="2">
        <f t="shared" ref="A236:A246" si="29">A235+1</f>
        <v>134</v>
      </c>
      <c r="C236" s="270" t="s">
        <v>382</v>
      </c>
      <c r="D236" s="350">
        <v>2021</v>
      </c>
      <c r="E236" s="60">
        <v>87604169.900000021</v>
      </c>
      <c r="F236" s="60">
        <v>11752194.498001171</v>
      </c>
      <c r="G236" s="6">
        <f t="shared" si="28"/>
        <v>75851975.401998848</v>
      </c>
      <c r="H236" s="6">
        <f t="shared" ref="H236:H246" si="30">E236-E235</f>
        <v>0</v>
      </c>
    </row>
    <row r="237" spans="1:8" ht="13">
      <c r="A237" s="2">
        <f t="shared" si="29"/>
        <v>135</v>
      </c>
      <c r="C237" s="270" t="s">
        <v>383</v>
      </c>
      <c r="D237" s="350">
        <v>2021</v>
      </c>
      <c r="E237" s="60">
        <v>87604169.900000021</v>
      </c>
      <c r="F237" s="60">
        <v>11932666.256779505</v>
      </c>
      <c r="G237" s="6">
        <f t="shared" si="28"/>
        <v>75671503.643220514</v>
      </c>
      <c r="H237" s="6">
        <f t="shared" si="30"/>
        <v>0</v>
      </c>
    </row>
    <row r="238" spans="1:8" ht="13">
      <c r="A238" s="2">
        <f t="shared" si="29"/>
        <v>136</v>
      </c>
      <c r="C238" s="270" t="s">
        <v>384</v>
      </c>
      <c r="D238" s="350">
        <v>2021</v>
      </c>
      <c r="E238" s="60">
        <v>87604169.900000021</v>
      </c>
      <c r="F238" s="60">
        <v>12113138.015557839</v>
      </c>
      <c r="G238" s="6">
        <f t="shared" si="28"/>
        <v>75491031.88444218</v>
      </c>
      <c r="H238" s="6">
        <f t="shared" si="30"/>
        <v>0</v>
      </c>
    </row>
    <row r="239" spans="1:8" ht="13">
      <c r="A239" s="2">
        <f t="shared" si="29"/>
        <v>137</v>
      </c>
      <c r="C239" s="270" t="s">
        <v>385</v>
      </c>
      <c r="D239" s="350">
        <v>2021</v>
      </c>
      <c r="E239" s="60">
        <v>87604169.900000021</v>
      </c>
      <c r="F239" s="60">
        <v>12293609.774336172</v>
      </c>
      <c r="G239" s="6">
        <f t="shared" si="28"/>
        <v>75310560.125663847</v>
      </c>
      <c r="H239" s="6">
        <f t="shared" si="30"/>
        <v>0</v>
      </c>
    </row>
    <row r="240" spans="1:8" ht="13">
      <c r="A240" s="2">
        <f t="shared" si="29"/>
        <v>138</v>
      </c>
      <c r="C240" s="270" t="s">
        <v>386</v>
      </c>
      <c r="D240" s="350">
        <v>2021</v>
      </c>
      <c r="E240" s="60">
        <v>87604169.900000021</v>
      </c>
      <c r="F240" s="60">
        <v>12474081.533114506</v>
      </c>
      <c r="G240" s="6">
        <f t="shared" si="28"/>
        <v>75130088.366885513</v>
      </c>
      <c r="H240" s="6">
        <f t="shared" si="30"/>
        <v>0</v>
      </c>
    </row>
    <row r="241" spans="1:8" ht="13">
      <c r="A241" s="2">
        <f t="shared" si="29"/>
        <v>139</v>
      </c>
      <c r="C241" s="270" t="s">
        <v>387</v>
      </c>
      <c r="D241" s="350">
        <v>2021</v>
      </c>
      <c r="E241" s="60">
        <v>87604169.900000021</v>
      </c>
      <c r="F241" s="60">
        <v>12654553.29189284</v>
      </c>
      <c r="G241" s="6">
        <f t="shared" si="28"/>
        <v>74949616.608107179</v>
      </c>
      <c r="H241" s="6">
        <f t="shared" si="30"/>
        <v>0</v>
      </c>
    </row>
    <row r="242" spans="1:8" ht="13">
      <c r="A242" s="2">
        <f t="shared" si="29"/>
        <v>140</v>
      </c>
      <c r="C242" s="270" t="s">
        <v>388</v>
      </c>
      <c r="D242" s="350">
        <v>2021</v>
      </c>
      <c r="E242" s="60">
        <v>87604169.900000021</v>
      </c>
      <c r="F242" s="60">
        <v>12835025.050671173</v>
      </c>
      <c r="G242" s="6">
        <f t="shared" si="28"/>
        <v>74769144.849328846</v>
      </c>
      <c r="H242" s="6">
        <f t="shared" si="30"/>
        <v>0</v>
      </c>
    </row>
    <row r="243" spans="1:8" ht="13">
      <c r="A243" s="2">
        <f t="shared" si="29"/>
        <v>141</v>
      </c>
      <c r="C243" s="270" t="s">
        <v>389</v>
      </c>
      <c r="D243" s="350">
        <v>2021</v>
      </c>
      <c r="E243" s="60">
        <v>87604169.900000021</v>
      </c>
      <c r="F243" s="60">
        <v>13015496.809449507</v>
      </c>
      <c r="G243" s="6">
        <f t="shared" si="28"/>
        <v>74588673.090550512</v>
      </c>
      <c r="H243" s="6">
        <f t="shared" si="30"/>
        <v>0</v>
      </c>
    </row>
    <row r="244" spans="1:8" ht="13">
      <c r="A244" s="2">
        <f t="shared" si="29"/>
        <v>142</v>
      </c>
      <c r="C244" s="270" t="s">
        <v>972</v>
      </c>
      <c r="D244" s="350">
        <v>2021</v>
      </c>
      <c r="E244" s="60">
        <v>87604169.900000021</v>
      </c>
      <c r="F244" s="60">
        <v>13195968.568227841</v>
      </c>
      <c r="G244" s="6">
        <f t="shared" si="28"/>
        <v>74408201.331772178</v>
      </c>
      <c r="H244" s="6">
        <f t="shared" si="30"/>
        <v>0</v>
      </c>
    </row>
    <row r="245" spans="1:8" ht="13">
      <c r="A245" s="2">
        <f t="shared" si="29"/>
        <v>143</v>
      </c>
      <c r="C245" s="270" t="s">
        <v>391</v>
      </c>
      <c r="D245" s="350">
        <v>2021</v>
      </c>
      <c r="E245" s="60">
        <v>87604169.900000021</v>
      </c>
      <c r="F245" s="60">
        <v>13376440.327006176</v>
      </c>
      <c r="G245" s="6">
        <f t="shared" si="28"/>
        <v>74227729.572993845</v>
      </c>
      <c r="H245" s="6">
        <f t="shared" si="30"/>
        <v>0</v>
      </c>
    </row>
    <row r="246" spans="1:8" ht="13">
      <c r="A246" s="2">
        <f t="shared" si="29"/>
        <v>144</v>
      </c>
      <c r="C246" s="270" t="s">
        <v>379</v>
      </c>
      <c r="D246" s="350">
        <v>2021</v>
      </c>
      <c r="E246" s="60">
        <v>87604169.900000021</v>
      </c>
      <c r="F246" s="60">
        <v>13556912.08578451</v>
      </c>
      <c r="G246" s="6">
        <f t="shared" si="28"/>
        <v>74047257.814215511</v>
      </c>
      <c r="H246" s="6">
        <f t="shared" si="30"/>
        <v>0</v>
      </c>
    </row>
    <row r="248" spans="1:8" ht="13">
      <c r="C248" s="15" t="s">
        <v>1218</v>
      </c>
      <c r="H248" s="48" t="s">
        <v>339</v>
      </c>
    </row>
    <row r="249" spans="1:8" ht="13">
      <c r="E249" s="48" t="s">
        <v>336</v>
      </c>
      <c r="F249" s="48" t="s">
        <v>337</v>
      </c>
      <c r="G249" s="48" t="s">
        <v>338</v>
      </c>
      <c r="H249" s="257" t="s">
        <v>1207</v>
      </c>
    </row>
    <row r="250" spans="1:8" ht="13">
      <c r="C250" s="2" t="s">
        <v>1187</v>
      </c>
      <c r="G250" s="257" t="s">
        <v>1196</v>
      </c>
      <c r="H250" s="252" t="s">
        <v>1208</v>
      </c>
    </row>
    <row r="251" spans="1:8" ht="13">
      <c r="C251" s="2" t="s">
        <v>372</v>
      </c>
      <c r="E251" s="2" t="s">
        <v>660</v>
      </c>
      <c r="F251" s="2" t="s">
        <v>1209</v>
      </c>
      <c r="G251" s="2" t="s">
        <v>1210</v>
      </c>
      <c r="H251" s="2" t="s">
        <v>704</v>
      </c>
    </row>
    <row r="252" spans="1:8" ht="13">
      <c r="C252" s="18" t="s">
        <v>371</v>
      </c>
      <c r="D252" s="18" t="s">
        <v>372</v>
      </c>
      <c r="E252" s="3" t="s">
        <v>1211</v>
      </c>
      <c r="F252" s="3" t="s">
        <v>38</v>
      </c>
      <c r="G252" s="3" t="s">
        <v>1177</v>
      </c>
      <c r="H252" s="3" t="s">
        <v>1201</v>
      </c>
    </row>
    <row r="253" spans="1:8" ht="13">
      <c r="A253" s="2">
        <f>A246+1</f>
        <v>145</v>
      </c>
      <c r="C253" s="270" t="s">
        <v>379</v>
      </c>
      <c r="D253" s="500">
        <v>2020</v>
      </c>
      <c r="E253" s="60">
        <v>71454672.110000044</v>
      </c>
      <c r="F253" s="60">
        <v>13100525.655403666</v>
      </c>
      <c r="G253" s="6">
        <f t="shared" ref="G253:G265" si="31">E253-F253</f>
        <v>58354146.454596378</v>
      </c>
      <c r="H253" s="6">
        <f>E253-E253</f>
        <v>0</v>
      </c>
    </row>
    <row r="254" spans="1:8" ht="13">
      <c r="A254" s="2">
        <f>A253+1</f>
        <v>146</v>
      </c>
      <c r="C254" s="270" t="s">
        <v>381</v>
      </c>
      <c r="D254" s="350">
        <v>2021</v>
      </c>
      <c r="E254" s="60">
        <v>71454672.110000044</v>
      </c>
      <c r="F254" s="60">
        <v>13248593.828867583</v>
      </c>
      <c r="G254" s="6">
        <f t="shared" si="31"/>
        <v>58206078.28113246</v>
      </c>
      <c r="H254" s="6">
        <f>E254-E253</f>
        <v>0</v>
      </c>
    </row>
    <row r="255" spans="1:8" ht="13">
      <c r="A255" s="2">
        <f t="shared" ref="A255:A265" si="32">A254+1</f>
        <v>147</v>
      </c>
      <c r="C255" s="270" t="s">
        <v>382</v>
      </c>
      <c r="D255" s="350">
        <v>2021</v>
      </c>
      <c r="E255" s="60">
        <v>71454672.110000044</v>
      </c>
      <c r="F255" s="60">
        <v>13396662.002331501</v>
      </c>
      <c r="G255" s="6">
        <f t="shared" si="31"/>
        <v>58058010.107668541</v>
      </c>
      <c r="H255" s="6">
        <f t="shared" ref="H255:H265" si="33">E255-E254</f>
        <v>0</v>
      </c>
    </row>
    <row r="256" spans="1:8" ht="13">
      <c r="A256" s="2">
        <f t="shared" si="32"/>
        <v>148</v>
      </c>
      <c r="C256" s="270" t="s">
        <v>383</v>
      </c>
      <c r="D256" s="350">
        <v>2021</v>
      </c>
      <c r="E256" s="60">
        <v>71454672.110000044</v>
      </c>
      <c r="F256" s="60">
        <v>13544730.175795417</v>
      </c>
      <c r="G256" s="6">
        <f t="shared" si="31"/>
        <v>57909941.934204623</v>
      </c>
      <c r="H256" s="6">
        <f t="shared" si="33"/>
        <v>0</v>
      </c>
    </row>
    <row r="257" spans="1:8" ht="13">
      <c r="A257" s="2">
        <f t="shared" si="32"/>
        <v>149</v>
      </c>
      <c r="C257" s="270" t="s">
        <v>384</v>
      </c>
      <c r="D257" s="350">
        <v>2021</v>
      </c>
      <c r="E257" s="60">
        <v>71454672.110000044</v>
      </c>
      <c r="F257" s="60">
        <v>13692798.349259334</v>
      </c>
      <c r="G257" s="6">
        <f t="shared" si="31"/>
        <v>57761873.760740712</v>
      </c>
      <c r="H257" s="6">
        <f t="shared" si="33"/>
        <v>0</v>
      </c>
    </row>
    <row r="258" spans="1:8" ht="13">
      <c r="A258" s="2">
        <f t="shared" si="32"/>
        <v>150</v>
      </c>
      <c r="C258" s="270" t="s">
        <v>385</v>
      </c>
      <c r="D258" s="350">
        <v>2021</v>
      </c>
      <c r="E258" s="60">
        <v>71454672.110000044</v>
      </c>
      <c r="F258" s="60">
        <v>13840866.52272325</v>
      </c>
      <c r="G258" s="6">
        <f t="shared" si="31"/>
        <v>57613805.587276794</v>
      </c>
      <c r="H258" s="6">
        <f t="shared" si="33"/>
        <v>0</v>
      </c>
    </row>
    <row r="259" spans="1:8" ht="13">
      <c r="A259" s="2">
        <f t="shared" si="32"/>
        <v>151</v>
      </c>
      <c r="C259" s="270" t="s">
        <v>386</v>
      </c>
      <c r="D259" s="350">
        <v>2021</v>
      </c>
      <c r="E259" s="60">
        <v>71454672.110000044</v>
      </c>
      <c r="F259" s="60">
        <v>13988934.696187166</v>
      </c>
      <c r="G259" s="6">
        <f t="shared" si="31"/>
        <v>57465737.413812876</v>
      </c>
      <c r="H259" s="6">
        <f t="shared" si="33"/>
        <v>0</v>
      </c>
    </row>
    <row r="260" spans="1:8" ht="13">
      <c r="A260" s="2">
        <f t="shared" si="32"/>
        <v>152</v>
      </c>
      <c r="C260" s="270" t="s">
        <v>387</v>
      </c>
      <c r="D260" s="350">
        <v>2021</v>
      </c>
      <c r="E260" s="60">
        <v>71454672.110000044</v>
      </c>
      <c r="F260" s="60">
        <v>14137002.869651083</v>
      </c>
      <c r="G260" s="6">
        <f t="shared" si="31"/>
        <v>57317669.240348965</v>
      </c>
      <c r="H260" s="6">
        <f t="shared" si="33"/>
        <v>0</v>
      </c>
    </row>
    <row r="261" spans="1:8" ht="13">
      <c r="A261" s="2">
        <f t="shared" si="32"/>
        <v>153</v>
      </c>
      <c r="C261" s="270" t="s">
        <v>388</v>
      </c>
      <c r="D261" s="350">
        <v>2021</v>
      </c>
      <c r="E261" s="60">
        <v>71454672.110000044</v>
      </c>
      <c r="F261" s="60">
        <v>14285071.043114997</v>
      </c>
      <c r="G261" s="6">
        <f t="shared" si="31"/>
        <v>57169601.066885047</v>
      </c>
      <c r="H261" s="6">
        <f t="shared" si="33"/>
        <v>0</v>
      </c>
    </row>
    <row r="262" spans="1:8" ht="13">
      <c r="A262" s="2">
        <f t="shared" si="32"/>
        <v>154</v>
      </c>
      <c r="C262" s="270" t="s">
        <v>389</v>
      </c>
      <c r="D262" s="350">
        <v>2021</v>
      </c>
      <c r="E262" s="60">
        <v>71454672.110000044</v>
      </c>
      <c r="F262" s="60">
        <v>14433139.216578916</v>
      </c>
      <c r="G262" s="6">
        <f t="shared" si="31"/>
        <v>57021532.893421128</v>
      </c>
      <c r="H262" s="6">
        <f t="shared" si="33"/>
        <v>0</v>
      </c>
    </row>
    <row r="263" spans="1:8" ht="13">
      <c r="A263" s="2">
        <f t="shared" si="32"/>
        <v>155</v>
      </c>
      <c r="C263" s="270" t="s">
        <v>972</v>
      </c>
      <c r="D263" s="350">
        <v>2021</v>
      </c>
      <c r="E263" s="60">
        <v>71454672.110000044</v>
      </c>
      <c r="F263" s="60">
        <v>14581207.390042834</v>
      </c>
      <c r="G263" s="6">
        <f t="shared" si="31"/>
        <v>56873464.71995721</v>
      </c>
      <c r="H263" s="6">
        <f t="shared" si="33"/>
        <v>0</v>
      </c>
    </row>
    <row r="264" spans="1:8" ht="13">
      <c r="A264" s="2">
        <f t="shared" si="32"/>
        <v>156</v>
      </c>
      <c r="C264" s="270" t="s">
        <v>391</v>
      </c>
      <c r="D264" s="350">
        <v>2021</v>
      </c>
      <c r="E264" s="60">
        <v>94892343.770000055</v>
      </c>
      <c r="F264" s="60">
        <v>14729275.563506749</v>
      </c>
      <c r="G264" s="6">
        <f t="shared" si="31"/>
        <v>80163068.206493303</v>
      </c>
      <c r="H264" s="6">
        <f t="shared" si="33"/>
        <v>23437671.660000011</v>
      </c>
    </row>
    <row r="265" spans="1:8" ht="13">
      <c r="A265" s="2">
        <f t="shared" si="32"/>
        <v>157</v>
      </c>
      <c r="C265" s="270" t="s">
        <v>379</v>
      </c>
      <c r="D265" s="350">
        <v>2021</v>
      </c>
      <c r="E265" s="60">
        <v>95233570.200000063</v>
      </c>
      <c r="F265" s="60">
        <v>14925586.277804166</v>
      </c>
      <c r="G265" s="6">
        <f t="shared" si="31"/>
        <v>80307983.922195897</v>
      </c>
      <c r="H265" s="6">
        <f t="shared" si="33"/>
        <v>341226.43000000715</v>
      </c>
    </row>
    <row r="267" spans="1:8" ht="13">
      <c r="C267" s="15" t="s">
        <v>1219</v>
      </c>
      <c r="E267" s="48" t="s">
        <v>336</v>
      </c>
      <c r="F267" s="48" t="s">
        <v>337</v>
      </c>
      <c r="G267" s="48" t="s">
        <v>338</v>
      </c>
      <c r="H267" s="48" t="s">
        <v>339</v>
      </c>
    </row>
    <row r="268" spans="1:8">
      <c r="G268" s="257" t="s">
        <v>1196</v>
      </c>
      <c r="H268" s="257" t="s">
        <v>1207</v>
      </c>
    </row>
    <row r="269" spans="1:8" ht="13">
      <c r="C269" s="2" t="s">
        <v>1187</v>
      </c>
      <c r="H269" s="252" t="s">
        <v>1208</v>
      </c>
    </row>
    <row r="270" spans="1:8" ht="13">
      <c r="C270" s="2" t="s">
        <v>372</v>
      </c>
      <c r="E270" s="2" t="s">
        <v>660</v>
      </c>
      <c r="F270" s="2" t="s">
        <v>1209</v>
      </c>
      <c r="G270" s="2" t="s">
        <v>1210</v>
      </c>
      <c r="H270" s="2" t="s">
        <v>704</v>
      </c>
    </row>
    <row r="271" spans="1:8" ht="13">
      <c r="C271" s="18" t="s">
        <v>371</v>
      </c>
      <c r="D271" s="18" t="s">
        <v>372</v>
      </c>
      <c r="E271" s="3" t="s">
        <v>1211</v>
      </c>
      <c r="F271" s="3" t="s">
        <v>38</v>
      </c>
      <c r="G271" s="3" t="s">
        <v>1177</v>
      </c>
      <c r="H271" s="3" t="s">
        <v>1201</v>
      </c>
    </row>
    <row r="272" spans="1:8" ht="13">
      <c r="A272" s="2">
        <f>A265+1</f>
        <v>158</v>
      </c>
      <c r="C272" s="270" t="s">
        <v>379</v>
      </c>
      <c r="D272" s="500">
        <v>2020</v>
      </c>
      <c r="E272" s="60">
        <v>182635413.15351999</v>
      </c>
      <c r="F272" s="60">
        <v>4544457.7863915442</v>
      </c>
      <c r="G272" s="6">
        <f t="shared" ref="G272:G284" si="34">E272-F272</f>
        <v>178090955.36712843</v>
      </c>
      <c r="H272" s="6">
        <f>E272-E272</f>
        <v>0</v>
      </c>
    </row>
    <row r="273" spans="1:8" ht="13">
      <c r="A273" s="2">
        <f>A272+1</f>
        <v>159</v>
      </c>
      <c r="C273" s="270" t="s">
        <v>381</v>
      </c>
      <c r="D273" s="350">
        <v>2021</v>
      </c>
      <c r="E273" s="60">
        <v>184594422.75885999</v>
      </c>
      <c r="F273" s="60">
        <v>4932279.9512040997</v>
      </c>
      <c r="G273" s="6">
        <f t="shared" si="34"/>
        <v>179662142.8076559</v>
      </c>
      <c r="H273" s="6">
        <f>E273-E272</f>
        <v>1959009.605340004</v>
      </c>
    </row>
    <row r="274" spans="1:8" ht="13">
      <c r="A274" s="2">
        <f t="shared" ref="A274:A284" si="35">A273+1</f>
        <v>160</v>
      </c>
      <c r="C274" s="270" t="s">
        <v>382</v>
      </c>
      <c r="D274" s="350">
        <v>2021</v>
      </c>
      <c r="E274" s="60">
        <v>187318694.44321197</v>
      </c>
      <c r="F274" s="60">
        <v>5324210.4838404125</v>
      </c>
      <c r="G274" s="6">
        <f t="shared" si="34"/>
        <v>181994483.95937157</v>
      </c>
      <c r="H274" s="6">
        <f t="shared" ref="H274:H284" si="36">E274-E273</f>
        <v>2724271.6843519807</v>
      </c>
    </row>
    <row r="275" spans="1:8" ht="13">
      <c r="A275" s="2">
        <f t="shared" si="35"/>
        <v>161</v>
      </c>
      <c r="C275" s="270" t="s">
        <v>383</v>
      </c>
      <c r="D275" s="350">
        <v>2021</v>
      </c>
      <c r="E275" s="60">
        <v>187428413.50294599</v>
      </c>
      <c r="F275" s="60">
        <v>5723240.7394250277</v>
      </c>
      <c r="G275" s="6">
        <f t="shared" si="34"/>
        <v>181705172.76352096</v>
      </c>
      <c r="H275" s="6">
        <f t="shared" si="36"/>
        <v>109719.05973401666</v>
      </c>
    </row>
    <row r="276" spans="1:8" ht="13">
      <c r="A276" s="2">
        <f t="shared" si="35"/>
        <v>162</v>
      </c>
      <c r="C276" s="270" t="s">
        <v>384</v>
      </c>
      <c r="D276" s="350">
        <v>2021</v>
      </c>
      <c r="E276" s="60">
        <v>188102095.96296999</v>
      </c>
      <c r="F276" s="60">
        <v>6122524.9557966851</v>
      </c>
      <c r="G276" s="6">
        <f t="shared" si="34"/>
        <v>181979571.0071733</v>
      </c>
      <c r="H276" s="6">
        <f t="shared" si="36"/>
        <v>673682.46002399921</v>
      </c>
    </row>
    <row r="277" spans="1:8" ht="13">
      <c r="A277" s="2">
        <f t="shared" si="35"/>
        <v>163</v>
      </c>
      <c r="C277" s="270" t="s">
        <v>385</v>
      </c>
      <c r="D277" s="350">
        <v>2021</v>
      </c>
      <c r="E277" s="60">
        <v>190352858.12192398</v>
      </c>
      <c r="F277" s="60">
        <v>6523202.1875944827</v>
      </c>
      <c r="G277" s="6">
        <f t="shared" si="34"/>
        <v>183829655.93432951</v>
      </c>
      <c r="H277" s="6">
        <f t="shared" si="36"/>
        <v>2250762.1589539945</v>
      </c>
    </row>
    <row r="278" spans="1:8" ht="13">
      <c r="A278" s="2">
        <f t="shared" si="35"/>
        <v>164</v>
      </c>
      <c r="C278" s="270" t="s">
        <v>386</v>
      </c>
      <c r="D278" s="350">
        <v>2021</v>
      </c>
      <c r="E278" s="60">
        <v>190347272.85730198</v>
      </c>
      <c r="F278" s="60">
        <v>6929157.689890231</v>
      </c>
      <c r="G278" s="6">
        <f t="shared" si="34"/>
        <v>183418115.16741174</v>
      </c>
      <c r="H278" s="6">
        <f t="shared" si="36"/>
        <v>-5585.26462200284</v>
      </c>
    </row>
    <row r="279" spans="1:8" ht="13">
      <c r="A279" s="2">
        <f t="shared" si="35"/>
        <v>165</v>
      </c>
      <c r="C279" s="270" t="s">
        <v>387</v>
      </c>
      <c r="D279" s="350">
        <v>2021</v>
      </c>
      <c r="E279" s="60">
        <v>190335670.52996796</v>
      </c>
      <c r="F279" s="60">
        <v>7335105.9496386331</v>
      </c>
      <c r="G279" s="6">
        <f t="shared" si="34"/>
        <v>183000564.58032933</v>
      </c>
      <c r="H279" s="6">
        <f t="shared" si="36"/>
        <v>-11602.327334016562</v>
      </c>
    </row>
    <row r="280" spans="1:8" ht="13">
      <c r="A280" s="2">
        <f t="shared" si="35"/>
        <v>166</v>
      </c>
      <c r="C280" s="270" t="s">
        <v>388</v>
      </c>
      <c r="D280" s="350">
        <v>2021</v>
      </c>
      <c r="E280" s="60">
        <v>190369968.007788</v>
      </c>
      <c r="F280" s="60">
        <v>7741012.8904593624</v>
      </c>
      <c r="G280" s="6">
        <f t="shared" si="34"/>
        <v>182628955.11732864</v>
      </c>
      <c r="H280" s="6">
        <f t="shared" si="36"/>
        <v>34297.477820038795</v>
      </c>
    </row>
    <row r="281" spans="1:8" ht="13">
      <c r="A281" s="2">
        <f t="shared" si="35"/>
        <v>167</v>
      </c>
      <c r="C281" s="270" t="s">
        <v>389</v>
      </c>
      <c r="D281" s="350">
        <v>2021</v>
      </c>
      <c r="E281" s="60">
        <v>190402673.17944399</v>
      </c>
      <c r="F281" s="60">
        <v>8146499.4956321139</v>
      </c>
      <c r="G281" s="6">
        <f t="shared" si="34"/>
        <v>182256173.68381187</v>
      </c>
      <c r="H281" s="6">
        <f t="shared" si="36"/>
        <v>32705.171655982733</v>
      </c>
    </row>
    <row r="282" spans="1:8" ht="13">
      <c r="A282" s="2">
        <f t="shared" si="35"/>
        <v>168</v>
      </c>
      <c r="C282" s="270" t="s">
        <v>972</v>
      </c>
      <c r="D282" s="350">
        <v>2021</v>
      </c>
      <c r="E282" s="60">
        <v>190405667.97303998</v>
      </c>
      <c r="F282" s="60">
        <v>8552066.2197430339</v>
      </c>
      <c r="G282" s="6">
        <f t="shared" si="34"/>
        <v>181853601.75329694</v>
      </c>
      <c r="H282" s="6">
        <f t="shared" si="36"/>
        <v>2994.7935959994793</v>
      </c>
    </row>
    <row r="283" spans="1:8" ht="13">
      <c r="A283" s="2">
        <f t="shared" si="35"/>
        <v>169</v>
      </c>
      <c r="C283" s="270" t="s">
        <v>391</v>
      </c>
      <c r="D283" s="350">
        <v>2021</v>
      </c>
      <c r="E283" s="60">
        <v>190414934.80624399</v>
      </c>
      <c r="F283" s="60">
        <v>8957639.0946162734</v>
      </c>
      <c r="G283" s="6">
        <f t="shared" si="34"/>
        <v>181457295.71162772</v>
      </c>
      <c r="H283" s="6">
        <f t="shared" si="36"/>
        <v>9266.8332040011883</v>
      </c>
    </row>
    <row r="284" spans="1:8" ht="13">
      <c r="A284" s="2">
        <f t="shared" si="35"/>
        <v>170</v>
      </c>
      <c r="C284" s="270" t="s">
        <v>379</v>
      </c>
      <c r="D284" s="350">
        <v>2021</v>
      </c>
      <c r="E284" s="60">
        <v>190416054.66315401</v>
      </c>
      <c r="F284" s="60">
        <v>9363231.7740206998</v>
      </c>
      <c r="G284" s="6">
        <f t="shared" si="34"/>
        <v>181052822.8891333</v>
      </c>
      <c r="H284" s="6">
        <f t="shared" si="36"/>
        <v>1119.856910020113</v>
      </c>
    </row>
    <row r="286" spans="1:8" ht="13">
      <c r="C286" s="354" t="s">
        <v>1220</v>
      </c>
      <c r="E286" s="48" t="s">
        <v>336</v>
      </c>
      <c r="F286" s="48" t="s">
        <v>337</v>
      </c>
      <c r="G286" s="48" t="s">
        <v>338</v>
      </c>
      <c r="H286" s="48" t="s">
        <v>339</v>
      </c>
    </row>
    <row r="287" spans="1:8">
      <c r="G287" s="257" t="s">
        <v>1196</v>
      </c>
      <c r="H287" s="257" t="s">
        <v>1207</v>
      </c>
    </row>
    <row r="288" spans="1:8" ht="13">
      <c r="C288" s="2" t="s">
        <v>1187</v>
      </c>
      <c r="H288" s="252" t="s">
        <v>1208</v>
      </c>
    </row>
    <row r="289" spans="1:8" ht="13">
      <c r="C289" s="2" t="s">
        <v>372</v>
      </c>
      <c r="E289" s="2" t="s">
        <v>660</v>
      </c>
      <c r="F289" s="2" t="s">
        <v>1209</v>
      </c>
      <c r="G289" s="2" t="s">
        <v>1210</v>
      </c>
      <c r="H289" s="2" t="s">
        <v>704</v>
      </c>
    </row>
    <row r="290" spans="1:8" ht="13">
      <c r="C290" s="18" t="s">
        <v>371</v>
      </c>
      <c r="D290" s="18" t="s">
        <v>372</v>
      </c>
      <c r="E290" s="3" t="s">
        <v>1211</v>
      </c>
      <c r="F290" s="3" t="s">
        <v>38</v>
      </c>
      <c r="G290" s="3" t="s">
        <v>1177</v>
      </c>
      <c r="H290" s="3" t="s">
        <v>1201</v>
      </c>
    </row>
    <row r="291" spans="1:8" ht="13">
      <c r="A291" s="2">
        <f>A284+1</f>
        <v>171</v>
      </c>
      <c r="C291" s="270" t="s">
        <v>379</v>
      </c>
      <c r="D291" s="500">
        <v>2020</v>
      </c>
      <c r="E291" s="60">
        <v>0</v>
      </c>
      <c r="F291" s="60">
        <v>0</v>
      </c>
      <c r="G291" s="6">
        <f t="shared" ref="G291:G303" si="37">E291-F291</f>
        <v>0</v>
      </c>
      <c r="H291" s="6">
        <f>E291-E291</f>
        <v>0</v>
      </c>
    </row>
    <row r="292" spans="1:8" ht="13">
      <c r="A292" s="2">
        <f>A291+1</f>
        <v>172</v>
      </c>
      <c r="C292" s="270" t="s">
        <v>381</v>
      </c>
      <c r="D292" s="350">
        <v>2021</v>
      </c>
      <c r="E292" s="60">
        <v>0</v>
      </c>
      <c r="F292" s="60">
        <v>0</v>
      </c>
      <c r="G292" s="6">
        <f t="shared" si="37"/>
        <v>0</v>
      </c>
      <c r="H292" s="6">
        <f>E292-E291</f>
        <v>0</v>
      </c>
    </row>
    <row r="293" spans="1:8" ht="13">
      <c r="A293" s="2">
        <f t="shared" ref="A293:A303" si="38">A292+1</f>
        <v>173</v>
      </c>
      <c r="C293" s="270" t="s">
        <v>382</v>
      </c>
      <c r="D293" s="350">
        <v>2021</v>
      </c>
      <c r="E293" s="60">
        <v>0</v>
      </c>
      <c r="F293" s="60">
        <v>0</v>
      </c>
      <c r="G293" s="6">
        <f t="shared" si="37"/>
        <v>0</v>
      </c>
      <c r="H293" s="6">
        <f t="shared" ref="H293:H303" si="39">E293-E292</f>
        <v>0</v>
      </c>
    </row>
    <row r="294" spans="1:8" ht="13">
      <c r="A294" s="2">
        <f t="shared" si="38"/>
        <v>174</v>
      </c>
      <c r="C294" s="270" t="s">
        <v>383</v>
      </c>
      <c r="D294" s="350">
        <v>2021</v>
      </c>
      <c r="E294" s="60">
        <v>0</v>
      </c>
      <c r="F294" s="60">
        <v>0</v>
      </c>
      <c r="G294" s="6">
        <f t="shared" si="37"/>
        <v>0</v>
      </c>
      <c r="H294" s="6">
        <f t="shared" si="39"/>
        <v>0</v>
      </c>
    </row>
    <row r="295" spans="1:8" ht="13">
      <c r="A295" s="2">
        <f t="shared" si="38"/>
        <v>175</v>
      </c>
      <c r="C295" s="270" t="s">
        <v>384</v>
      </c>
      <c r="D295" s="350">
        <v>2021</v>
      </c>
      <c r="E295" s="60">
        <v>0</v>
      </c>
      <c r="F295" s="60">
        <v>0</v>
      </c>
      <c r="G295" s="6">
        <f t="shared" si="37"/>
        <v>0</v>
      </c>
      <c r="H295" s="6">
        <f t="shared" si="39"/>
        <v>0</v>
      </c>
    </row>
    <row r="296" spans="1:8" ht="13">
      <c r="A296" s="2">
        <f t="shared" si="38"/>
        <v>176</v>
      </c>
      <c r="C296" s="270" t="s">
        <v>385</v>
      </c>
      <c r="D296" s="350">
        <v>2021</v>
      </c>
      <c r="E296" s="60">
        <v>0</v>
      </c>
      <c r="F296" s="60">
        <v>0</v>
      </c>
      <c r="G296" s="6">
        <f t="shared" si="37"/>
        <v>0</v>
      </c>
      <c r="H296" s="6">
        <f t="shared" si="39"/>
        <v>0</v>
      </c>
    </row>
    <row r="297" spans="1:8" ht="13">
      <c r="A297" s="2">
        <f t="shared" si="38"/>
        <v>177</v>
      </c>
      <c r="C297" s="270" t="s">
        <v>386</v>
      </c>
      <c r="D297" s="350">
        <v>2021</v>
      </c>
      <c r="E297" s="60">
        <v>0</v>
      </c>
      <c r="F297" s="60">
        <v>0</v>
      </c>
      <c r="G297" s="6">
        <f t="shared" si="37"/>
        <v>0</v>
      </c>
      <c r="H297" s="6">
        <f t="shared" si="39"/>
        <v>0</v>
      </c>
    </row>
    <row r="298" spans="1:8" ht="13">
      <c r="A298" s="2">
        <f t="shared" si="38"/>
        <v>178</v>
      </c>
      <c r="C298" s="270" t="s">
        <v>387</v>
      </c>
      <c r="D298" s="350">
        <v>2021</v>
      </c>
      <c r="E298" s="60">
        <v>0</v>
      </c>
      <c r="F298" s="60">
        <v>0</v>
      </c>
      <c r="G298" s="6">
        <f t="shared" si="37"/>
        <v>0</v>
      </c>
      <c r="H298" s="6">
        <f t="shared" si="39"/>
        <v>0</v>
      </c>
    </row>
    <row r="299" spans="1:8" ht="13">
      <c r="A299" s="2">
        <f t="shared" si="38"/>
        <v>179</v>
      </c>
      <c r="C299" s="270" t="s">
        <v>388</v>
      </c>
      <c r="D299" s="350">
        <v>2021</v>
      </c>
      <c r="E299" s="60">
        <v>0</v>
      </c>
      <c r="F299" s="60">
        <v>0</v>
      </c>
      <c r="G299" s="6">
        <f t="shared" si="37"/>
        <v>0</v>
      </c>
      <c r="H299" s="6">
        <f t="shared" si="39"/>
        <v>0</v>
      </c>
    </row>
    <row r="300" spans="1:8" ht="13">
      <c r="A300" s="2">
        <f t="shared" si="38"/>
        <v>180</v>
      </c>
      <c r="C300" s="270" t="s">
        <v>389</v>
      </c>
      <c r="D300" s="350">
        <v>2021</v>
      </c>
      <c r="E300" s="60">
        <v>0</v>
      </c>
      <c r="F300" s="60">
        <v>0</v>
      </c>
      <c r="G300" s="6">
        <f t="shared" si="37"/>
        <v>0</v>
      </c>
      <c r="H300" s="6">
        <f t="shared" si="39"/>
        <v>0</v>
      </c>
    </row>
    <row r="301" spans="1:8" ht="13">
      <c r="A301" s="2">
        <f t="shared" si="38"/>
        <v>181</v>
      </c>
      <c r="C301" s="270" t="s">
        <v>972</v>
      </c>
      <c r="D301" s="350">
        <v>2021</v>
      </c>
      <c r="E301" s="60">
        <v>0</v>
      </c>
      <c r="F301" s="60">
        <v>0</v>
      </c>
      <c r="G301" s="6">
        <f t="shared" si="37"/>
        <v>0</v>
      </c>
      <c r="H301" s="6">
        <f t="shared" si="39"/>
        <v>0</v>
      </c>
    </row>
    <row r="302" spans="1:8" ht="13">
      <c r="A302" s="2">
        <f t="shared" si="38"/>
        <v>182</v>
      </c>
      <c r="C302" s="270" t="s">
        <v>391</v>
      </c>
      <c r="D302" s="350">
        <v>2021</v>
      </c>
      <c r="E302" s="60">
        <v>0</v>
      </c>
      <c r="F302" s="60">
        <v>0</v>
      </c>
      <c r="G302" s="6">
        <f t="shared" si="37"/>
        <v>0</v>
      </c>
      <c r="H302" s="6">
        <f t="shared" si="39"/>
        <v>0</v>
      </c>
    </row>
    <row r="303" spans="1:8" ht="13">
      <c r="A303" s="2">
        <f t="shared" si="38"/>
        <v>183</v>
      </c>
      <c r="C303" s="270" t="s">
        <v>379</v>
      </c>
      <c r="D303" s="350">
        <v>2021</v>
      </c>
      <c r="E303" s="60">
        <v>3550027.0427999999</v>
      </c>
      <c r="F303" s="60">
        <v>0</v>
      </c>
      <c r="G303" s="6">
        <f t="shared" si="37"/>
        <v>3550027.0427999999</v>
      </c>
      <c r="H303" s="6">
        <f t="shared" si="39"/>
        <v>3550027.0427999999</v>
      </c>
    </row>
    <row r="305" spans="1:8" ht="13">
      <c r="C305" s="354" t="s">
        <v>1221</v>
      </c>
      <c r="E305" s="48" t="s">
        <v>336</v>
      </c>
      <c r="F305" s="48" t="s">
        <v>337</v>
      </c>
      <c r="G305" s="48" t="s">
        <v>338</v>
      </c>
      <c r="H305" s="48" t="s">
        <v>339</v>
      </c>
    </row>
    <row r="306" spans="1:8">
      <c r="G306" s="257" t="s">
        <v>1196</v>
      </c>
      <c r="H306" s="257" t="s">
        <v>1207</v>
      </c>
    </row>
    <row r="307" spans="1:8" ht="13">
      <c r="C307" s="2" t="s">
        <v>1187</v>
      </c>
      <c r="H307" s="252" t="s">
        <v>1208</v>
      </c>
    </row>
    <row r="308" spans="1:8" ht="13">
      <c r="C308" s="2" t="s">
        <v>372</v>
      </c>
      <c r="E308" s="2" t="s">
        <v>660</v>
      </c>
      <c r="F308" s="2" t="s">
        <v>1209</v>
      </c>
      <c r="G308" s="2" t="s">
        <v>1210</v>
      </c>
      <c r="H308" s="2" t="s">
        <v>704</v>
      </c>
    </row>
    <row r="309" spans="1:8" ht="13">
      <c r="C309" s="18" t="s">
        <v>371</v>
      </c>
      <c r="D309" s="18" t="s">
        <v>372</v>
      </c>
      <c r="E309" s="3" t="s">
        <v>1211</v>
      </c>
      <c r="F309" s="3" t="s">
        <v>38</v>
      </c>
      <c r="G309" s="3" t="s">
        <v>1177</v>
      </c>
      <c r="H309" s="3" t="s">
        <v>1201</v>
      </c>
    </row>
    <row r="310" spans="1:8" ht="13">
      <c r="A310" s="2">
        <f>A303+1</f>
        <v>184</v>
      </c>
      <c r="C310" s="270" t="s">
        <v>379</v>
      </c>
      <c r="D310" s="500">
        <v>2020</v>
      </c>
      <c r="E310" s="60">
        <v>0</v>
      </c>
      <c r="F310" s="60">
        <v>0</v>
      </c>
      <c r="G310" s="6">
        <f t="shared" ref="G310:G322" si="40">E310-F310</f>
        <v>0</v>
      </c>
      <c r="H310" s="6">
        <f>E310-E310</f>
        <v>0</v>
      </c>
    </row>
    <row r="311" spans="1:8" ht="13">
      <c r="A311" s="2">
        <f>A310+1</f>
        <v>185</v>
      </c>
      <c r="C311" s="270" t="s">
        <v>381</v>
      </c>
      <c r="D311" s="350">
        <v>2021</v>
      </c>
      <c r="E311" s="60">
        <v>0</v>
      </c>
      <c r="F311" s="60">
        <v>0</v>
      </c>
      <c r="G311" s="6">
        <f t="shared" si="40"/>
        <v>0</v>
      </c>
      <c r="H311" s="6">
        <f>E311-E310</f>
        <v>0</v>
      </c>
    </row>
    <row r="312" spans="1:8" ht="13">
      <c r="A312" s="2">
        <f t="shared" ref="A312:A322" si="41">A311+1</f>
        <v>186</v>
      </c>
      <c r="C312" s="270" t="s">
        <v>382</v>
      </c>
      <c r="D312" s="350">
        <v>2021</v>
      </c>
      <c r="E312" s="60">
        <v>0</v>
      </c>
      <c r="F312" s="60">
        <v>0</v>
      </c>
      <c r="G312" s="6">
        <f t="shared" si="40"/>
        <v>0</v>
      </c>
      <c r="H312" s="6">
        <f t="shared" ref="H312:H322" si="42">E312-E311</f>
        <v>0</v>
      </c>
    </row>
    <row r="313" spans="1:8" ht="13">
      <c r="A313" s="2">
        <f t="shared" si="41"/>
        <v>187</v>
      </c>
      <c r="C313" s="270" t="s">
        <v>383</v>
      </c>
      <c r="D313" s="350">
        <v>2021</v>
      </c>
      <c r="E313" s="60">
        <v>0</v>
      </c>
      <c r="F313" s="60">
        <v>0</v>
      </c>
      <c r="G313" s="6">
        <f t="shared" si="40"/>
        <v>0</v>
      </c>
      <c r="H313" s="6">
        <f t="shared" si="42"/>
        <v>0</v>
      </c>
    </row>
    <row r="314" spans="1:8" ht="13">
      <c r="A314" s="2">
        <f t="shared" si="41"/>
        <v>188</v>
      </c>
      <c r="C314" s="270" t="s">
        <v>384</v>
      </c>
      <c r="D314" s="350">
        <v>2021</v>
      </c>
      <c r="E314" s="60">
        <v>0</v>
      </c>
      <c r="F314" s="60">
        <v>0</v>
      </c>
      <c r="G314" s="6">
        <f t="shared" si="40"/>
        <v>0</v>
      </c>
      <c r="H314" s="6">
        <f t="shared" si="42"/>
        <v>0</v>
      </c>
    </row>
    <row r="315" spans="1:8" ht="13">
      <c r="A315" s="2">
        <f t="shared" si="41"/>
        <v>189</v>
      </c>
      <c r="C315" s="270" t="s">
        <v>385</v>
      </c>
      <c r="D315" s="350">
        <v>2021</v>
      </c>
      <c r="E315" s="60">
        <v>0</v>
      </c>
      <c r="F315" s="60">
        <v>0</v>
      </c>
      <c r="G315" s="6">
        <f t="shared" si="40"/>
        <v>0</v>
      </c>
      <c r="H315" s="6">
        <f t="shared" si="42"/>
        <v>0</v>
      </c>
    </row>
    <row r="316" spans="1:8" ht="13">
      <c r="A316" s="2">
        <f t="shared" si="41"/>
        <v>190</v>
      </c>
      <c r="C316" s="270" t="s">
        <v>386</v>
      </c>
      <c r="D316" s="350">
        <v>2021</v>
      </c>
      <c r="E316" s="60">
        <v>0</v>
      </c>
      <c r="F316" s="60">
        <v>0</v>
      </c>
      <c r="G316" s="6">
        <f t="shared" si="40"/>
        <v>0</v>
      </c>
      <c r="H316" s="6">
        <f t="shared" si="42"/>
        <v>0</v>
      </c>
    </row>
    <row r="317" spans="1:8" ht="13">
      <c r="A317" s="2">
        <f t="shared" si="41"/>
        <v>191</v>
      </c>
      <c r="C317" s="270" t="s">
        <v>387</v>
      </c>
      <c r="D317" s="350">
        <v>2021</v>
      </c>
      <c r="E317" s="60">
        <v>0</v>
      </c>
      <c r="F317" s="60">
        <v>0</v>
      </c>
      <c r="G317" s="6">
        <f t="shared" si="40"/>
        <v>0</v>
      </c>
      <c r="H317" s="6">
        <f t="shared" si="42"/>
        <v>0</v>
      </c>
    </row>
    <row r="318" spans="1:8" ht="13">
      <c r="A318" s="2">
        <f t="shared" si="41"/>
        <v>192</v>
      </c>
      <c r="C318" s="270" t="s">
        <v>388</v>
      </c>
      <c r="D318" s="350">
        <v>2021</v>
      </c>
      <c r="E318" s="60">
        <v>0</v>
      </c>
      <c r="F318" s="60">
        <v>0</v>
      </c>
      <c r="G318" s="6">
        <f t="shared" si="40"/>
        <v>0</v>
      </c>
      <c r="H318" s="6">
        <f t="shared" si="42"/>
        <v>0</v>
      </c>
    </row>
    <row r="319" spans="1:8" ht="13">
      <c r="A319" s="2">
        <f t="shared" si="41"/>
        <v>193</v>
      </c>
      <c r="C319" s="270" t="s">
        <v>389</v>
      </c>
      <c r="D319" s="350">
        <v>2021</v>
      </c>
      <c r="E319" s="60">
        <v>0</v>
      </c>
      <c r="F319" s="60">
        <v>0</v>
      </c>
      <c r="G319" s="6">
        <f t="shared" si="40"/>
        <v>0</v>
      </c>
      <c r="H319" s="6">
        <f t="shared" si="42"/>
        <v>0</v>
      </c>
    </row>
    <row r="320" spans="1:8" ht="13">
      <c r="A320" s="2">
        <f t="shared" si="41"/>
        <v>194</v>
      </c>
      <c r="C320" s="270" t="s">
        <v>972</v>
      </c>
      <c r="D320" s="350">
        <v>2021</v>
      </c>
      <c r="E320" s="60">
        <v>0</v>
      </c>
      <c r="F320" s="60">
        <v>0</v>
      </c>
      <c r="G320" s="6">
        <f t="shared" si="40"/>
        <v>0</v>
      </c>
      <c r="H320" s="6">
        <f t="shared" si="42"/>
        <v>0</v>
      </c>
    </row>
    <row r="321" spans="1:8" ht="13">
      <c r="A321" s="2">
        <f t="shared" si="41"/>
        <v>195</v>
      </c>
      <c r="C321" s="270" t="s">
        <v>391</v>
      </c>
      <c r="D321" s="350">
        <v>2021</v>
      </c>
      <c r="E321" s="60">
        <v>0</v>
      </c>
      <c r="F321" s="60">
        <v>0</v>
      </c>
      <c r="G321" s="6">
        <f t="shared" si="40"/>
        <v>0</v>
      </c>
      <c r="H321" s="6">
        <f t="shared" si="42"/>
        <v>0</v>
      </c>
    </row>
    <row r="322" spans="1:8" ht="13">
      <c r="A322" s="2">
        <f t="shared" si="41"/>
        <v>196</v>
      </c>
      <c r="C322" s="270" t="s">
        <v>379</v>
      </c>
      <c r="D322" s="350">
        <v>2021</v>
      </c>
      <c r="E322" s="60">
        <v>0</v>
      </c>
      <c r="F322" s="60">
        <v>0</v>
      </c>
      <c r="G322" s="6">
        <f t="shared" si="40"/>
        <v>0</v>
      </c>
      <c r="H322" s="6">
        <f t="shared" si="42"/>
        <v>0</v>
      </c>
    </row>
    <row r="323" spans="1:8" ht="13">
      <c r="A323" s="2"/>
      <c r="C323" s="270"/>
      <c r="D323" s="600"/>
      <c r="E323" s="6"/>
      <c r="F323" s="6"/>
      <c r="G323" s="6"/>
      <c r="H323" s="6"/>
    </row>
    <row r="324" spans="1:8" ht="13">
      <c r="A324" s="2"/>
      <c r="C324" s="354" t="s">
        <v>1222</v>
      </c>
      <c r="D324" s="270"/>
      <c r="E324" s="270"/>
      <c r="F324" s="270"/>
      <c r="G324" s="6"/>
      <c r="H324" s="6"/>
    </row>
    <row r="325" spans="1:8" ht="13">
      <c r="C325" s="354"/>
      <c r="E325" s="48" t="s">
        <v>336</v>
      </c>
      <c r="F325" s="48" t="s">
        <v>337</v>
      </c>
      <c r="G325" s="48" t="s">
        <v>338</v>
      </c>
      <c r="H325" s="48" t="s">
        <v>339</v>
      </c>
    </row>
    <row r="326" spans="1:8">
      <c r="G326" s="257" t="s">
        <v>1196</v>
      </c>
      <c r="H326" s="257" t="s">
        <v>1207</v>
      </c>
    </row>
    <row r="327" spans="1:8" ht="13">
      <c r="C327" s="2" t="s">
        <v>1187</v>
      </c>
      <c r="H327" s="252" t="s">
        <v>1208</v>
      </c>
    </row>
    <row r="328" spans="1:8" ht="13">
      <c r="C328" s="2" t="s">
        <v>372</v>
      </c>
      <c r="E328" s="2" t="s">
        <v>660</v>
      </c>
      <c r="F328" s="2" t="s">
        <v>1209</v>
      </c>
      <c r="G328" s="2" t="s">
        <v>1210</v>
      </c>
      <c r="H328" s="2" t="s">
        <v>704</v>
      </c>
    </row>
    <row r="329" spans="1:8" ht="13">
      <c r="C329" s="18" t="s">
        <v>371</v>
      </c>
      <c r="D329" s="18" t="s">
        <v>372</v>
      </c>
      <c r="E329" s="3" t="s">
        <v>1211</v>
      </c>
      <c r="F329" s="3" t="s">
        <v>38</v>
      </c>
      <c r="G329" s="3" t="s">
        <v>1177</v>
      </c>
      <c r="H329" s="3" t="s">
        <v>1201</v>
      </c>
    </row>
    <row r="330" spans="1:8" ht="13">
      <c r="A330" s="2">
        <f>A322+1</f>
        <v>197</v>
      </c>
      <c r="C330" s="270" t="s">
        <v>379</v>
      </c>
      <c r="D330" s="500">
        <v>2020</v>
      </c>
      <c r="E330" s="60">
        <v>0</v>
      </c>
      <c r="F330" s="60">
        <v>0</v>
      </c>
      <c r="G330" s="6">
        <f t="shared" ref="G330:G342" si="43">E330-F330</f>
        <v>0</v>
      </c>
      <c r="H330" s="6">
        <f>E330-E330</f>
        <v>0</v>
      </c>
    </row>
    <row r="331" spans="1:8" ht="13">
      <c r="A331" s="2">
        <f>A330+1</f>
        <v>198</v>
      </c>
      <c r="C331" s="270" t="s">
        <v>381</v>
      </c>
      <c r="D331" s="350">
        <v>2021</v>
      </c>
      <c r="E331" s="60">
        <v>0</v>
      </c>
      <c r="F331" s="60">
        <v>0</v>
      </c>
      <c r="G331" s="6">
        <f t="shared" si="43"/>
        <v>0</v>
      </c>
      <c r="H331" s="6">
        <f>E331-E330</f>
        <v>0</v>
      </c>
    </row>
    <row r="332" spans="1:8" ht="13">
      <c r="A332" s="2">
        <f t="shared" ref="A332:A342" si="44">A331+1</f>
        <v>199</v>
      </c>
      <c r="C332" s="270" t="s">
        <v>382</v>
      </c>
      <c r="D332" s="350">
        <v>2021</v>
      </c>
      <c r="E332" s="60">
        <v>0</v>
      </c>
      <c r="F332" s="60">
        <v>0</v>
      </c>
      <c r="G332" s="6">
        <f t="shared" si="43"/>
        <v>0</v>
      </c>
      <c r="H332" s="6">
        <f t="shared" ref="H332:H342" si="45">E332-E331</f>
        <v>0</v>
      </c>
    </row>
    <row r="333" spans="1:8" ht="13">
      <c r="A333" s="2">
        <f t="shared" si="44"/>
        <v>200</v>
      </c>
      <c r="C333" s="270" t="s">
        <v>383</v>
      </c>
      <c r="D333" s="350">
        <v>2021</v>
      </c>
      <c r="E333" s="60">
        <v>0</v>
      </c>
      <c r="F333" s="60">
        <v>0</v>
      </c>
      <c r="G333" s="6">
        <f t="shared" si="43"/>
        <v>0</v>
      </c>
      <c r="H333" s="6">
        <f t="shared" si="45"/>
        <v>0</v>
      </c>
    </row>
    <row r="334" spans="1:8" ht="13">
      <c r="A334" s="2">
        <f t="shared" si="44"/>
        <v>201</v>
      </c>
      <c r="C334" s="270" t="s">
        <v>384</v>
      </c>
      <c r="D334" s="350">
        <v>2021</v>
      </c>
      <c r="E334" s="60">
        <v>0</v>
      </c>
      <c r="F334" s="60">
        <v>0</v>
      </c>
      <c r="G334" s="6">
        <f t="shared" si="43"/>
        <v>0</v>
      </c>
      <c r="H334" s="6">
        <f t="shared" si="45"/>
        <v>0</v>
      </c>
    </row>
    <row r="335" spans="1:8" ht="13">
      <c r="A335" s="2">
        <f t="shared" si="44"/>
        <v>202</v>
      </c>
      <c r="C335" s="270" t="s">
        <v>385</v>
      </c>
      <c r="D335" s="350">
        <v>2021</v>
      </c>
      <c r="E335" s="60">
        <v>0</v>
      </c>
      <c r="F335" s="60">
        <v>0</v>
      </c>
      <c r="G335" s="6">
        <f t="shared" si="43"/>
        <v>0</v>
      </c>
      <c r="H335" s="6">
        <f t="shared" si="45"/>
        <v>0</v>
      </c>
    </row>
    <row r="336" spans="1:8" ht="13">
      <c r="A336" s="2">
        <f t="shared" si="44"/>
        <v>203</v>
      </c>
      <c r="C336" s="270" t="s">
        <v>386</v>
      </c>
      <c r="D336" s="350">
        <v>2021</v>
      </c>
      <c r="E336" s="60">
        <v>0</v>
      </c>
      <c r="F336" s="60">
        <v>0</v>
      </c>
      <c r="G336" s="6">
        <f t="shared" si="43"/>
        <v>0</v>
      </c>
      <c r="H336" s="6">
        <f t="shared" si="45"/>
        <v>0</v>
      </c>
    </row>
    <row r="337" spans="1:8" ht="13">
      <c r="A337" s="2">
        <f t="shared" si="44"/>
        <v>204</v>
      </c>
      <c r="C337" s="270" t="s">
        <v>387</v>
      </c>
      <c r="D337" s="350">
        <v>2021</v>
      </c>
      <c r="E337" s="60">
        <v>0</v>
      </c>
      <c r="F337" s="60">
        <v>0</v>
      </c>
      <c r="G337" s="6">
        <f t="shared" si="43"/>
        <v>0</v>
      </c>
      <c r="H337" s="6">
        <f t="shared" si="45"/>
        <v>0</v>
      </c>
    </row>
    <row r="338" spans="1:8" ht="13">
      <c r="A338" s="2">
        <f t="shared" si="44"/>
        <v>205</v>
      </c>
      <c r="C338" s="270" t="s">
        <v>388</v>
      </c>
      <c r="D338" s="350">
        <v>2021</v>
      </c>
      <c r="E338" s="60">
        <v>0</v>
      </c>
      <c r="F338" s="60">
        <v>0</v>
      </c>
      <c r="G338" s="6">
        <f t="shared" si="43"/>
        <v>0</v>
      </c>
      <c r="H338" s="6">
        <f t="shared" si="45"/>
        <v>0</v>
      </c>
    </row>
    <row r="339" spans="1:8" ht="13">
      <c r="A339" s="2">
        <f t="shared" si="44"/>
        <v>206</v>
      </c>
      <c r="C339" s="270" t="s">
        <v>389</v>
      </c>
      <c r="D339" s="350">
        <v>2021</v>
      </c>
      <c r="E339" s="60">
        <v>0</v>
      </c>
      <c r="F339" s="60">
        <v>0</v>
      </c>
      <c r="G339" s="6">
        <f t="shared" si="43"/>
        <v>0</v>
      </c>
      <c r="H339" s="6">
        <f t="shared" si="45"/>
        <v>0</v>
      </c>
    </row>
    <row r="340" spans="1:8" ht="13">
      <c r="A340" s="2">
        <f t="shared" si="44"/>
        <v>207</v>
      </c>
      <c r="C340" s="270" t="s">
        <v>972</v>
      </c>
      <c r="D340" s="350">
        <v>2021</v>
      </c>
      <c r="E340" s="60">
        <v>0</v>
      </c>
      <c r="F340" s="60">
        <v>0</v>
      </c>
      <c r="G340" s="6">
        <f t="shared" si="43"/>
        <v>0</v>
      </c>
      <c r="H340" s="6">
        <f t="shared" si="45"/>
        <v>0</v>
      </c>
    </row>
    <row r="341" spans="1:8" ht="13">
      <c r="A341" s="2">
        <f t="shared" si="44"/>
        <v>208</v>
      </c>
      <c r="C341" s="270" t="s">
        <v>391</v>
      </c>
      <c r="D341" s="350">
        <v>2021</v>
      </c>
      <c r="E341" s="60">
        <v>0</v>
      </c>
      <c r="F341" s="60">
        <v>0</v>
      </c>
      <c r="G341" s="6">
        <f t="shared" si="43"/>
        <v>0</v>
      </c>
      <c r="H341" s="6">
        <f t="shared" si="45"/>
        <v>0</v>
      </c>
    </row>
    <row r="342" spans="1:8" ht="13">
      <c r="A342" s="2">
        <f t="shared" si="44"/>
        <v>209</v>
      </c>
      <c r="C342" s="270" t="s">
        <v>379</v>
      </c>
      <c r="D342" s="350">
        <v>2021</v>
      </c>
      <c r="E342" s="60">
        <v>0</v>
      </c>
      <c r="F342" s="60">
        <v>0</v>
      </c>
      <c r="G342" s="6">
        <f t="shared" si="43"/>
        <v>0</v>
      </c>
      <c r="H342" s="6">
        <f t="shared" si="45"/>
        <v>0</v>
      </c>
    </row>
    <row r="343" spans="1:8" ht="13">
      <c r="A343" s="2"/>
      <c r="C343" s="270"/>
      <c r="D343" s="600"/>
      <c r="E343" s="6"/>
      <c r="F343" s="6"/>
      <c r="G343" s="6"/>
      <c r="H343" s="6"/>
    </row>
    <row r="344" spans="1:8" ht="13">
      <c r="C344" s="871" t="s">
        <v>1223</v>
      </c>
      <c r="E344" s="48" t="s">
        <v>336</v>
      </c>
      <c r="F344" s="48" t="s">
        <v>337</v>
      </c>
      <c r="G344" s="48" t="s">
        <v>338</v>
      </c>
      <c r="H344" s="48" t="s">
        <v>339</v>
      </c>
    </row>
    <row r="345" spans="1:8">
      <c r="G345" s="257" t="s">
        <v>1196</v>
      </c>
      <c r="H345" s="257" t="s">
        <v>1207</v>
      </c>
    </row>
    <row r="346" spans="1:8" ht="13">
      <c r="C346" s="2" t="s">
        <v>1187</v>
      </c>
      <c r="H346" s="252" t="s">
        <v>1208</v>
      </c>
    </row>
    <row r="347" spans="1:8" ht="13">
      <c r="C347" s="2" t="s">
        <v>372</v>
      </c>
      <c r="E347" s="2" t="s">
        <v>660</v>
      </c>
      <c r="F347" s="2" t="s">
        <v>1209</v>
      </c>
      <c r="G347" s="2" t="s">
        <v>1210</v>
      </c>
      <c r="H347" s="2" t="s">
        <v>704</v>
      </c>
    </row>
    <row r="348" spans="1:8" ht="13">
      <c r="C348" s="18" t="s">
        <v>371</v>
      </c>
      <c r="D348" s="18" t="s">
        <v>372</v>
      </c>
      <c r="E348" s="3" t="s">
        <v>1211</v>
      </c>
      <c r="F348" s="3" t="s">
        <v>38</v>
      </c>
      <c r="G348" s="3" t="s">
        <v>1177</v>
      </c>
      <c r="H348" s="3" t="s">
        <v>1201</v>
      </c>
    </row>
    <row r="349" spans="1:8" ht="13">
      <c r="A349" s="2">
        <f>A342+1</f>
        <v>210</v>
      </c>
      <c r="C349" s="270" t="s">
        <v>379</v>
      </c>
      <c r="D349" s="500">
        <v>2020</v>
      </c>
      <c r="E349" s="60"/>
      <c r="F349" s="60"/>
      <c r="G349" s="6">
        <f t="shared" ref="G349:G361" si="46">E349-F349</f>
        <v>0</v>
      </c>
      <c r="H349" s="6">
        <f>E349-E349</f>
        <v>0</v>
      </c>
    </row>
    <row r="350" spans="1:8" ht="13">
      <c r="A350" s="2">
        <f>A349+1</f>
        <v>211</v>
      </c>
      <c r="C350" s="270" t="s">
        <v>381</v>
      </c>
      <c r="D350" s="350">
        <v>2021</v>
      </c>
      <c r="E350" s="60"/>
      <c r="F350" s="60"/>
      <c r="G350" s="6">
        <f t="shared" si="46"/>
        <v>0</v>
      </c>
      <c r="H350" s="6">
        <f>E350-E349</f>
        <v>0</v>
      </c>
    </row>
    <row r="351" spans="1:8" ht="13">
      <c r="A351" s="2">
        <f t="shared" ref="A351:A361" si="47">A350+1</f>
        <v>212</v>
      </c>
      <c r="C351" s="270" t="s">
        <v>382</v>
      </c>
      <c r="D351" s="350">
        <v>2021</v>
      </c>
      <c r="E351" s="60"/>
      <c r="F351" s="60"/>
      <c r="G351" s="6">
        <f t="shared" si="46"/>
        <v>0</v>
      </c>
      <c r="H351" s="6">
        <f t="shared" ref="H351:H361" si="48">E351-E350</f>
        <v>0</v>
      </c>
    </row>
    <row r="352" spans="1:8" ht="13">
      <c r="A352" s="2">
        <f t="shared" si="47"/>
        <v>213</v>
      </c>
      <c r="C352" s="270" t="s">
        <v>383</v>
      </c>
      <c r="D352" s="350">
        <v>2021</v>
      </c>
      <c r="E352" s="60"/>
      <c r="F352" s="60"/>
      <c r="G352" s="6">
        <f t="shared" si="46"/>
        <v>0</v>
      </c>
      <c r="H352" s="6">
        <f t="shared" si="48"/>
        <v>0</v>
      </c>
    </row>
    <row r="353" spans="1:10" ht="13">
      <c r="A353" s="2">
        <f t="shared" si="47"/>
        <v>214</v>
      </c>
      <c r="C353" s="270" t="s">
        <v>384</v>
      </c>
      <c r="D353" s="350">
        <v>2021</v>
      </c>
      <c r="E353" s="60"/>
      <c r="F353" s="60"/>
      <c r="G353" s="6">
        <f t="shared" si="46"/>
        <v>0</v>
      </c>
      <c r="H353" s="6">
        <f t="shared" si="48"/>
        <v>0</v>
      </c>
    </row>
    <row r="354" spans="1:10" ht="13">
      <c r="A354" s="2">
        <f t="shared" si="47"/>
        <v>215</v>
      </c>
      <c r="C354" s="270" t="s">
        <v>385</v>
      </c>
      <c r="D354" s="350">
        <v>2021</v>
      </c>
      <c r="E354" s="60"/>
      <c r="F354" s="60"/>
      <c r="G354" s="6">
        <f t="shared" si="46"/>
        <v>0</v>
      </c>
      <c r="H354" s="6">
        <f t="shared" si="48"/>
        <v>0</v>
      </c>
    </row>
    <row r="355" spans="1:10" ht="13">
      <c r="A355" s="2">
        <f t="shared" si="47"/>
        <v>216</v>
      </c>
      <c r="C355" s="270" t="s">
        <v>386</v>
      </c>
      <c r="D355" s="350">
        <v>2021</v>
      </c>
      <c r="E355" s="60"/>
      <c r="F355" s="60"/>
      <c r="G355" s="6">
        <f t="shared" si="46"/>
        <v>0</v>
      </c>
      <c r="H355" s="6">
        <f t="shared" si="48"/>
        <v>0</v>
      </c>
    </row>
    <row r="356" spans="1:10" ht="13">
      <c r="A356" s="2">
        <f t="shared" si="47"/>
        <v>217</v>
      </c>
      <c r="C356" s="270" t="s">
        <v>387</v>
      </c>
      <c r="D356" s="350">
        <v>2021</v>
      </c>
      <c r="E356" s="60"/>
      <c r="F356" s="60"/>
      <c r="G356" s="6">
        <f t="shared" si="46"/>
        <v>0</v>
      </c>
      <c r="H356" s="6">
        <f t="shared" si="48"/>
        <v>0</v>
      </c>
    </row>
    <row r="357" spans="1:10" ht="13">
      <c r="A357" s="2">
        <f t="shared" si="47"/>
        <v>218</v>
      </c>
      <c r="C357" s="270" t="s">
        <v>388</v>
      </c>
      <c r="D357" s="350">
        <v>2021</v>
      </c>
      <c r="E357" s="60"/>
      <c r="F357" s="60"/>
      <c r="G357" s="6">
        <f t="shared" si="46"/>
        <v>0</v>
      </c>
      <c r="H357" s="6">
        <f t="shared" si="48"/>
        <v>0</v>
      </c>
    </row>
    <row r="358" spans="1:10" ht="13">
      <c r="A358" s="2">
        <f t="shared" si="47"/>
        <v>219</v>
      </c>
      <c r="C358" s="270" t="s">
        <v>389</v>
      </c>
      <c r="D358" s="350">
        <v>2021</v>
      </c>
      <c r="E358" s="60"/>
      <c r="F358" s="60"/>
      <c r="G358" s="6">
        <f t="shared" si="46"/>
        <v>0</v>
      </c>
      <c r="H358" s="6">
        <f t="shared" si="48"/>
        <v>0</v>
      </c>
    </row>
    <row r="359" spans="1:10" ht="13">
      <c r="A359" s="2">
        <f t="shared" si="47"/>
        <v>220</v>
      </c>
      <c r="C359" s="270" t="s">
        <v>972</v>
      </c>
      <c r="D359" s="350">
        <v>2021</v>
      </c>
      <c r="E359" s="60"/>
      <c r="F359" s="60"/>
      <c r="G359" s="6">
        <f t="shared" si="46"/>
        <v>0</v>
      </c>
      <c r="H359" s="6">
        <f t="shared" si="48"/>
        <v>0</v>
      </c>
    </row>
    <row r="360" spans="1:10" ht="13">
      <c r="A360" s="2">
        <f t="shared" si="47"/>
        <v>221</v>
      </c>
      <c r="C360" s="270" t="s">
        <v>391</v>
      </c>
      <c r="D360" s="350">
        <v>2021</v>
      </c>
      <c r="E360" s="60"/>
      <c r="F360" s="60"/>
      <c r="G360" s="6">
        <f t="shared" si="46"/>
        <v>0</v>
      </c>
      <c r="H360" s="6">
        <f t="shared" si="48"/>
        <v>0</v>
      </c>
    </row>
    <row r="361" spans="1:10" ht="13">
      <c r="A361" s="2">
        <f t="shared" si="47"/>
        <v>222</v>
      </c>
      <c r="C361" s="270" t="s">
        <v>379</v>
      </c>
      <c r="D361" s="350">
        <v>2021</v>
      </c>
      <c r="E361" s="60"/>
      <c r="F361" s="60"/>
      <c r="G361" s="6">
        <f t="shared" si="46"/>
        <v>0</v>
      </c>
      <c r="H361" s="6">
        <f t="shared" si="48"/>
        <v>0</v>
      </c>
    </row>
    <row r="362" spans="1:10" ht="13">
      <c r="A362" s="2"/>
      <c r="C362" s="270"/>
      <c r="D362" s="17"/>
      <c r="E362" s="6"/>
      <c r="F362" s="6"/>
      <c r="G362" s="6"/>
      <c r="H362" s="6"/>
    </row>
    <row r="363" spans="1:10" ht="13">
      <c r="B363" s="1"/>
      <c r="C363" s="1" t="s">
        <v>1224</v>
      </c>
      <c r="D363" s="249"/>
      <c r="E363" s="6"/>
    </row>
    <row r="364" spans="1:10" ht="13">
      <c r="B364" s="1"/>
    </row>
    <row r="365" spans="1:10" ht="13">
      <c r="C365" s="204" t="s">
        <v>1225</v>
      </c>
      <c r="D365" s="55"/>
      <c r="E365" s="55"/>
      <c r="F365" s="55"/>
      <c r="G365" s="110" t="s">
        <v>1226</v>
      </c>
      <c r="H365" s="55"/>
      <c r="I365" s="55"/>
      <c r="J365" s="55"/>
    </row>
    <row r="366" spans="1:10" ht="13">
      <c r="A366" s="2">
        <f>A342+1</f>
        <v>210</v>
      </c>
      <c r="C366" s="282" t="s">
        <v>1227</v>
      </c>
      <c r="D366" s="55"/>
      <c r="E366" s="205"/>
      <c r="F366" s="533" t="s">
        <v>1228</v>
      </c>
      <c r="G366" s="258" t="s">
        <v>1229</v>
      </c>
      <c r="H366" s="55"/>
      <c r="I366" s="55"/>
      <c r="J366" s="55"/>
    </row>
    <row r="367" spans="1:10" ht="13">
      <c r="A367" s="2">
        <f>A366+1</f>
        <v>211</v>
      </c>
      <c r="C367" s="202" t="s">
        <v>1230</v>
      </c>
      <c r="D367" s="55"/>
      <c r="E367" s="206"/>
      <c r="F367" s="534">
        <v>7.4999999999999997E-3</v>
      </c>
      <c r="G367" s="258" t="s">
        <v>1231</v>
      </c>
      <c r="H367" s="55"/>
      <c r="I367" s="55"/>
      <c r="J367" s="55"/>
    </row>
    <row r="368" spans="1:10" ht="13">
      <c r="A368" s="2">
        <f>A367+1</f>
        <v>212</v>
      </c>
      <c r="C368" s="202" t="s">
        <v>1232</v>
      </c>
      <c r="D368" s="55"/>
      <c r="E368" s="205"/>
      <c r="F368" s="533" t="s">
        <v>940</v>
      </c>
      <c r="G368" s="84" t="s">
        <v>1233</v>
      </c>
      <c r="H368" s="55"/>
      <c r="I368" s="55"/>
      <c r="J368" s="55"/>
    </row>
    <row r="369" spans="1:10">
      <c r="C369" s="55"/>
      <c r="D369" s="55"/>
      <c r="E369" s="205"/>
      <c r="F369" s="55"/>
      <c r="G369" s="55"/>
      <c r="H369" s="55"/>
      <c r="I369" s="55"/>
      <c r="J369" s="55"/>
    </row>
    <row r="370" spans="1:10" ht="13">
      <c r="C370" s="204" t="s">
        <v>1234</v>
      </c>
      <c r="D370" s="55"/>
      <c r="E370" s="55"/>
      <c r="F370" s="55"/>
      <c r="G370" s="110" t="s">
        <v>1226</v>
      </c>
      <c r="H370" s="55"/>
      <c r="I370" s="55"/>
      <c r="J370" s="55"/>
    </row>
    <row r="371" spans="1:10" ht="13">
      <c r="A371" s="2">
        <f>A368+1</f>
        <v>213</v>
      </c>
      <c r="C371" s="282" t="s">
        <v>1227</v>
      </c>
      <c r="D371" s="55"/>
      <c r="E371" s="205"/>
      <c r="F371" s="533" t="s">
        <v>1228</v>
      </c>
      <c r="G371" s="258" t="s">
        <v>1229</v>
      </c>
      <c r="H371" s="55"/>
      <c r="I371" s="55"/>
      <c r="J371" s="55"/>
    </row>
    <row r="372" spans="1:10" ht="13">
      <c r="A372" s="2">
        <f>A371+1</f>
        <v>214</v>
      </c>
      <c r="C372" s="202" t="s">
        <v>1230</v>
      </c>
      <c r="D372" s="55"/>
      <c r="E372" s="206"/>
      <c r="F372" s="534">
        <v>1.2500000000000001E-2</v>
      </c>
      <c r="G372" s="258" t="s">
        <v>1231</v>
      </c>
      <c r="H372" s="55"/>
      <c r="I372" s="55"/>
      <c r="J372" s="55"/>
    </row>
    <row r="373" spans="1:10" ht="13">
      <c r="A373" s="2">
        <f>A372+1</f>
        <v>215</v>
      </c>
      <c r="C373" s="202" t="s">
        <v>1232</v>
      </c>
      <c r="D373" s="55"/>
      <c r="E373" s="205"/>
      <c r="F373" s="533" t="s">
        <v>1228</v>
      </c>
      <c r="G373" s="258" t="s">
        <v>1235</v>
      </c>
      <c r="H373" s="55"/>
      <c r="I373" s="55"/>
      <c r="J373" s="55"/>
    </row>
    <row r="374" spans="1:10">
      <c r="C374" s="202"/>
      <c r="D374" s="55"/>
      <c r="E374" s="205"/>
      <c r="F374" s="533"/>
      <c r="G374" s="55"/>
      <c r="H374" s="55"/>
      <c r="I374" s="55"/>
      <c r="J374" s="55"/>
    </row>
    <row r="375" spans="1:10" ht="13">
      <c r="C375" s="204" t="s">
        <v>1236</v>
      </c>
      <c r="D375" s="55"/>
      <c r="E375" s="258"/>
      <c r="F375" s="283"/>
      <c r="G375" s="110" t="s">
        <v>1226</v>
      </c>
      <c r="H375" s="55"/>
      <c r="I375" s="55"/>
      <c r="J375" s="55"/>
    </row>
    <row r="376" spans="1:10" ht="13">
      <c r="A376" s="2">
        <f>A373+1</f>
        <v>216</v>
      </c>
      <c r="C376" s="282" t="s">
        <v>1227</v>
      </c>
      <c r="D376" s="55"/>
      <c r="E376" s="205"/>
      <c r="F376" s="533" t="s">
        <v>1228</v>
      </c>
      <c r="G376" s="258" t="s">
        <v>1229</v>
      </c>
      <c r="H376" s="55"/>
      <c r="I376" s="55"/>
      <c r="J376" s="55"/>
    </row>
    <row r="377" spans="1:10" ht="13">
      <c r="A377" s="2">
        <f>A376+1</f>
        <v>217</v>
      </c>
      <c r="C377" s="202" t="s">
        <v>1230</v>
      </c>
      <c r="D377" s="55"/>
      <c r="E377" s="206"/>
      <c r="F377" s="534">
        <v>0.01</v>
      </c>
      <c r="G377" s="258" t="s">
        <v>1237</v>
      </c>
      <c r="H377" s="55"/>
      <c r="I377" s="55"/>
      <c r="J377" s="55"/>
    </row>
    <row r="378" spans="1:10" ht="13">
      <c r="A378" s="2">
        <f>A377+1</f>
        <v>218</v>
      </c>
      <c r="C378" s="202"/>
      <c r="D378" s="55"/>
      <c r="E378" s="206"/>
      <c r="F378" s="534"/>
      <c r="G378" s="258" t="s">
        <v>1238</v>
      </c>
      <c r="H378" s="55"/>
      <c r="I378" s="55"/>
      <c r="J378" s="55"/>
    </row>
    <row r="379" spans="1:10" ht="13">
      <c r="A379" s="2">
        <f>A378+1</f>
        <v>219</v>
      </c>
      <c r="C379" s="202" t="s">
        <v>1232</v>
      </c>
      <c r="D379" s="55"/>
      <c r="E379" s="205"/>
      <c r="F379" s="533" t="s">
        <v>1228</v>
      </c>
      <c r="G379" s="258" t="s">
        <v>1235</v>
      </c>
      <c r="H379" s="55"/>
      <c r="I379" s="55"/>
      <c r="J379" s="55"/>
    </row>
    <row r="380" spans="1:10">
      <c r="C380" s="202"/>
      <c r="D380" s="55"/>
      <c r="E380" s="205"/>
      <c r="F380" s="533"/>
      <c r="G380" s="55"/>
      <c r="H380" s="55"/>
      <c r="I380" s="55"/>
      <c r="J380" s="55"/>
    </row>
    <row r="381" spans="1:10" ht="13">
      <c r="C381" s="204" t="s">
        <v>1239</v>
      </c>
      <c r="D381" s="55"/>
      <c r="E381" s="258"/>
      <c r="F381" s="283"/>
      <c r="G381" s="110" t="s">
        <v>1226</v>
      </c>
      <c r="H381" s="55"/>
      <c r="I381" s="55"/>
      <c r="J381" s="55"/>
    </row>
    <row r="382" spans="1:10" ht="13">
      <c r="A382" s="2">
        <f>A379+1</f>
        <v>220</v>
      </c>
      <c r="C382" s="282" t="s">
        <v>1227</v>
      </c>
      <c r="D382" s="55"/>
      <c r="E382" s="205"/>
      <c r="F382" s="533" t="s">
        <v>940</v>
      </c>
      <c r="G382" s="258" t="s">
        <v>1240</v>
      </c>
      <c r="H382" s="55"/>
      <c r="I382" s="55"/>
      <c r="J382" s="55"/>
    </row>
    <row r="383" spans="1:10" ht="13">
      <c r="A383" s="2">
        <f>A382+1</f>
        <v>221</v>
      </c>
      <c r="C383" s="282"/>
      <c r="D383" s="55"/>
      <c r="E383" s="205"/>
      <c r="F383" s="533"/>
      <c r="G383" s="55" t="s">
        <v>1241</v>
      </c>
      <c r="H383" s="55"/>
      <c r="I383" s="55"/>
      <c r="J383" s="55"/>
    </row>
    <row r="384" spans="1:10" ht="13">
      <c r="A384" s="2">
        <f>A383+1</f>
        <v>222</v>
      </c>
      <c r="C384" s="202" t="s">
        <v>1230</v>
      </c>
      <c r="D384" s="55"/>
      <c r="E384" s="206"/>
      <c r="F384" s="534">
        <v>0</v>
      </c>
      <c r="G384" s="258" t="s">
        <v>1242</v>
      </c>
      <c r="H384" s="55"/>
      <c r="I384" s="55"/>
      <c r="J384" s="55"/>
    </row>
    <row r="385" spans="1:10" ht="13">
      <c r="A385" s="2">
        <f>A384+1</f>
        <v>223</v>
      </c>
      <c r="C385" s="202"/>
      <c r="D385" s="55"/>
      <c r="E385" s="206"/>
      <c r="F385" s="534"/>
      <c r="G385" s="258" t="s">
        <v>1243</v>
      </c>
      <c r="H385" s="55"/>
      <c r="I385" s="55"/>
      <c r="J385" s="55"/>
    </row>
    <row r="386" spans="1:10" ht="13">
      <c r="A386" s="2">
        <f>A385+1</f>
        <v>224</v>
      </c>
      <c r="C386" s="202" t="s">
        <v>1232</v>
      </c>
      <c r="D386" s="55"/>
      <c r="E386" s="205"/>
      <c r="F386" s="533" t="s">
        <v>1228</v>
      </c>
      <c r="G386" s="258" t="s">
        <v>1235</v>
      </c>
      <c r="H386" s="55"/>
      <c r="I386" s="55"/>
      <c r="J386" s="55"/>
    </row>
    <row r="387" spans="1:10">
      <c r="C387" s="202"/>
      <c r="D387" s="55"/>
      <c r="E387" s="205"/>
      <c r="F387" s="533"/>
      <c r="G387" s="55"/>
      <c r="H387" s="55"/>
      <c r="I387" s="55"/>
      <c r="J387" s="55"/>
    </row>
    <row r="388" spans="1:10" ht="13">
      <c r="C388" s="204" t="s">
        <v>1244</v>
      </c>
      <c r="D388" s="55"/>
      <c r="E388" s="258"/>
      <c r="F388" s="283"/>
      <c r="G388" s="110" t="s">
        <v>1226</v>
      </c>
      <c r="H388" s="55"/>
      <c r="I388" s="55"/>
      <c r="J388" s="55"/>
    </row>
    <row r="389" spans="1:10" ht="13">
      <c r="A389" s="2">
        <f>A386+1</f>
        <v>225</v>
      </c>
      <c r="C389" s="282" t="s">
        <v>1227</v>
      </c>
      <c r="D389" s="55"/>
      <c r="E389" s="205"/>
      <c r="F389" s="533" t="s">
        <v>1228</v>
      </c>
      <c r="G389" s="284" t="s">
        <v>1245</v>
      </c>
      <c r="H389" s="55"/>
      <c r="I389" s="55"/>
      <c r="J389" s="55"/>
    </row>
    <row r="390" spans="1:10" ht="13">
      <c r="A390" s="2">
        <f>A389+1</f>
        <v>226</v>
      </c>
      <c r="C390" s="202" t="s">
        <v>1230</v>
      </c>
      <c r="D390" s="55"/>
      <c r="E390" s="206"/>
      <c r="F390" s="534">
        <v>0</v>
      </c>
      <c r="G390" s="285" t="s">
        <v>380</v>
      </c>
      <c r="H390" s="55"/>
      <c r="I390" s="55"/>
      <c r="J390" s="55"/>
    </row>
    <row r="391" spans="1:10" ht="13">
      <c r="A391" s="2">
        <f>A390+1</f>
        <v>227</v>
      </c>
      <c r="C391" s="202" t="s">
        <v>1232</v>
      </c>
      <c r="D391" s="55"/>
      <c r="E391" s="205"/>
      <c r="F391" s="533" t="s">
        <v>1228</v>
      </c>
      <c r="G391" s="284" t="s">
        <v>1245</v>
      </c>
      <c r="H391" s="55"/>
      <c r="I391" s="55"/>
      <c r="J391" s="55"/>
    </row>
    <row r="392" spans="1:10">
      <c r="C392" s="55"/>
      <c r="D392" s="55"/>
      <c r="E392" s="55"/>
      <c r="F392" s="533"/>
      <c r="G392" s="55"/>
      <c r="H392" s="55"/>
      <c r="I392" s="55"/>
      <c r="J392" s="55"/>
    </row>
    <row r="393" spans="1:10" ht="13">
      <c r="C393" s="204" t="s">
        <v>1246</v>
      </c>
      <c r="D393" s="55"/>
      <c r="E393" s="258"/>
      <c r="F393" s="283"/>
      <c r="G393" s="110" t="s">
        <v>1226</v>
      </c>
      <c r="H393" s="55"/>
      <c r="I393" s="55"/>
      <c r="J393" s="55"/>
    </row>
    <row r="394" spans="1:10" ht="13">
      <c r="A394" s="2">
        <f>A391+1</f>
        <v>228</v>
      </c>
      <c r="C394" s="282" t="s">
        <v>1227</v>
      </c>
      <c r="D394" s="55"/>
      <c r="E394" s="205"/>
      <c r="F394" s="533" t="s">
        <v>1228</v>
      </c>
      <c r="G394" s="284" t="s">
        <v>1245</v>
      </c>
      <c r="H394" s="55"/>
      <c r="I394" s="258"/>
      <c r="J394" s="258"/>
    </row>
    <row r="395" spans="1:10" ht="13">
      <c r="A395" s="2">
        <f>A394+1</f>
        <v>229</v>
      </c>
      <c r="C395" s="202" t="s">
        <v>1230</v>
      </c>
      <c r="D395" s="55"/>
      <c r="E395" s="206"/>
      <c r="F395" s="534">
        <v>0</v>
      </c>
      <c r="G395" s="285" t="s">
        <v>380</v>
      </c>
      <c r="H395" s="55"/>
      <c r="I395" s="258"/>
      <c r="J395" s="258"/>
    </row>
    <row r="396" spans="1:10" ht="13">
      <c r="A396" s="2">
        <f>A395+1</f>
        <v>230</v>
      </c>
      <c r="C396" s="202" t="s">
        <v>1232</v>
      </c>
      <c r="D396" s="55"/>
      <c r="E396" s="205"/>
      <c r="F396" s="533" t="s">
        <v>1228</v>
      </c>
      <c r="G396" s="284" t="s">
        <v>1245</v>
      </c>
      <c r="H396" s="55"/>
      <c r="I396" s="258"/>
      <c r="J396" s="258"/>
    </row>
    <row r="397" spans="1:10">
      <c r="C397" s="202"/>
      <c r="D397" s="55"/>
      <c r="E397" s="206"/>
      <c r="F397" s="534"/>
      <c r="G397" s="258"/>
      <c r="H397" s="55"/>
      <c r="I397" s="258"/>
      <c r="J397" s="258"/>
    </row>
    <row r="398" spans="1:10" ht="13">
      <c r="C398" s="204" t="s">
        <v>1247</v>
      </c>
      <c r="D398" s="55"/>
      <c r="E398" s="258"/>
      <c r="F398" s="283"/>
      <c r="G398" s="110" t="s">
        <v>1226</v>
      </c>
      <c r="H398" s="55"/>
      <c r="I398" s="258"/>
      <c r="J398" s="258"/>
    </row>
    <row r="399" spans="1:10" ht="13">
      <c r="A399" s="2">
        <f>A396+1</f>
        <v>231</v>
      </c>
      <c r="C399" s="282" t="s">
        <v>1227</v>
      </c>
      <c r="D399" s="55"/>
      <c r="E399" s="205"/>
      <c r="F399" s="533" t="s">
        <v>1228</v>
      </c>
      <c r="G399" s="258" t="s">
        <v>1248</v>
      </c>
      <c r="H399" s="55"/>
      <c r="I399" s="258"/>
      <c r="J399" s="258"/>
    </row>
    <row r="400" spans="1:10" ht="13">
      <c r="A400" s="2">
        <f>A399+1</f>
        <v>232</v>
      </c>
      <c r="C400" s="202" t="s">
        <v>1230</v>
      </c>
      <c r="D400" s="55"/>
      <c r="E400" s="206"/>
      <c r="F400" s="534">
        <v>0</v>
      </c>
      <c r="G400" s="258" t="s">
        <v>1249</v>
      </c>
      <c r="H400" s="55"/>
      <c r="I400" s="258"/>
      <c r="J400" s="258"/>
    </row>
    <row r="401" spans="1:10" ht="13">
      <c r="A401" s="2">
        <f>A400+1</f>
        <v>233</v>
      </c>
      <c r="C401" s="202" t="s">
        <v>1232</v>
      </c>
      <c r="D401" s="55"/>
      <c r="E401" s="205"/>
      <c r="F401" s="533" t="s">
        <v>1228</v>
      </c>
      <c r="G401" s="258" t="s">
        <v>1250</v>
      </c>
      <c r="H401" s="55"/>
      <c r="I401" s="258"/>
      <c r="J401" s="258"/>
    </row>
    <row r="402" spans="1:10">
      <c r="C402" s="55"/>
      <c r="D402" s="55"/>
      <c r="E402" s="55"/>
      <c r="F402" s="533"/>
      <c r="G402" s="55"/>
      <c r="H402" s="55"/>
      <c r="I402" s="55"/>
      <c r="J402" s="55"/>
    </row>
    <row r="403" spans="1:10" ht="13">
      <c r="C403" s="204" t="s">
        <v>1251</v>
      </c>
      <c r="D403" s="55"/>
      <c r="E403" s="258"/>
      <c r="F403" s="283"/>
      <c r="G403" s="110" t="s">
        <v>1226</v>
      </c>
      <c r="H403" s="55"/>
      <c r="I403" s="55"/>
      <c r="J403" s="55"/>
    </row>
    <row r="404" spans="1:10" ht="13">
      <c r="A404" s="2">
        <f>A401+1</f>
        <v>234</v>
      </c>
      <c r="C404" s="282" t="s">
        <v>1227</v>
      </c>
      <c r="D404" s="55"/>
      <c r="E404" s="205"/>
      <c r="F404" s="533" t="s">
        <v>1228</v>
      </c>
      <c r="G404" s="284" t="s">
        <v>1245</v>
      </c>
      <c r="H404" s="55"/>
      <c r="I404" s="55"/>
      <c r="J404" s="55"/>
    </row>
    <row r="405" spans="1:10" ht="13">
      <c r="A405" s="2">
        <f>A404+1</f>
        <v>235</v>
      </c>
      <c r="C405" s="202" t="s">
        <v>1230</v>
      </c>
      <c r="D405" s="55"/>
      <c r="E405" s="206"/>
      <c r="F405" s="534">
        <v>0</v>
      </c>
      <c r="G405" s="285" t="s">
        <v>380</v>
      </c>
      <c r="H405" s="55"/>
      <c r="I405" s="55"/>
      <c r="J405" s="55"/>
    </row>
    <row r="406" spans="1:10" ht="13">
      <c r="A406" s="2">
        <f>A405+1</f>
        <v>236</v>
      </c>
      <c r="C406" s="202" t="s">
        <v>1232</v>
      </c>
      <c r="D406" s="55"/>
      <c r="E406" s="205"/>
      <c r="F406" s="533" t="s">
        <v>1228</v>
      </c>
      <c r="G406" s="284" t="s">
        <v>1245</v>
      </c>
      <c r="H406" s="55"/>
      <c r="I406" s="55"/>
      <c r="J406" s="55"/>
    </row>
    <row r="407" spans="1:10">
      <c r="C407" s="55"/>
      <c r="D407" s="55"/>
      <c r="E407" s="55"/>
      <c r="F407" s="533"/>
      <c r="G407" s="55"/>
      <c r="H407" s="55"/>
      <c r="I407" s="55"/>
      <c r="J407" s="55"/>
    </row>
    <row r="408" spans="1:10" ht="13">
      <c r="C408" s="204" t="s">
        <v>1252</v>
      </c>
      <c r="D408" s="55"/>
      <c r="E408" s="258"/>
      <c r="F408" s="283"/>
      <c r="G408" s="110" t="s">
        <v>1226</v>
      </c>
      <c r="H408" s="55"/>
      <c r="I408" s="55"/>
      <c r="J408" s="55"/>
    </row>
    <row r="409" spans="1:10" ht="13">
      <c r="A409" s="2">
        <f>A406+1</f>
        <v>237</v>
      </c>
      <c r="C409" s="282" t="s">
        <v>1227</v>
      </c>
      <c r="D409" s="55"/>
      <c r="E409" s="205"/>
      <c r="F409" s="533" t="s">
        <v>1228</v>
      </c>
      <c r="G409" s="284" t="s">
        <v>1245</v>
      </c>
      <c r="H409" s="55"/>
      <c r="I409" s="55"/>
      <c r="J409" s="55"/>
    </row>
    <row r="410" spans="1:10" ht="13">
      <c r="A410" s="2">
        <f>A409+1</f>
        <v>238</v>
      </c>
      <c r="C410" s="202" t="s">
        <v>1230</v>
      </c>
      <c r="D410" s="55"/>
      <c r="E410" s="206"/>
      <c r="F410" s="534">
        <v>0</v>
      </c>
      <c r="G410" s="285" t="s">
        <v>380</v>
      </c>
      <c r="H410" s="55"/>
      <c r="I410" s="55"/>
      <c r="J410" s="55"/>
    </row>
    <row r="411" spans="1:10" ht="13">
      <c r="A411" s="2">
        <f>A410+1</f>
        <v>239</v>
      </c>
      <c r="C411" s="202" t="s">
        <v>1232</v>
      </c>
      <c r="D411" s="55"/>
      <c r="E411" s="205"/>
      <c r="F411" s="533" t="s">
        <v>1228</v>
      </c>
      <c r="G411" s="284" t="s">
        <v>1245</v>
      </c>
      <c r="H411" s="55"/>
      <c r="I411" s="55"/>
      <c r="J411" s="55"/>
    </row>
    <row r="412" spans="1:10">
      <c r="C412" s="55"/>
      <c r="D412" s="55"/>
      <c r="E412" s="55"/>
      <c r="F412" s="533"/>
      <c r="G412" s="55"/>
      <c r="H412" s="55"/>
      <c r="I412" s="55"/>
      <c r="J412" s="55"/>
    </row>
    <row r="413" spans="1:10" ht="13">
      <c r="C413" s="627" t="s">
        <v>1253</v>
      </c>
      <c r="D413" s="55"/>
      <c r="E413" s="55"/>
      <c r="F413" s="55"/>
      <c r="G413" s="110" t="s">
        <v>1226</v>
      </c>
      <c r="H413" s="55"/>
      <c r="I413" s="55"/>
      <c r="J413" s="55"/>
    </row>
    <row r="414" spans="1:10" ht="13">
      <c r="A414" s="2">
        <f>A411+1</f>
        <v>240</v>
      </c>
      <c r="C414" s="282" t="s">
        <v>1227</v>
      </c>
      <c r="D414" s="55"/>
      <c r="E414" s="55"/>
      <c r="F414" s="258" t="s">
        <v>1228</v>
      </c>
      <c r="G414" s="258" t="s">
        <v>1254</v>
      </c>
      <c r="H414" s="55"/>
      <c r="I414" s="55"/>
      <c r="J414" s="55"/>
    </row>
    <row r="415" spans="1:10" ht="13">
      <c r="A415" s="2">
        <f>A414+1</f>
        <v>241</v>
      </c>
      <c r="C415" s="202" t="s">
        <v>1230</v>
      </c>
      <c r="D415" s="55"/>
      <c r="E415" s="55"/>
      <c r="F415" s="534">
        <v>0</v>
      </c>
      <c r="G415" s="285" t="s">
        <v>380</v>
      </c>
      <c r="H415" s="55"/>
      <c r="I415" s="55"/>
      <c r="J415" s="55"/>
    </row>
    <row r="416" spans="1:10" ht="13">
      <c r="A416" s="2">
        <f>A415+1</f>
        <v>242</v>
      </c>
      <c r="C416" s="202" t="s">
        <v>1232</v>
      </c>
      <c r="D416" s="55"/>
      <c r="E416" s="55"/>
      <c r="F416" s="258" t="s">
        <v>940</v>
      </c>
      <c r="G416" s="285" t="s">
        <v>380</v>
      </c>
      <c r="H416" s="55"/>
      <c r="I416" s="55"/>
      <c r="J416" s="55"/>
    </row>
    <row r="417" spans="1:10">
      <c r="C417" s="55"/>
      <c r="D417" s="55"/>
      <c r="E417" s="55"/>
      <c r="F417" s="55"/>
      <c r="G417" s="55"/>
      <c r="H417" s="55"/>
      <c r="I417" s="55"/>
      <c r="J417" s="55"/>
    </row>
    <row r="418" spans="1:10" ht="13">
      <c r="C418" s="627" t="s">
        <v>1255</v>
      </c>
      <c r="D418" s="55"/>
      <c r="E418" s="55"/>
      <c r="F418" s="55"/>
      <c r="G418" s="110" t="s">
        <v>1226</v>
      </c>
      <c r="H418" s="55"/>
      <c r="I418" s="55"/>
      <c r="J418" s="55"/>
    </row>
    <row r="419" spans="1:10" ht="13">
      <c r="A419" s="2">
        <f>A416+1</f>
        <v>243</v>
      </c>
      <c r="C419" s="282" t="s">
        <v>1227</v>
      </c>
      <c r="D419" s="55"/>
      <c r="E419" s="55"/>
      <c r="F419" s="258" t="s">
        <v>1228</v>
      </c>
      <c r="G419" s="258" t="s">
        <v>1254</v>
      </c>
      <c r="H419" s="55"/>
      <c r="I419" s="55"/>
      <c r="J419" s="55"/>
    </row>
    <row r="420" spans="1:10" ht="13">
      <c r="A420" s="2">
        <f>A419+1</f>
        <v>244</v>
      </c>
      <c r="C420" s="202" t="s">
        <v>1230</v>
      </c>
      <c r="D420" s="55"/>
      <c r="E420" s="55"/>
      <c r="F420" s="534">
        <v>0</v>
      </c>
      <c r="G420" s="285" t="s">
        <v>380</v>
      </c>
      <c r="H420" s="55"/>
      <c r="I420" s="55"/>
      <c r="J420" s="55"/>
    </row>
    <row r="421" spans="1:10" ht="13">
      <c r="A421" s="2">
        <f>A420+1</f>
        <v>245</v>
      </c>
      <c r="C421" s="202" t="s">
        <v>1232</v>
      </c>
      <c r="D421" s="55"/>
      <c r="E421" s="55"/>
      <c r="F421" s="258" t="s">
        <v>1228</v>
      </c>
      <c r="G421" s="258" t="s">
        <v>1256</v>
      </c>
      <c r="H421" s="55"/>
      <c r="I421" s="55"/>
      <c r="J421" s="55"/>
    </row>
    <row r="422" spans="1:10">
      <c r="C422" s="55"/>
      <c r="D422" s="55"/>
      <c r="E422" s="55"/>
      <c r="F422" s="55"/>
      <c r="G422" s="55"/>
      <c r="H422" s="55"/>
      <c r="I422" s="55"/>
      <c r="J422" s="55"/>
    </row>
    <row r="423" spans="1:10" ht="13">
      <c r="C423" s="627" t="s">
        <v>1257</v>
      </c>
      <c r="D423" s="55"/>
      <c r="E423" s="55"/>
      <c r="F423" s="55"/>
      <c r="G423" s="110" t="s">
        <v>1226</v>
      </c>
      <c r="H423" s="55"/>
      <c r="I423" s="55"/>
      <c r="J423" s="55"/>
    </row>
    <row r="424" spans="1:10" ht="13">
      <c r="A424" s="2">
        <f>A421+1</f>
        <v>246</v>
      </c>
      <c r="C424" s="282" t="s">
        <v>1227</v>
      </c>
      <c r="D424" s="55"/>
      <c r="E424" s="55"/>
      <c r="F424" s="258" t="s">
        <v>1228</v>
      </c>
      <c r="G424" s="258" t="s">
        <v>1254</v>
      </c>
      <c r="H424" s="55"/>
      <c r="I424" s="55"/>
      <c r="J424" s="55"/>
    </row>
    <row r="425" spans="1:10" ht="13">
      <c r="A425" s="2">
        <f>A424+1</f>
        <v>247</v>
      </c>
      <c r="C425" s="202" t="s">
        <v>1230</v>
      </c>
      <c r="D425" s="55"/>
      <c r="E425" s="55"/>
      <c r="F425" s="534">
        <v>0</v>
      </c>
      <c r="G425" s="285" t="s">
        <v>380</v>
      </c>
      <c r="H425" s="55"/>
      <c r="I425" s="55"/>
      <c r="J425" s="55"/>
    </row>
    <row r="426" spans="1:10" ht="13">
      <c r="A426" s="2">
        <f>A425+1</f>
        <v>248</v>
      </c>
      <c r="C426" s="202" t="s">
        <v>1232</v>
      </c>
      <c r="D426" s="55"/>
      <c r="E426" s="55"/>
      <c r="F426" s="258" t="s">
        <v>1228</v>
      </c>
      <c r="G426" s="258" t="s">
        <v>1256</v>
      </c>
      <c r="H426" s="55"/>
      <c r="I426" s="55"/>
      <c r="J426" s="55"/>
    </row>
    <row r="427" spans="1:10" ht="13">
      <c r="A427" s="2"/>
      <c r="C427" s="202"/>
      <c r="D427" s="55"/>
      <c r="E427" s="55"/>
      <c r="F427" s="258"/>
      <c r="G427" s="258"/>
      <c r="H427" s="55"/>
      <c r="I427" s="55"/>
      <c r="J427" s="55"/>
    </row>
    <row r="428" spans="1:10" ht="13">
      <c r="A428" s="2"/>
      <c r="C428" s="204" t="s">
        <v>1258</v>
      </c>
      <c r="D428" s="55"/>
      <c r="E428" s="55"/>
      <c r="F428" s="258"/>
      <c r="G428" s="110" t="s">
        <v>1226</v>
      </c>
      <c r="H428" s="55"/>
      <c r="I428" s="55"/>
      <c r="J428" s="55"/>
    </row>
    <row r="429" spans="1:10" ht="13">
      <c r="A429" s="2">
        <f>A426+1</f>
        <v>249</v>
      </c>
      <c r="C429" s="282" t="s">
        <v>1227</v>
      </c>
      <c r="D429" s="55"/>
      <c r="E429" s="55"/>
      <c r="F429" s="258" t="s">
        <v>1228</v>
      </c>
      <c r="G429" s="258" t="s">
        <v>1259</v>
      </c>
      <c r="H429" s="55"/>
      <c r="I429" s="55"/>
      <c r="J429" s="55"/>
    </row>
    <row r="430" spans="1:10" ht="13">
      <c r="A430" s="2">
        <f t="shared" ref="A430:A431" si="49">A429+1</f>
        <v>250</v>
      </c>
      <c r="C430" s="282" t="s">
        <v>1230</v>
      </c>
      <c r="D430" s="55"/>
      <c r="E430" s="55"/>
      <c r="F430" s="534">
        <v>0</v>
      </c>
      <c r="G430" s="258"/>
      <c r="H430" s="55"/>
      <c r="I430" s="55"/>
      <c r="J430" s="55"/>
    </row>
    <row r="431" spans="1:10" ht="13">
      <c r="A431" s="2">
        <f t="shared" si="49"/>
        <v>251</v>
      </c>
      <c r="C431" s="282" t="s">
        <v>1232</v>
      </c>
      <c r="D431" s="55"/>
      <c r="E431" s="55"/>
      <c r="F431" s="258" t="s">
        <v>1228</v>
      </c>
      <c r="G431" s="258" t="s">
        <v>1260</v>
      </c>
      <c r="H431" s="55"/>
      <c r="I431" s="55"/>
      <c r="J431" s="55"/>
    </row>
    <row r="432" spans="1:10" ht="13">
      <c r="A432" s="2"/>
      <c r="C432" s="282"/>
      <c r="D432" s="55"/>
      <c r="E432" s="55"/>
      <c r="F432" s="258"/>
      <c r="G432" s="258"/>
      <c r="H432" s="55"/>
      <c r="I432" s="55"/>
      <c r="J432" s="55"/>
    </row>
    <row r="433" spans="1:10" ht="13">
      <c r="A433" s="2"/>
      <c r="C433" s="204" t="s">
        <v>1261</v>
      </c>
      <c r="D433" s="55"/>
      <c r="E433" s="55"/>
      <c r="F433" s="258"/>
      <c r="G433" s="110" t="s">
        <v>1226</v>
      </c>
      <c r="H433" s="55"/>
      <c r="I433" s="55"/>
      <c r="J433" s="55"/>
    </row>
    <row r="434" spans="1:10" ht="13">
      <c r="A434" s="2">
        <f>A431+1</f>
        <v>252</v>
      </c>
      <c r="C434" s="282" t="s">
        <v>1227</v>
      </c>
      <c r="D434" s="55"/>
      <c r="E434" s="55"/>
      <c r="F434" s="258"/>
      <c r="G434" s="258"/>
      <c r="H434" s="55"/>
      <c r="I434" s="55"/>
      <c r="J434" s="55"/>
    </row>
    <row r="435" spans="1:10" ht="13">
      <c r="A435" s="2">
        <f t="shared" ref="A435:A436" si="50">A434+1</f>
        <v>253</v>
      </c>
      <c r="C435" s="282" t="s">
        <v>1230</v>
      </c>
      <c r="D435" s="55"/>
      <c r="E435" s="55"/>
      <c r="F435" s="258"/>
      <c r="G435" s="258"/>
      <c r="H435" s="55"/>
      <c r="I435" s="55"/>
      <c r="J435" s="55"/>
    </row>
    <row r="436" spans="1:10" ht="13">
      <c r="A436" s="2">
        <f t="shared" si="50"/>
        <v>254</v>
      </c>
      <c r="C436" s="282" t="s">
        <v>1232</v>
      </c>
      <c r="D436" s="55"/>
      <c r="E436" s="55"/>
      <c r="F436" s="258"/>
      <c r="G436" s="258"/>
      <c r="H436" s="55"/>
      <c r="I436" s="55"/>
      <c r="J436" s="55"/>
    </row>
    <row r="437" spans="1:10">
      <c r="C437" s="809" t="s">
        <v>823</v>
      </c>
    </row>
    <row r="438" spans="1:10" ht="13">
      <c r="B438" s="47" t="s">
        <v>433</v>
      </c>
    </row>
    <row r="439" spans="1:10">
      <c r="C439" s="251" t="s">
        <v>1262</v>
      </c>
    </row>
    <row r="440" spans="1:10">
      <c r="C440" t="s">
        <v>1263</v>
      </c>
    </row>
  </sheetData>
  <phoneticPr fontId="23" type="noConversion"/>
  <pageMargins left="0.75" right="0.75" top="1" bottom="1" header="0.5" footer="0.5"/>
  <pageSetup scale="64" orientation="portrait" cellComments="asDisplayed" r:id="rId1"/>
  <headerFooter alignWithMargins="0">
    <oddHeader>&amp;CSchedule 14
Incentive Plant
&amp;RTO2023 Draft Annual Update 
Attachment 1</oddHeader>
    <oddFooter>&amp;R&amp;A</oddFooter>
  </headerFooter>
  <rowBreaks count="6" manualBreakCount="6">
    <brk id="67" max="16383" man="1"/>
    <brk id="132" max="16383" man="1"/>
    <brk id="190" max="16383" man="1"/>
    <brk id="247" max="16383" man="1"/>
    <brk id="304" max="16383" man="1"/>
    <brk id="36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1264</v>
      </c>
      <c r="B1" s="1"/>
    </row>
    <row r="2" spans="1:9" ht="13">
      <c r="A2" s="1"/>
      <c r="B2" s="1"/>
      <c r="G2" s="282" t="s">
        <v>1072</v>
      </c>
      <c r="H2" s="282"/>
    </row>
    <row r="3" spans="1:9" ht="13">
      <c r="A3" s="1"/>
      <c r="B3" s="251" t="s">
        <v>1265</v>
      </c>
    </row>
    <row r="4" spans="1:9" ht="13">
      <c r="A4" s="1"/>
      <c r="B4" s="250" t="s">
        <v>1266</v>
      </c>
    </row>
    <row r="5" spans="1:9" ht="13">
      <c r="A5" s="1"/>
      <c r="B5" s="250" t="s">
        <v>1267</v>
      </c>
    </row>
    <row r="7" spans="1:9" ht="13.5" customHeight="1">
      <c r="B7" s="1" t="s">
        <v>1268</v>
      </c>
    </row>
    <row r="8" spans="1:9" ht="13">
      <c r="A8" s="1"/>
      <c r="B8" s="1"/>
    </row>
    <row r="9" spans="1:9" ht="13">
      <c r="A9" s="1"/>
      <c r="B9" s="1"/>
      <c r="C9" s="251" t="s">
        <v>1269</v>
      </c>
    </row>
    <row r="10" spans="1:9" ht="13">
      <c r="A10" s="1"/>
      <c r="B10" s="1"/>
      <c r="C10" s="251" t="s">
        <v>1270</v>
      </c>
    </row>
    <row r="11" spans="1:9" ht="13">
      <c r="A11" s="1"/>
      <c r="B11" s="1"/>
      <c r="C11" s="251"/>
    </row>
    <row r="12" spans="1:9" ht="13">
      <c r="A12" s="1"/>
      <c r="B12" s="1"/>
      <c r="C12" s="251" t="s">
        <v>1271</v>
      </c>
    </row>
    <row r="13" spans="1:9" ht="13">
      <c r="A13" s="1"/>
      <c r="B13" s="1"/>
    </row>
    <row r="14" spans="1:9" ht="13">
      <c r="A14" s="30" t="s">
        <v>273</v>
      </c>
      <c r="B14" s="1"/>
      <c r="C14" s="251" t="s">
        <v>278</v>
      </c>
      <c r="G14" s="63" t="s">
        <v>102</v>
      </c>
      <c r="I14" s="3" t="s">
        <v>652</v>
      </c>
    </row>
    <row r="15" spans="1:9" ht="13">
      <c r="A15" s="2">
        <v>1</v>
      </c>
      <c r="B15" s="1"/>
      <c r="C15" s="250" t="s">
        <v>1272</v>
      </c>
      <c r="G15" s="7">
        <f>'1-BaseTRR'!K82</f>
        <v>0.47499999999999998</v>
      </c>
      <c r="I15" s="251" t="str">
        <f>"1-BaseTRR, L "&amp;'1-BaseTRR'!A82&amp;""</f>
        <v>1-BaseTRR, L 47</v>
      </c>
    </row>
    <row r="16" spans="1:9" ht="13">
      <c r="A16" s="2">
        <v>2</v>
      </c>
      <c r="B16" s="1"/>
      <c r="C16" s="250" t="s">
        <v>192</v>
      </c>
      <c r="G16" s="7">
        <f>'1-BaseTRR'!K104</f>
        <v>0.27983599999999997</v>
      </c>
      <c r="I16" s="251" t="str">
        <f>"1-BaseTRR, L "&amp;'1-BaseTRR'!A104&amp;""</f>
        <v>1-BaseTRR, L 59</v>
      </c>
    </row>
    <row r="17" spans="1:9" ht="13">
      <c r="A17" s="2">
        <v>3</v>
      </c>
      <c r="B17" s="1"/>
      <c r="F17" s="249" t="s">
        <v>1273</v>
      </c>
      <c r="G17" s="6">
        <f>G15*(1/(1-G16))* 10000</f>
        <v>6595.7198638087975</v>
      </c>
      <c r="I17" s="251" t="s">
        <v>1274</v>
      </c>
    </row>
    <row r="19" spans="1:9" ht="13">
      <c r="B19" s="1" t="s">
        <v>1275</v>
      </c>
    </row>
    <row r="20" spans="1:9" ht="13">
      <c r="A20" s="1"/>
      <c r="B20" s="1"/>
      <c r="C20" s="251" t="s">
        <v>1276</v>
      </c>
    </row>
    <row r="21" spans="1:9" ht="13">
      <c r="A21" s="1"/>
      <c r="B21" s="1"/>
      <c r="C21" s="251" t="s">
        <v>1277</v>
      </c>
    </row>
    <row r="22" spans="1:9" ht="13">
      <c r="A22" s="1"/>
      <c r="B22" s="1"/>
    </row>
    <row r="23" spans="1:9" ht="13">
      <c r="A23" s="1"/>
      <c r="B23" s="1"/>
      <c r="F23" s="2" t="s">
        <v>1278</v>
      </c>
    </row>
    <row r="24" spans="1:9" ht="13">
      <c r="A24" s="30" t="s">
        <v>273</v>
      </c>
      <c r="B24" s="30"/>
      <c r="E24" s="3" t="s">
        <v>1279</v>
      </c>
      <c r="F24" s="3" t="s">
        <v>1280</v>
      </c>
      <c r="G24" s="3" t="s">
        <v>652</v>
      </c>
    </row>
    <row r="25" spans="1:9" ht="13">
      <c r="A25" s="2">
        <f>A17+1</f>
        <v>4</v>
      </c>
      <c r="B25" s="2"/>
      <c r="C25" t="s">
        <v>1178</v>
      </c>
      <c r="E25" s="26">
        <f>'14-IncentivePlant'!F367</f>
        <v>7.4999999999999997E-3</v>
      </c>
      <c r="F25" s="56">
        <f>E25/0.01</f>
        <v>0.75</v>
      </c>
      <c r="G25" s="250" t="str">
        <f>"14-IncentivePlant, L "&amp;'14-IncentivePlant'!A367&amp;""</f>
        <v>14-IncentivePlant, L 211</v>
      </c>
    </row>
    <row r="26" spans="1:9" ht="13">
      <c r="A26" s="2">
        <f>A25+1</f>
        <v>5</v>
      </c>
      <c r="B26" s="2"/>
      <c r="C26" t="s">
        <v>1179</v>
      </c>
      <c r="E26" s="26">
        <f>'14-IncentivePlant'!F372</f>
        <v>1.2500000000000001E-2</v>
      </c>
      <c r="F26" s="56">
        <f>E26/0.01</f>
        <v>1.25</v>
      </c>
      <c r="G26" s="250" t="str">
        <f>"14-IncentivePlant, L "&amp;'14-IncentivePlant'!A372&amp;""</f>
        <v>14-IncentivePlant, L 214</v>
      </c>
    </row>
    <row r="27" spans="1:9" ht="13">
      <c r="A27" s="2">
        <f>A26+1</f>
        <v>6</v>
      </c>
      <c r="B27" s="2"/>
      <c r="C27" s="251" t="s">
        <v>1281</v>
      </c>
      <c r="E27" s="26">
        <f>'14-IncentivePlant'!F377</f>
        <v>0.01</v>
      </c>
      <c r="F27" s="56">
        <f>E27/0.01</f>
        <v>1</v>
      </c>
      <c r="G27" s="250" t="str">
        <f>"14-IncentivePlant, L "&amp;'14-IncentivePlant'!A377&amp;""</f>
        <v>14-IncentivePlant, L 217</v>
      </c>
    </row>
    <row r="28" spans="1:9" ht="13">
      <c r="A28" s="2">
        <f>A27+1</f>
        <v>7</v>
      </c>
      <c r="B28" s="2"/>
      <c r="C28" s="258"/>
      <c r="D28" s="55"/>
      <c r="E28" s="26"/>
      <c r="F28" s="56"/>
    </row>
    <row r="29" spans="1:9" ht="13">
      <c r="A29" s="2">
        <f>A28+1</f>
        <v>8</v>
      </c>
      <c r="B29" s="2"/>
      <c r="C29" s="266" t="s">
        <v>823</v>
      </c>
      <c r="E29" s="26"/>
      <c r="F29" s="56"/>
    </row>
    <row r="31" spans="1:9" ht="13">
      <c r="B31" s="1" t="s">
        <v>1282</v>
      </c>
    </row>
    <row r="32" spans="1:9" ht="13">
      <c r="A32" s="1"/>
      <c r="B32" s="1"/>
      <c r="C32" s="251" t="s">
        <v>1283</v>
      </c>
    </row>
    <row r="33" spans="1:9" ht="13">
      <c r="A33" s="1"/>
      <c r="B33" s="1"/>
      <c r="C33" s="251" t="s">
        <v>1284</v>
      </c>
    </row>
    <row r="34" spans="1:9" ht="13">
      <c r="A34" s="1"/>
      <c r="B34" s="1"/>
      <c r="C34" s="251" t="s">
        <v>1285</v>
      </c>
    </row>
    <row r="35" spans="1:9" ht="13">
      <c r="E35" s="2"/>
      <c r="G35" s="2"/>
    </row>
    <row r="36" spans="1:9" ht="13">
      <c r="E36" s="2" t="s">
        <v>860</v>
      </c>
      <c r="G36" s="2" t="s">
        <v>860</v>
      </c>
    </row>
    <row r="37" spans="1:9" ht="13">
      <c r="E37" s="2" t="s">
        <v>1161</v>
      </c>
      <c r="F37" s="2" t="s">
        <v>1278</v>
      </c>
      <c r="G37" s="2" t="s">
        <v>1161</v>
      </c>
    </row>
    <row r="38" spans="1:9" ht="13">
      <c r="A38" s="30" t="s">
        <v>273</v>
      </c>
      <c r="B38" s="30"/>
      <c r="E38" s="3" t="s">
        <v>123</v>
      </c>
      <c r="F38" s="3" t="s">
        <v>1280</v>
      </c>
      <c r="G38" s="3" t="s">
        <v>1286</v>
      </c>
      <c r="H38" s="3" t="s">
        <v>652</v>
      </c>
    </row>
    <row r="39" spans="1:9" ht="13">
      <c r="A39" s="2">
        <f>A29+1</f>
        <v>9</v>
      </c>
      <c r="B39" s="2"/>
      <c r="C39" t="s">
        <v>1178</v>
      </c>
      <c r="E39" s="6">
        <f>'14-IncentivePlant'!E47</f>
        <v>131275846.60596265</v>
      </c>
      <c r="F39" s="56">
        <f>F25</f>
        <v>0.75</v>
      </c>
      <c r="G39" s="6">
        <f>(E39/1000000)*(F39*$G$17)</f>
        <v>649394.03182294837</v>
      </c>
      <c r="H39" s="250" t="str">
        <f>"14-IncentivePlant, L "&amp;'14-IncentivePlant'!A47&amp;", Col. 1"</f>
        <v>14-IncentivePlant, L 14, Col. 1</v>
      </c>
    </row>
    <row r="40" spans="1:9" ht="13">
      <c r="A40" s="2">
        <f>A39+1</f>
        <v>10</v>
      </c>
      <c r="B40" s="2"/>
      <c r="C40" t="s">
        <v>1179</v>
      </c>
      <c r="E40" s="6">
        <f>'14-IncentivePlant'!E48</f>
        <v>2445178651.8419638</v>
      </c>
      <c r="F40" s="56">
        <f>F26</f>
        <v>1.25</v>
      </c>
      <c r="G40" s="6">
        <f>(E40/1000000)*(F40*$G$17)</f>
        <v>20159641.755644076</v>
      </c>
      <c r="H40" s="250" t="str">
        <f>"14-IncentivePlant, L "&amp;'14-IncentivePlant'!A48&amp;", Col. 1"</f>
        <v>14-IncentivePlant, L 15, Col. 1</v>
      </c>
    </row>
    <row r="41" spans="1:9" ht="13">
      <c r="A41" s="2">
        <f>A40+1</f>
        <v>11</v>
      </c>
      <c r="B41" s="2"/>
      <c r="C41" s="251" t="s">
        <v>1281</v>
      </c>
      <c r="E41" s="6">
        <f>'14-IncentivePlant'!E49</f>
        <v>609985114.5183866</v>
      </c>
      <c r="F41" s="56">
        <f>F27</f>
        <v>1</v>
      </c>
      <c r="G41" s="6">
        <f>(E41/1000000)*(F41*$G$17)</f>
        <v>4023290.9364566067</v>
      </c>
      <c r="H41" s="250" t="str">
        <f>"14-IncentivePlant, L "&amp;'14-IncentivePlant'!A49&amp;", Col. 1"</f>
        <v>14-IncentivePlant, L 16, Col. 1</v>
      </c>
    </row>
    <row r="42" spans="1:9" ht="13">
      <c r="A42" s="2">
        <f>A41+1</f>
        <v>12</v>
      </c>
      <c r="B42" s="2"/>
      <c r="C42" s="258"/>
      <c r="D42" s="55"/>
    </row>
    <row r="43" spans="1:9" ht="13">
      <c r="A43" s="2">
        <f>A42+1</f>
        <v>13</v>
      </c>
      <c r="B43" s="2"/>
      <c r="C43" s="266" t="s">
        <v>823</v>
      </c>
    </row>
    <row r="44" spans="1:9" ht="13">
      <c r="A44" s="2">
        <f>A43+1</f>
        <v>14</v>
      </c>
      <c r="F44" s="25" t="s">
        <v>1287</v>
      </c>
      <c r="G44" s="6">
        <f>SUM(G39:G42)</f>
        <v>24832326.723923631</v>
      </c>
      <c r="H44" s="250" t="s">
        <v>1288</v>
      </c>
    </row>
    <row r="45" spans="1:9">
      <c r="H45" s="250" t="s">
        <v>1289</v>
      </c>
      <c r="I45" s="6"/>
    </row>
    <row r="46" spans="1:9" ht="13">
      <c r="B46" s="1" t="s">
        <v>1290</v>
      </c>
    </row>
    <row r="47" spans="1:9" ht="13">
      <c r="A47" s="1"/>
      <c r="B47" s="1"/>
      <c r="C47" s="251" t="s">
        <v>1291</v>
      </c>
    </row>
    <row r="48" spans="1:9" ht="13">
      <c r="A48" s="1"/>
      <c r="B48" s="1"/>
      <c r="C48" s="251" t="s">
        <v>1292</v>
      </c>
    </row>
    <row r="49" spans="1:9" ht="13">
      <c r="A49" s="1"/>
      <c r="B49" s="1"/>
      <c r="C49" s="251" t="s">
        <v>1293</v>
      </c>
    </row>
    <row r="51" spans="1:9" ht="13">
      <c r="E51" s="2" t="s">
        <v>1294</v>
      </c>
      <c r="G51" s="2" t="s">
        <v>1294</v>
      </c>
    </row>
    <row r="52" spans="1:9" ht="13">
      <c r="E52" s="2" t="s">
        <v>1161</v>
      </c>
      <c r="F52" s="2" t="s">
        <v>1278</v>
      </c>
      <c r="G52" s="2" t="s">
        <v>1161</v>
      </c>
    </row>
    <row r="53" spans="1:9" ht="13">
      <c r="A53" s="30" t="s">
        <v>273</v>
      </c>
      <c r="B53" s="30"/>
      <c r="E53" s="3" t="s">
        <v>1210</v>
      </c>
      <c r="F53" s="3" t="s">
        <v>1280</v>
      </c>
      <c r="G53" s="3" t="s">
        <v>1286</v>
      </c>
      <c r="H53" s="3" t="s">
        <v>652</v>
      </c>
    </row>
    <row r="54" spans="1:9" ht="13">
      <c r="A54" s="2">
        <f>A44+1</f>
        <v>15</v>
      </c>
      <c r="B54" s="2"/>
      <c r="C54" t="s">
        <v>1178</v>
      </c>
      <c r="E54" s="6">
        <f>'14-IncentivePlant'!E61</f>
        <v>133645371.12668815</v>
      </c>
      <c r="F54" s="56">
        <f>F25</f>
        <v>0.75</v>
      </c>
      <c r="G54" s="6">
        <f>(E54/1000000)*(F54*$G$17)</f>
        <v>661115.57178479689</v>
      </c>
      <c r="H54" s="250" t="str">
        <f>"14-IncentivePlant, L "&amp;'14-IncentivePlant'!A61&amp;", Col. 1"</f>
        <v>14-IncentivePlant, L 20, Col. 1</v>
      </c>
    </row>
    <row r="55" spans="1:9" ht="13">
      <c r="A55" s="2">
        <f>A54+1</f>
        <v>16</v>
      </c>
      <c r="B55" s="2"/>
      <c r="C55" t="s">
        <v>1179</v>
      </c>
      <c r="E55" s="6">
        <f>'14-IncentivePlant'!E62</f>
        <v>2481156540.6916399</v>
      </c>
      <c r="F55" s="56">
        <f>F26</f>
        <v>1.25</v>
      </c>
      <c r="G55" s="6">
        <f>(E55/1000000)*(F55*$G$17)</f>
        <v>20456266.850823715</v>
      </c>
      <c r="H55" s="250" t="str">
        <f>"14-IncentivePlant, L "&amp;'14-IncentivePlant'!A62&amp;", Col. 1"</f>
        <v>14-IncentivePlant, L 21, Col. 1</v>
      </c>
    </row>
    <row r="56" spans="1:9" ht="13">
      <c r="A56" s="2">
        <f>A55+1</f>
        <v>17</v>
      </c>
      <c r="B56" s="2"/>
      <c r="C56" s="251" t="s">
        <v>1281</v>
      </c>
      <c r="E56" s="6">
        <f>'14-IncentivePlant'!E63</f>
        <v>619849553.35407507</v>
      </c>
      <c r="F56" s="56">
        <f>F27</f>
        <v>1</v>
      </c>
      <c r="G56" s="6">
        <f>(E56/1000000)*(F56*$G$17)</f>
        <v>4088354.0116304839</v>
      </c>
      <c r="H56" s="250" t="str">
        <f>"14-IncentivePlant, L "&amp;'14-IncentivePlant'!A63&amp;", Col. 1"</f>
        <v>14-IncentivePlant, L 22, Col. 1</v>
      </c>
    </row>
    <row r="57" spans="1:9" ht="13">
      <c r="A57" s="2">
        <f>A56+1</f>
        <v>18</v>
      </c>
      <c r="B57" s="2"/>
      <c r="C57" s="258"/>
      <c r="D57" s="55"/>
    </row>
    <row r="58" spans="1:9" ht="13">
      <c r="A58" s="2">
        <f>A57+1</f>
        <v>19</v>
      </c>
      <c r="B58" s="2"/>
      <c r="C58" s="266" t="s">
        <v>823</v>
      </c>
    </row>
    <row r="59" spans="1:9" ht="13">
      <c r="A59" s="2">
        <f>A58+1</f>
        <v>20</v>
      </c>
      <c r="F59" s="249" t="s">
        <v>1295</v>
      </c>
      <c r="G59" s="6">
        <f>SUM(G54:G57)</f>
        <v>25205736.434238996</v>
      </c>
      <c r="H59" s="250" t="s">
        <v>1288</v>
      </c>
    </row>
    <row r="60" spans="1:9">
      <c r="H60" s="250" t="s">
        <v>1289</v>
      </c>
      <c r="I60" s="6"/>
    </row>
    <row r="61" spans="1:9" ht="13">
      <c r="B61" s="1" t="s">
        <v>1296</v>
      </c>
    </row>
    <row r="63" spans="1:9" ht="13">
      <c r="C63" s="1" t="s">
        <v>1297</v>
      </c>
    </row>
    <row r="65" spans="1:7" ht="13">
      <c r="E65" s="2" t="s">
        <v>473</v>
      </c>
    </row>
    <row r="66" spans="1:7" ht="13">
      <c r="C66" s="2" t="s">
        <v>1161</v>
      </c>
      <c r="E66" s="2" t="s">
        <v>1175</v>
      </c>
    </row>
    <row r="67" spans="1:7" ht="13">
      <c r="A67" s="30" t="s">
        <v>273</v>
      </c>
      <c r="C67" s="3" t="s">
        <v>1076</v>
      </c>
      <c r="E67" s="3" t="s">
        <v>1177</v>
      </c>
      <c r="F67" s="3" t="s">
        <v>652</v>
      </c>
    </row>
    <row r="68" spans="1:7" ht="13">
      <c r="A68" s="2">
        <f>A59+1</f>
        <v>21</v>
      </c>
      <c r="C68" t="s">
        <v>1178</v>
      </c>
      <c r="E68" s="6">
        <f>'14-IncentivePlant'!G61</f>
        <v>133645371.12668815</v>
      </c>
      <c r="F68" s="250" t="str">
        <f>"14-IncentivePlant, L "&amp;'14-IncentivePlant'!A61&amp;", Col. 3"</f>
        <v>14-IncentivePlant, L 20, Col. 3</v>
      </c>
    </row>
    <row r="69" spans="1:7" ht="13">
      <c r="A69" s="2">
        <f t="shared" ref="A69:A71" si="0">A68+1</f>
        <v>22</v>
      </c>
      <c r="C69" t="s">
        <v>1179</v>
      </c>
      <c r="E69" s="6">
        <f>'14-IncentivePlant'!G62</f>
        <v>2478854042.0739474</v>
      </c>
      <c r="F69" s="250" t="str">
        <f>"14-IncentivePlant, L "&amp;'14-IncentivePlant'!A62&amp;", Col. 3"</f>
        <v>14-IncentivePlant, L 21, Col. 3</v>
      </c>
    </row>
    <row r="70" spans="1:7" ht="13">
      <c r="A70" s="2">
        <f t="shared" si="0"/>
        <v>23</v>
      </c>
      <c r="C70" s="251" t="s">
        <v>1281</v>
      </c>
      <c r="E70" s="6">
        <f>'14-IncentivePlant'!G63</f>
        <v>619849553.35407507</v>
      </c>
      <c r="F70" s="250" t="str">
        <f>"14-IncentivePlant, L "&amp;'14-IncentivePlant'!A63&amp;", Col. 3"</f>
        <v>14-IncentivePlant, L 22, Col. 3</v>
      </c>
    </row>
    <row r="71" spans="1:7" ht="13">
      <c r="A71" s="2">
        <f t="shared" si="0"/>
        <v>24</v>
      </c>
      <c r="C71" s="258"/>
      <c r="F71" s="250"/>
    </row>
    <row r="72" spans="1:7">
      <c r="C72" s="266" t="s">
        <v>823</v>
      </c>
    </row>
    <row r="73" spans="1:7">
      <c r="C73" s="266"/>
    </row>
    <row r="74" spans="1:7" ht="13">
      <c r="C74" s="1" t="s">
        <v>1298</v>
      </c>
    </row>
    <row r="75" spans="1:7" ht="13">
      <c r="C75" s="1"/>
    </row>
    <row r="76" spans="1:7" ht="13">
      <c r="E76" s="3" t="s">
        <v>336</v>
      </c>
      <c r="F76" s="3" t="s">
        <v>337</v>
      </c>
    </row>
    <row r="77" spans="1:7" ht="13">
      <c r="E77" s="3"/>
      <c r="F77" s="2" t="s">
        <v>1299</v>
      </c>
    </row>
    <row r="78" spans="1:7" ht="13">
      <c r="E78" s="2" t="s">
        <v>366</v>
      </c>
      <c r="F78" s="2" t="s">
        <v>366</v>
      </c>
    </row>
    <row r="79" spans="1:7" ht="13">
      <c r="C79" s="2" t="s">
        <v>1161</v>
      </c>
      <c r="E79" s="2" t="s">
        <v>1161</v>
      </c>
      <c r="F79" s="2" t="s">
        <v>1161</v>
      </c>
    </row>
    <row r="80" spans="1:7" ht="13">
      <c r="A80" s="30" t="s">
        <v>273</v>
      </c>
      <c r="C80" s="3" t="s">
        <v>1076</v>
      </c>
      <c r="E80" s="3" t="s">
        <v>1286</v>
      </c>
      <c r="F80" s="3" t="s">
        <v>1286</v>
      </c>
      <c r="G80" s="3" t="s">
        <v>652</v>
      </c>
    </row>
    <row r="81" spans="1:7" ht="13">
      <c r="A81" s="2">
        <f>A71+1</f>
        <v>25</v>
      </c>
      <c r="C81" t="s">
        <v>1178</v>
      </c>
      <c r="E81" s="6">
        <f>(E68/1000000)*(F54*$G$17)</f>
        <v>661115.57178479689</v>
      </c>
      <c r="F81" s="6">
        <f>E81*(1-$G$16)</f>
        <v>476111.63463882648</v>
      </c>
      <c r="G81" s="250" t="s">
        <v>576</v>
      </c>
    </row>
    <row r="82" spans="1:7" ht="13">
      <c r="A82" s="2">
        <f t="shared" ref="A82:A86" si="1">A81+1</f>
        <v>26</v>
      </c>
      <c r="C82" t="s">
        <v>1179</v>
      </c>
      <c r="E82" s="6">
        <f>(E69/1000000)*(F55*$G$17)</f>
        <v>20437283.555987332</v>
      </c>
      <c r="F82" s="6">
        <f>E82*(1-$G$16)</f>
        <v>14718195.874814061</v>
      </c>
      <c r="G82" s="250" t="s">
        <v>576</v>
      </c>
    </row>
    <row r="83" spans="1:7" ht="13">
      <c r="A83" s="2">
        <f t="shared" si="1"/>
        <v>27</v>
      </c>
      <c r="C83" s="251" t="s">
        <v>1281</v>
      </c>
      <c r="E83" s="6">
        <f>(E70/1000000)*(F56*$G$17)</f>
        <v>4088354.0116304839</v>
      </c>
      <c r="F83" s="6">
        <f>E83*(1-$G$16)</f>
        <v>2944285.3784318557</v>
      </c>
      <c r="G83" s="250" t="s">
        <v>576</v>
      </c>
    </row>
    <row r="84" spans="1:7" ht="13">
      <c r="A84" s="2">
        <f t="shared" si="1"/>
        <v>28</v>
      </c>
      <c r="C84" s="258"/>
      <c r="E84" s="6"/>
      <c r="F84" s="6"/>
      <c r="G84" s="250" t="s">
        <v>576</v>
      </c>
    </row>
    <row r="85" spans="1:7" ht="13">
      <c r="A85" s="2">
        <f t="shared" si="1"/>
        <v>29</v>
      </c>
      <c r="C85" s="266" t="s">
        <v>823</v>
      </c>
      <c r="E85" s="6"/>
      <c r="F85" s="6"/>
    </row>
    <row r="86" spans="1:7" ht="13">
      <c r="A86" s="2">
        <f t="shared" si="1"/>
        <v>30</v>
      </c>
      <c r="E86" s="249" t="s">
        <v>409</v>
      </c>
      <c r="F86" s="6">
        <f>SUM(F81:F85)</f>
        <v>18138592.887884744</v>
      </c>
    </row>
    <row r="88" spans="1:7" ht="13">
      <c r="C88" s="1" t="s">
        <v>1300</v>
      </c>
    </row>
    <row r="89" spans="1:7" ht="13">
      <c r="A89" s="30" t="s">
        <v>273</v>
      </c>
      <c r="F89" s="3" t="s">
        <v>79</v>
      </c>
      <c r="G89" s="3" t="s">
        <v>652</v>
      </c>
    </row>
    <row r="90" spans="1:7" ht="13">
      <c r="A90" s="2">
        <f>A86+1</f>
        <v>31</v>
      </c>
      <c r="E90" s="249" t="s">
        <v>1301</v>
      </c>
      <c r="F90" s="6">
        <f>'4-TUTRR'!J29</f>
        <v>7223470098.1572781</v>
      </c>
      <c r="G90" s="250" t="str">
        <f>"4-TUTRR, Line "&amp;'4-TUTRR'!A29&amp;""</f>
        <v>4-TUTRR, Line 18</v>
      </c>
    </row>
    <row r="91" spans="1:7" ht="13">
      <c r="A91" s="2">
        <f t="shared" ref="A91:A94" si="2">A90+1</f>
        <v>32</v>
      </c>
      <c r="E91" s="249" t="s">
        <v>1302</v>
      </c>
      <c r="F91" s="53">
        <f>'4-TUTRR'!J24</f>
        <v>643095443.11000001</v>
      </c>
      <c r="G91" s="250" t="str">
        <f>"4-TUTRR, Line "&amp;'4-TUTRR'!A24&amp;""</f>
        <v>4-TUTRR, Line 14</v>
      </c>
    </row>
    <row r="92" spans="1:7" ht="13">
      <c r="A92" s="2">
        <f t="shared" si="2"/>
        <v>33</v>
      </c>
      <c r="E92" s="249" t="s">
        <v>1303</v>
      </c>
      <c r="F92" s="6">
        <f>F90-F91</f>
        <v>6580374655.0472784</v>
      </c>
      <c r="G92" s="12" t="str">
        <f>"Line "&amp;A90&amp;" - Line "&amp;A91&amp;""</f>
        <v>Line 31 - Line 32</v>
      </c>
    </row>
    <row r="93" spans="1:7" ht="13">
      <c r="A93" s="2">
        <f t="shared" si="2"/>
        <v>34</v>
      </c>
      <c r="E93" s="249" t="s">
        <v>1304</v>
      </c>
      <c r="F93" s="7">
        <f>'1-BaseTRR'!K82</f>
        <v>0.47499999999999998</v>
      </c>
      <c r="G93" s="250" t="str">
        <f>"1-BaseTRR, Line "&amp;'1-BaseTRR'!A82&amp;""</f>
        <v>1-BaseTRR, Line 47</v>
      </c>
    </row>
    <row r="94" spans="1:7" ht="13">
      <c r="A94" s="2">
        <f t="shared" si="2"/>
        <v>35</v>
      </c>
      <c r="E94" s="249" t="s">
        <v>1305</v>
      </c>
      <c r="F94" s="6">
        <f>F92*F93</f>
        <v>3125677961.1474571</v>
      </c>
      <c r="G94" s="12" t="str">
        <f>"Line "&amp;A92&amp;" * Line "&amp;A93&amp;""</f>
        <v>Line 33 * Line 34</v>
      </c>
    </row>
    <row r="96" spans="1:7" ht="13">
      <c r="C96" s="1" t="s">
        <v>1306</v>
      </c>
    </row>
    <row r="97" spans="1:7" ht="13">
      <c r="A97" s="30" t="s">
        <v>273</v>
      </c>
    </row>
    <row r="98" spans="1:7" ht="13">
      <c r="A98" s="2">
        <f>A94+1</f>
        <v>36</v>
      </c>
      <c r="E98" s="249" t="s">
        <v>1307</v>
      </c>
      <c r="F98" s="26">
        <f>F86/F94</f>
        <v>5.8030907577010732E-3</v>
      </c>
      <c r="G98" s="12" t="str">
        <f>"Line "&amp;A86&amp;" / Line "&amp;A94&amp;""</f>
        <v>Line 30 / Line 35</v>
      </c>
    </row>
    <row r="99" spans="1:7" ht="13">
      <c r="A99" s="2">
        <f t="shared" ref="A99:A101" si="3">A98+1</f>
        <v>37</v>
      </c>
      <c r="E99" s="249" t="s">
        <v>1308</v>
      </c>
    </row>
    <row r="100" spans="1:7" ht="13">
      <c r="A100" s="2">
        <f t="shared" si="3"/>
        <v>38</v>
      </c>
      <c r="E100" s="249" t="s">
        <v>1309</v>
      </c>
      <c r="F100" s="267">
        <f>'1-BaseTRR'!K87</f>
        <v>0.10299999999999999</v>
      </c>
      <c r="G100" s="250" t="str">
        <f>"1-BaseTRR, Line "&amp;'1-BaseTRR'!A87&amp;""</f>
        <v>1-BaseTRR, Line 50</v>
      </c>
    </row>
    <row r="101" spans="1:7" ht="13">
      <c r="A101" s="2">
        <f t="shared" si="3"/>
        <v>39</v>
      </c>
      <c r="E101" s="249" t="s">
        <v>1310</v>
      </c>
      <c r="F101" s="26">
        <f>F98+F100</f>
        <v>0.10880309075770107</v>
      </c>
      <c r="G101" s="12" t="str">
        <f>"Line "&amp;A98&amp;" + Line "&amp;A100&amp;""</f>
        <v>Line 36 + Line 38</v>
      </c>
    </row>
    <row r="103" spans="1:7" ht="13">
      <c r="B103" s="1" t="s">
        <v>433</v>
      </c>
    </row>
    <row r="104" spans="1:7">
      <c r="B104" s="251" t="s">
        <v>1311</v>
      </c>
    </row>
    <row r="105" spans="1:7">
      <c r="B105" s="251" t="s">
        <v>1312</v>
      </c>
    </row>
    <row r="107" spans="1:7" ht="13">
      <c r="B107" s="1" t="s">
        <v>228</v>
      </c>
    </row>
    <row r="108" spans="1:7">
      <c r="B108" s="251" t="str">
        <f>"1) Column 1: The True Up Incentive Adder for each Incentive Project equals the IREF on Line "&amp;A17&amp;","</f>
        <v>1) Column 1: The True Up Incentive Adder for each Incentive Project equals the IREF on Line 3,</v>
      </c>
    </row>
    <row r="109" spans="1:7">
      <c r="B109" s="251" t="str">
        <f>"times the applicable Multiplicative Factor on Lines "&amp;A54&amp;" to "&amp;A57&amp;", times the million $ of"</f>
        <v>times the applicable Multiplicative Factor on Lines 15 to 18, times the million $ of</v>
      </c>
    </row>
    <row r="110" spans="1:7">
      <c r="B110" s="251" t="str">
        <f>"TIP Net Plant In Service on Lines "&amp;A68&amp;" to "&amp;A71&amp;"."</f>
        <v>TIP Net Plant In Service on Lines 21 to 24.</v>
      </c>
    </row>
    <row r="111" spans="1:7">
      <c r="B111" s="251" t="s">
        <v>1313</v>
      </c>
    </row>
    <row r="112" spans="1:7">
      <c r="B112" s="251"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&amp;RTO2023 Draft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Normal="100" zoomScalePageLayoutView="60" workbookViewId="0"/>
  </sheetViews>
  <sheetFormatPr defaultColWidth="9.453125" defaultRowHeight="12.5"/>
  <cols>
    <col min="1" max="1" width="4.54296875" style="323" customWidth="1"/>
    <col min="2" max="2" width="6" style="323" customWidth="1"/>
    <col min="3" max="3" width="15.54296875" style="323" customWidth="1"/>
    <col min="4" max="4" width="9.453125" style="323" customWidth="1"/>
    <col min="5" max="5" width="16" style="323" customWidth="1"/>
    <col min="6" max="6" width="14.54296875" style="323" customWidth="1"/>
    <col min="7" max="7" width="16" style="323" bestFit="1" customWidth="1"/>
    <col min="8" max="8" width="18.453125" style="323" customWidth="1"/>
    <col min="9" max="10" width="15.54296875" style="323" customWidth="1"/>
    <col min="11" max="11" width="16.54296875" style="323" customWidth="1"/>
    <col min="12" max="13" width="15.54296875" style="323" customWidth="1"/>
    <col min="14" max="14" width="17" style="323" customWidth="1"/>
    <col min="15" max="16" width="15.54296875" style="323" customWidth="1"/>
    <col min="17" max="17" width="2.54296875" style="323" customWidth="1"/>
    <col min="18" max="21" width="18.54296875" style="323" customWidth="1"/>
    <col min="22" max="22" width="15.54296875" style="323" customWidth="1"/>
    <col min="23" max="23" width="20.54296875" style="323" bestFit="1" customWidth="1"/>
    <col min="24" max="40" width="15.54296875" style="323" customWidth="1"/>
    <col min="41" max="16384" width="9.453125" style="323"/>
  </cols>
  <sheetData>
    <row r="1" spans="1:40" ht="13">
      <c r="A1" s="327" t="s">
        <v>1314</v>
      </c>
    </row>
    <row r="2" spans="1:40">
      <c r="F2" s="334" t="s">
        <v>1315</v>
      </c>
      <c r="G2" s="334"/>
    </row>
    <row r="3" spans="1:40">
      <c r="B3" s="323" t="s">
        <v>1316</v>
      </c>
    </row>
    <row r="4" spans="1:40">
      <c r="B4" s="323" t="s">
        <v>1317</v>
      </c>
    </row>
    <row r="5" spans="1:40">
      <c r="B5" s="323" t="s">
        <v>1318</v>
      </c>
    </row>
    <row r="7" spans="1:40" ht="13">
      <c r="B7" s="327" t="s">
        <v>1319</v>
      </c>
    </row>
    <row r="8" spans="1:40" ht="13">
      <c r="E8" s="355" t="s">
        <v>336</v>
      </c>
      <c r="F8" s="355" t="s">
        <v>337</v>
      </c>
      <c r="G8" s="355" t="s">
        <v>338</v>
      </c>
      <c r="H8" s="355" t="s">
        <v>339</v>
      </c>
      <c r="I8" s="355" t="s">
        <v>340</v>
      </c>
      <c r="J8" s="355" t="s">
        <v>341</v>
      </c>
      <c r="K8" s="355" t="s">
        <v>342</v>
      </c>
      <c r="L8" s="355" t="s">
        <v>343</v>
      </c>
      <c r="M8" s="355" t="s">
        <v>344</v>
      </c>
      <c r="N8" s="355" t="s">
        <v>589</v>
      </c>
      <c r="O8" s="355" t="s">
        <v>590</v>
      </c>
      <c r="P8" s="355" t="s">
        <v>591</v>
      </c>
      <c r="T8" s="355"/>
      <c r="U8" s="355"/>
      <c r="X8" s="348"/>
      <c r="Y8" s="348"/>
      <c r="Z8" s="348"/>
      <c r="AA8" s="348"/>
      <c r="AB8" s="348"/>
      <c r="AC8" s="348"/>
      <c r="AD8" s="348"/>
      <c r="AE8" s="348"/>
      <c r="AF8" s="348"/>
      <c r="AG8" s="348"/>
      <c r="AH8" s="348"/>
      <c r="AI8" s="348"/>
      <c r="AJ8" s="348"/>
      <c r="AK8" s="348"/>
      <c r="AL8" s="348"/>
      <c r="AM8" s="348"/>
      <c r="AN8" s="348"/>
    </row>
    <row r="9" spans="1:40">
      <c r="E9" s="356" t="s">
        <v>346</v>
      </c>
      <c r="F9" s="356" t="s">
        <v>346</v>
      </c>
      <c r="G9" s="356" t="s">
        <v>346</v>
      </c>
      <c r="H9" s="356" t="s">
        <v>346</v>
      </c>
      <c r="I9" s="356" t="s">
        <v>346</v>
      </c>
      <c r="J9" s="356" t="s">
        <v>346</v>
      </c>
      <c r="K9" s="356" t="s">
        <v>346</v>
      </c>
      <c r="L9" s="356" t="s">
        <v>346</v>
      </c>
      <c r="M9" s="356" t="s">
        <v>346</v>
      </c>
      <c r="N9" s="356" t="s">
        <v>346</v>
      </c>
      <c r="O9" s="356" t="s">
        <v>346</v>
      </c>
      <c r="P9" s="356" t="s">
        <v>346</v>
      </c>
      <c r="Q9" s="357"/>
    </row>
    <row r="10" spans="1:40" ht="13">
      <c r="C10" s="330" t="s">
        <v>985</v>
      </c>
      <c r="E10" s="330" t="s">
        <v>984</v>
      </c>
      <c r="F10" s="330"/>
      <c r="G10" s="330"/>
      <c r="H10" s="330"/>
      <c r="I10" s="330" t="s">
        <v>1320</v>
      </c>
      <c r="J10" s="330"/>
      <c r="K10" s="330"/>
      <c r="L10" s="330"/>
      <c r="M10" s="330"/>
      <c r="O10" s="330" t="s">
        <v>984</v>
      </c>
      <c r="P10" s="330" t="s">
        <v>1321</v>
      </c>
      <c r="T10" s="330"/>
      <c r="U10" s="330"/>
      <c r="X10" s="330"/>
      <c r="Y10" s="330"/>
      <c r="Z10" s="330"/>
      <c r="AA10" s="330"/>
      <c r="AB10" s="330"/>
      <c r="AC10" s="330"/>
      <c r="AD10" s="330"/>
      <c r="AE10" s="330"/>
      <c r="AF10" s="330"/>
      <c r="AG10" s="330"/>
      <c r="AH10" s="330"/>
      <c r="AI10" s="330"/>
      <c r="AJ10" s="330"/>
      <c r="AK10" s="330"/>
      <c r="AL10" s="330"/>
      <c r="AM10" s="330"/>
      <c r="AN10" s="330"/>
    </row>
    <row r="11" spans="1:40" ht="13">
      <c r="B11" s="327"/>
      <c r="C11" s="330" t="s">
        <v>619</v>
      </c>
      <c r="E11" s="330" t="s">
        <v>249</v>
      </c>
      <c r="F11" s="330" t="s">
        <v>988</v>
      </c>
      <c r="G11" s="330" t="s">
        <v>989</v>
      </c>
      <c r="H11" s="330" t="s">
        <v>1322</v>
      </c>
      <c r="I11" s="330" t="s">
        <v>1323</v>
      </c>
      <c r="J11" s="330"/>
      <c r="K11" s="330" t="s">
        <v>1159</v>
      </c>
      <c r="L11" s="330" t="s">
        <v>38</v>
      </c>
      <c r="M11" s="330" t="s">
        <v>1159</v>
      </c>
      <c r="O11" s="330" t="s">
        <v>1324</v>
      </c>
      <c r="P11" s="330" t="s">
        <v>1324</v>
      </c>
      <c r="T11" s="330"/>
      <c r="U11" s="330"/>
      <c r="X11" s="330"/>
      <c r="Y11" s="330"/>
      <c r="Z11" s="330"/>
      <c r="AA11" s="330"/>
      <c r="AB11" s="330"/>
      <c r="AC11" s="330"/>
      <c r="AD11" s="330"/>
      <c r="AE11" s="330"/>
      <c r="AF11" s="330"/>
      <c r="AG11" s="330"/>
      <c r="AH11" s="330"/>
      <c r="AI11" s="330"/>
      <c r="AJ11" s="330"/>
      <c r="AK11" s="330"/>
      <c r="AL11" s="330"/>
      <c r="AM11" s="330"/>
      <c r="AN11" s="330"/>
    </row>
    <row r="12" spans="1:40" ht="13">
      <c r="A12" s="358" t="s">
        <v>273</v>
      </c>
      <c r="C12" s="348" t="s">
        <v>371</v>
      </c>
      <c r="D12" s="348" t="s">
        <v>372</v>
      </c>
      <c r="E12" s="348" t="s">
        <v>994</v>
      </c>
      <c r="F12" s="348" t="s">
        <v>995</v>
      </c>
      <c r="G12" s="348" t="s">
        <v>996</v>
      </c>
      <c r="H12" s="348" t="s">
        <v>1325</v>
      </c>
      <c r="I12" s="348" t="s">
        <v>1326</v>
      </c>
      <c r="J12" s="348" t="s">
        <v>1320</v>
      </c>
      <c r="K12" s="348" t="s">
        <v>1327</v>
      </c>
      <c r="L12" s="348" t="s">
        <v>1328</v>
      </c>
      <c r="M12" s="348" t="s">
        <v>754</v>
      </c>
      <c r="N12" s="348" t="s">
        <v>1210</v>
      </c>
      <c r="O12" s="348" t="s">
        <v>1326</v>
      </c>
      <c r="P12" s="348" t="s">
        <v>1326</v>
      </c>
      <c r="T12" s="348"/>
      <c r="U12" s="348"/>
      <c r="V12" s="348"/>
      <c r="W12" s="348"/>
      <c r="X12" s="348"/>
      <c r="Y12" s="348"/>
      <c r="Z12" s="348"/>
      <c r="AA12" s="348"/>
      <c r="AB12" s="348"/>
      <c r="AC12" s="348"/>
      <c r="AD12" s="348"/>
      <c r="AE12" s="348"/>
      <c r="AF12" s="348"/>
      <c r="AG12" s="348"/>
      <c r="AH12" s="348"/>
      <c r="AI12" s="348"/>
      <c r="AJ12" s="348"/>
      <c r="AK12" s="348"/>
      <c r="AL12" s="348"/>
      <c r="AM12" s="348"/>
      <c r="AN12" s="348"/>
    </row>
    <row r="13" spans="1:40" ht="13">
      <c r="A13" s="330">
        <v>1</v>
      </c>
      <c r="C13" s="323" t="str">
        <f>C45</f>
        <v>January</v>
      </c>
      <c r="D13" s="500">
        <v>2022</v>
      </c>
      <c r="E13" s="325">
        <f t="shared" ref="E13:P13" si="0">E45+E76</f>
        <v>80468312.817776784</v>
      </c>
      <c r="F13" s="325">
        <f t="shared" si="0"/>
        <v>61944130.832586348</v>
      </c>
      <c r="G13" s="325">
        <f t="shared" si="0"/>
        <v>1389313.6488892827</v>
      </c>
      <c r="H13" s="325">
        <f t="shared" si="0"/>
        <v>1526551.5330567777</v>
      </c>
      <c r="I13" s="325">
        <f t="shared" si="0"/>
        <v>17555342.630152944</v>
      </c>
      <c r="J13" s="325">
        <f t="shared" si="0"/>
        <v>526660.27890458831</v>
      </c>
      <c r="K13" s="325">
        <f t="shared" si="0"/>
        <v>80857735.212513894</v>
      </c>
      <c r="L13" s="325">
        <f t="shared" si="0"/>
        <v>0</v>
      </c>
      <c r="M13" s="325">
        <f>M45+M76</f>
        <v>0</v>
      </c>
      <c r="N13" s="325">
        <f t="shared" ref="N13:N36" si="1">N45+N76</f>
        <v>80857735.212513894</v>
      </c>
      <c r="O13" s="325">
        <f t="shared" si="0"/>
        <v>788127.52721543598</v>
      </c>
      <c r="P13" s="325">
        <f t="shared" si="0"/>
        <v>801210.44416721223</v>
      </c>
      <c r="T13" s="325"/>
      <c r="U13" s="325"/>
      <c r="V13" s="359"/>
      <c r="W13" s="325"/>
      <c r="X13" s="360"/>
      <c r="Y13" s="260"/>
      <c r="Z13" s="325"/>
      <c r="AA13" s="325"/>
      <c r="AB13" s="325"/>
      <c r="AC13" s="325"/>
      <c r="AD13" s="325"/>
      <c r="AE13" s="325"/>
      <c r="AF13" s="325"/>
      <c r="AG13" s="325"/>
      <c r="AH13" s="325"/>
      <c r="AI13" s="325"/>
      <c r="AJ13" s="325"/>
      <c r="AK13" s="325"/>
      <c r="AL13" s="325"/>
      <c r="AM13" s="325"/>
      <c r="AN13" s="325"/>
    </row>
    <row r="14" spans="1:40" ht="13">
      <c r="A14" s="330">
        <f>A13+1</f>
        <v>2</v>
      </c>
      <c r="C14" s="323" t="str">
        <f t="shared" ref="C14:C29" si="2">C46</f>
        <v>February</v>
      </c>
      <c r="D14" s="500">
        <v>2022</v>
      </c>
      <c r="E14" s="325">
        <f t="shared" ref="E14" si="3">E46+E77</f>
        <v>24614539.54717676</v>
      </c>
      <c r="F14" s="325">
        <f t="shared" ref="F14:P14" si="4">F46+F77</f>
        <v>5706772.1625863323</v>
      </c>
      <c r="G14" s="325">
        <f t="shared" si="4"/>
        <v>1418082.5538442822</v>
      </c>
      <c r="H14" s="325">
        <f t="shared" si="4"/>
        <v>1551532.2970567769</v>
      </c>
      <c r="I14" s="325">
        <f t="shared" si="4"/>
        <v>17842621.416152935</v>
      </c>
      <c r="J14" s="325">
        <f t="shared" si="4"/>
        <v>535278.64248458808</v>
      </c>
      <c r="K14" s="325">
        <f t="shared" si="4"/>
        <v>105874103.65896276</v>
      </c>
      <c r="L14" s="325">
        <f t="shared" si="4"/>
        <v>172394.13397137861</v>
      </c>
      <c r="M14" s="325">
        <f t="shared" si="4"/>
        <v>172394.13397137861</v>
      </c>
      <c r="N14" s="325">
        <f t="shared" si="1"/>
        <v>105701709.52499138</v>
      </c>
      <c r="O14" s="325">
        <f t="shared" si="4"/>
        <v>1576255.054430872</v>
      </c>
      <c r="P14" s="325">
        <f t="shared" si="4"/>
        <v>1602420.8883344245</v>
      </c>
      <c r="T14" s="325"/>
      <c r="U14" s="325"/>
      <c r="V14" s="359"/>
      <c r="W14" s="325"/>
      <c r="X14" s="360"/>
      <c r="Y14" s="260"/>
      <c r="Z14" s="325"/>
      <c r="AA14" s="325"/>
      <c r="AB14" s="325"/>
      <c r="AC14" s="325"/>
      <c r="AD14" s="325"/>
      <c r="AE14" s="325"/>
      <c r="AF14" s="325"/>
      <c r="AG14" s="325"/>
      <c r="AH14" s="325"/>
      <c r="AI14" s="325"/>
      <c r="AJ14" s="325"/>
      <c r="AK14" s="325"/>
      <c r="AL14" s="325"/>
      <c r="AM14" s="325"/>
      <c r="AN14" s="325"/>
    </row>
    <row r="15" spans="1:40" ht="13">
      <c r="A15" s="330">
        <f t="shared" ref="A15:A37" si="5">A14+1</f>
        <v>3</v>
      </c>
      <c r="C15" s="323" t="str">
        <f t="shared" si="2"/>
        <v>March</v>
      </c>
      <c r="D15" s="500">
        <v>2022</v>
      </c>
      <c r="E15" s="325">
        <f t="shared" ref="E15" si="6">E47+E78</f>
        <v>18675772.149376754</v>
      </c>
      <c r="F15" s="325">
        <f t="shared" ref="F15:P15" si="7">F47+F78</f>
        <v>2156244.7325863405</v>
      </c>
      <c r="G15" s="325">
        <f t="shared" si="7"/>
        <v>1238964.556259281</v>
      </c>
      <c r="H15" s="325">
        <f t="shared" si="7"/>
        <v>1356569.0930567756</v>
      </c>
      <c r="I15" s="325">
        <f t="shared" si="7"/>
        <v>15600544.57015292</v>
      </c>
      <c r="J15" s="325">
        <f t="shared" si="7"/>
        <v>468016.33710458758</v>
      </c>
      <c r="K15" s="325">
        <f t="shared" si="7"/>
        <v>124900287.6086466</v>
      </c>
      <c r="L15" s="325">
        <f t="shared" si="7"/>
        <v>225730.71533987363</v>
      </c>
      <c r="M15" s="325">
        <f t="shared" si="7"/>
        <v>398124.84931125224</v>
      </c>
      <c r="N15" s="325">
        <f t="shared" si="1"/>
        <v>124502162.75933534</v>
      </c>
      <c r="O15" s="325">
        <f t="shared" si="7"/>
        <v>2364382.5816463078</v>
      </c>
      <c r="P15" s="325">
        <f t="shared" si="7"/>
        <v>2403631.3325016368</v>
      </c>
      <c r="T15" s="325"/>
      <c r="U15" s="325"/>
      <c r="V15" s="359"/>
      <c r="W15" s="325"/>
      <c r="X15" s="360"/>
      <c r="Y15" s="260"/>
      <c r="Z15" s="325"/>
      <c r="AA15" s="325"/>
      <c r="AB15" s="325"/>
      <c r="AC15" s="325"/>
      <c r="AD15" s="325"/>
      <c r="AE15" s="325"/>
      <c r="AF15" s="325"/>
      <c r="AG15" s="325"/>
      <c r="AH15" s="325"/>
      <c r="AI15" s="325"/>
      <c r="AJ15" s="325"/>
      <c r="AK15" s="325"/>
      <c r="AL15" s="325"/>
      <c r="AM15" s="325"/>
      <c r="AN15" s="325"/>
    </row>
    <row r="16" spans="1:40" ht="13">
      <c r="A16" s="330">
        <f t="shared" si="5"/>
        <v>4</v>
      </c>
      <c r="C16" s="323" t="str">
        <f t="shared" si="2"/>
        <v>April</v>
      </c>
      <c r="D16" s="500">
        <v>2022</v>
      </c>
      <c r="E16" s="325">
        <f t="shared" ref="E16" si="8">E48+E79</f>
        <v>40676468.031776756</v>
      </c>
      <c r="F16" s="325">
        <f t="shared" ref="F16:P16" si="9">F48+F79</f>
        <v>23388024.210186336</v>
      </c>
      <c r="G16" s="325">
        <f t="shared" si="9"/>
        <v>1296633.2866192814</v>
      </c>
      <c r="H16" s="325">
        <f t="shared" si="9"/>
        <v>1437774.042656776</v>
      </c>
      <c r="I16" s="325">
        <f t="shared" si="9"/>
        <v>16534401.490552925</v>
      </c>
      <c r="J16" s="325">
        <f t="shared" si="9"/>
        <v>496032.0447165877</v>
      </c>
      <c r="K16" s="325">
        <f t="shared" si="9"/>
        <v>165931646.92910242</v>
      </c>
      <c r="L16" s="325">
        <f t="shared" si="9"/>
        <v>266295.82016460371</v>
      </c>
      <c r="M16" s="325">
        <f t="shared" si="9"/>
        <v>664420.66947585589</v>
      </c>
      <c r="N16" s="325">
        <f t="shared" si="1"/>
        <v>165267226.2596266</v>
      </c>
      <c r="O16" s="325">
        <f t="shared" si="9"/>
        <v>4205672.6964617427</v>
      </c>
      <c r="P16" s="325">
        <f t="shared" si="9"/>
        <v>4275486.8632230079</v>
      </c>
      <c r="T16" s="325"/>
      <c r="U16" s="325"/>
      <c r="V16" s="359"/>
      <c r="W16" s="325"/>
      <c r="X16" s="360"/>
      <c r="Y16" s="260"/>
      <c r="Z16" s="325"/>
      <c r="AA16" s="325"/>
      <c r="AB16" s="325"/>
      <c r="AC16" s="325"/>
      <c r="AD16" s="325"/>
      <c r="AE16" s="325"/>
      <c r="AF16" s="325"/>
      <c r="AG16" s="325"/>
      <c r="AH16" s="325"/>
      <c r="AI16" s="325"/>
      <c r="AJ16" s="325"/>
      <c r="AK16" s="325"/>
      <c r="AL16" s="325"/>
      <c r="AM16" s="325"/>
      <c r="AN16" s="325"/>
    </row>
    <row r="17" spans="1:40" ht="13">
      <c r="A17" s="330">
        <f t="shared" si="5"/>
        <v>5</v>
      </c>
      <c r="C17" s="323" t="str">
        <f t="shared" si="2"/>
        <v>May</v>
      </c>
      <c r="D17" s="500">
        <v>2022</v>
      </c>
      <c r="E17" s="325">
        <f t="shared" ref="E17" si="10">E49+E80</f>
        <v>21690938.030076765</v>
      </c>
      <c r="F17" s="325">
        <f t="shared" ref="F17:P17" si="11">F49+F80</f>
        <v>5247405.9884863384</v>
      </c>
      <c r="G17" s="325">
        <f t="shared" si="11"/>
        <v>1233264.9031192819</v>
      </c>
      <c r="H17" s="325">
        <f t="shared" si="11"/>
        <v>1378442.0595767766</v>
      </c>
      <c r="I17" s="325">
        <f t="shared" si="11"/>
        <v>15852083.685132932</v>
      </c>
      <c r="J17" s="325">
        <f t="shared" si="11"/>
        <v>475562.51055398793</v>
      </c>
      <c r="K17" s="325">
        <f t="shared" si="11"/>
        <v>187952970.31327569</v>
      </c>
      <c r="L17" s="325">
        <f t="shared" si="11"/>
        <v>353777.44003841514</v>
      </c>
      <c r="M17" s="325">
        <f t="shared" si="11"/>
        <v>1018198.109514271</v>
      </c>
      <c r="N17" s="325">
        <f t="shared" si="1"/>
        <v>186934772.2037614</v>
      </c>
      <c r="O17" s="325">
        <f t="shared" si="11"/>
        <v>5257245.7836771794</v>
      </c>
      <c r="P17" s="325">
        <f t="shared" si="11"/>
        <v>5344516.0636862209</v>
      </c>
      <c r="T17" s="325"/>
      <c r="U17" s="325"/>
      <c r="V17" s="359"/>
      <c r="W17" s="325"/>
      <c r="X17" s="360"/>
      <c r="Y17" s="260"/>
      <c r="Z17" s="325"/>
      <c r="AA17" s="325"/>
      <c r="AB17" s="325"/>
      <c r="AC17" s="325"/>
      <c r="AD17" s="325"/>
      <c r="AE17" s="325"/>
      <c r="AF17" s="325"/>
      <c r="AG17" s="325"/>
      <c r="AH17" s="325"/>
      <c r="AI17" s="325"/>
      <c r="AJ17" s="325"/>
      <c r="AK17" s="325"/>
      <c r="AL17" s="325"/>
      <c r="AM17" s="325"/>
      <c r="AN17" s="325"/>
    </row>
    <row r="18" spans="1:40" ht="13">
      <c r="A18" s="330">
        <f t="shared" si="5"/>
        <v>6</v>
      </c>
      <c r="C18" s="323" t="str">
        <f t="shared" si="2"/>
        <v xml:space="preserve">June </v>
      </c>
      <c r="D18" s="500">
        <v>2022</v>
      </c>
      <c r="E18" s="325">
        <f t="shared" ref="E18" si="12">E50+E81</f>
        <v>128891832.61917672</v>
      </c>
      <c r="F18" s="325">
        <f t="shared" ref="F18:P18" si="13">F50+F81</f>
        <v>99541673.897586331</v>
      </c>
      <c r="G18" s="325">
        <f t="shared" si="13"/>
        <v>2201261.9041192802</v>
      </c>
      <c r="H18" s="325">
        <f t="shared" si="13"/>
        <v>1803583.8920567734</v>
      </c>
      <c r="I18" s="325">
        <f t="shared" si="13"/>
        <v>20741214.758652892</v>
      </c>
      <c r="J18" s="325">
        <f t="shared" si="13"/>
        <v>622236.44275958673</v>
      </c>
      <c r="K18" s="325">
        <f t="shared" si="13"/>
        <v>317864717.38727444</v>
      </c>
      <c r="L18" s="325">
        <f t="shared" si="13"/>
        <v>400728.3837389836</v>
      </c>
      <c r="M18" s="325">
        <f t="shared" si="13"/>
        <v>1418926.4932532548</v>
      </c>
      <c r="N18" s="325">
        <f t="shared" si="1"/>
        <v>316445790.89402121</v>
      </c>
      <c r="O18" s="325">
        <f t="shared" si="13"/>
        <v>8671434.3058926128</v>
      </c>
      <c r="P18" s="325">
        <f t="shared" si="13"/>
        <v>8815380.1153704301</v>
      </c>
      <c r="T18" s="325"/>
      <c r="U18" s="325"/>
      <c r="V18" s="359"/>
      <c r="W18" s="325"/>
      <c r="X18" s="360"/>
      <c r="Y18" s="260"/>
      <c r="Z18" s="325"/>
      <c r="AA18" s="325"/>
      <c r="AB18" s="325"/>
      <c r="AC18" s="325"/>
      <c r="AD18" s="325"/>
      <c r="AE18" s="325"/>
      <c r="AF18" s="325"/>
      <c r="AG18" s="325"/>
      <c r="AH18" s="325"/>
      <c r="AI18" s="325"/>
      <c r="AJ18" s="325"/>
      <c r="AK18" s="325"/>
      <c r="AL18" s="325"/>
      <c r="AM18" s="325"/>
      <c r="AN18" s="325"/>
    </row>
    <row r="19" spans="1:40" ht="13">
      <c r="A19" s="330">
        <f t="shared" si="5"/>
        <v>7</v>
      </c>
      <c r="C19" s="323" t="str">
        <f t="shared" si="2"/>
        <v>July</v>
      </c>
      <c r="D19" s="500">
        <v>2022</v>
      </c>
      <c r="E19" s="325">
        <f t="shared" ref="E19" si="14">E51+E82</f>
        <v>18842484.7341768</v>
      </c>
      <c r="F19" s="325">
        <f t="shared" ref="F19:P19" si="15">F51+F82</f>
        <v>1441522.5125863403</v>
      </c>
      <c r="G19" s="325">
        <f t="shared" si="15"/>
        <v>1305072.1666192845</v>
      </c>
      <c r="H19" s="325">
        <f t="shared" si="15"/>
        <v>1335832.3430567796</v>
      </c>
      <c r="I19" s="325">
        <f t="shared" si="15"/>
        <v>15362071.945152964</v>
      </c>
      <c r="J19" s="325">
        <f t="shared" si="15"/>
        <v>460862.1583545889</v>
      </c>
      <c r="K19" s="325">
        <f t="shared" si="15"/>
        <v>337137304.10336834</v>
      </c>
      <c r="L19" s="325">
        <f t="shared" si="15"/>
        <v>677708.97280283237</v>
      </c>
      <c r="M19" s="325">
        <f t="shared" si="15"/>
        <v>2096635.4660560871</v>
      </c>
      <c r="N19" s="325">
        <f t="shared" si="1"/>
        <v>335040668.63731229</v>
      </c>
      <c r="O19" s="325">
        <f t="shared" si="15"/>
        <v>9858346.2331080493</v>
      </c>
      <c r="P19" s="325">
        <f t="shared" si="15"/>
        <v>10021994.780577645</v>
      </c>
      <c r="T19" s="325"/>
      <c r="U19" s="325"/>
      <c r="V19" s="359"/>
      <c r="W19" s="325"/>
      <c r="X19" s="360"/>
      <c r="Y19" s="260"/>
      <c r="Z19" s="325"/>
      <c r="AA19" s="325"/>
      <c r="AB19" s="325"/>
      <c r="AC19" s="325"/>
      <c r="AD19" s="325"/>
      <c r="AE19" s="325"/>
      <c r="AF19" s="325"/>
      <c r="AG19" s="325"/>
      <c r="AH19" s="325"/>
      <c r="AI19" s="325"/>
      <c r="AJ19" s="325"/>
      <c r="AK19" s="325"/>
      <c r="AL19" s="325"/>
      <c r="AM19" s="325"/>
      <c r="AN19" s="325"/>
    </row>
    <row r="20" spans="1:40" ht="13">
      <c r="A20" s="330">
        <f t="shared" si="5"/>
        <v>8</v>
      </c>
      <c r="C20" s="323" t="str">
        <f t="shared" si="2"/>
        <v>August</v>
      </c>
      <c r="D20" s="500">
        <v>2022</v>
      </c>
      <c r="E20" s="325">
        <f t="shared" ref="E20" si="16">E52+E83</f>
        <v>23319149.11417675</v>
      </c>
      <c r="F20" s="325">
        <f t="shared" ref="F20:P20" si="17">F52+F83</f>
        <v>4120154.8925863407</v>
      </c>
      <c r="G20" s="325">
        <f t="shared" si="17"/>
        <v>1439924.5666192807</v>
      </c>
      <c r="H20" s="325">
        <f t="shared" si="17"/>
        <v>1535080.9270567754</v>
      </c>
      <c r="I20" s="325">
        <f t="shared" si="17"/>
        <v>17653430.661152918</v>
      </c>
      <c r="J20" s="325">
        <f t="shared" si="17"/>
        <v>529602.91983458749</v>
      </c>
      <c r="K20" s="325">
        <f t="shared" si="17"/>
        <v>360890899.77694219</v>
      </c>
      <c r="L20" s="325">
        <f t="shared" si="17"/>
        <v>718799.4249108095</v>
      </c>
      <c r="M20" s="325">
        <f t="shared" si="17"/>
        <v>2815434.8909668964</v>
      </c>
      <c r="N20" s="325">
        <f t="shared" si="1"/>
        <v>358075464.8859753</v>
      </c>
      <c r="O20" s="325">
        <f t="shared" si="17"/>
        <v>16176492.070323488</v>
      </c>
      <c r="P20" s="325">
        <f t="shared" si="17"/>
        <v>16445021.838690858</v>
      </c>
      <c r="T20" s="325"/>
      <c r="U20" s="325"/>
      <c r="V20" s="359"/>
      <c r="W20" s="325"/>
      <c r="X20" s="360"/>
      <c r="Y20" s="260"/>
      <c r="Z20" s="325"/>
      <c r="AA20" s="325"/>
      <c r="AB20" s="325"/>
      <c r="AC20" s="325"/>
      <c r="AD20" s="325"/>
      <c r="AE20" s="325"/>
      <c r="AF20" s="325"/>
      <c r="AG20" s="325"/>
      <c r="AH20" s="325"/>
      <c r="AI20" s="325"/>
      <c r="AJ20" s="325"/>
      <c r="AK20" s="325"/>
      <c r="AL20" s="325"/>
      <c r="AM20" s="325"/>
      <c r="AN20" s="325"/>
    </row>
    <row r="21" spans="1:40" ht="13">
      <c r="A21" s="330">
        <f t="shared" si="5"/>
        <v>9</v>
      </c>
      <c r="C21" s="323" t="str">
        <f t="shared" si="2"/>
        <v>September</v>
      </c>
      <c r="D21" s="500">
        <v>2022</v>
      </c>
      <c r="E21" s="325">
        <f t="shared" ref="E21" si="18">E53+E84</f>
        <v>22620385.074176736</v>
      </c>
      <c r="F21" s="325">
        <f t="shared" ref="F21:P21" si="19">F53+F84</f>
        <v>4066251.8525863406</v>
      </c>
      <c r="G21" s="325">
        <f t="shared" si="19"/>
        <v>1391559.9916192796</v>
      </c>
      <c r="H21" s="325">
        <f t="shared" si="19"/>
        <v>1481023.4770567738</v>
      </c>
      <c r="I21" s="325">
        <f t="shared" si="19"/>
        <v>17031769.986152899</v>
      </c>
      <c r="J21" s="325">
        <f t="shared" si="19"/>
        <v>510953.09958458692</v>
      </c>
      <c r="K21" s="325">
        <f t="shared" si="19"/>
        <v>383932774.46526599</v>
      </c>
      <c r="L21" s="325">
        <f t="shared" si="19"/>
        <v>769443.68973085971</v>
      </c>
      <c r="M21" s="325">
        <f t="shared" si="19"/>
        <v>3584878.5806977563</v>
      </c>
      <c r="N21" s="325">
        <f t="shared" si="1"/>
        <v>380347895.88456827</v>
      </c>
      <c r="O21" s="325">
        <f t="shared" si="19"/>
        <v>17371190.697538923</v>
      </c>
      <c r="P21" s="325">
        <f t="shared" si="19"/>
        <v>17659552.463118069</v>
      </c>
      <c r="T21" s="325"/>
      <c r="U21" s="325"/>
      <c r="V21" s="359"/>
      <c r="W21" s="325"/>
      <c r="X21" s="360"/>
      <c r="Y21" s="260"/>
      <c r="Z21" s="325"/>
      <c r="AA21" s="325"/>
      <c r="AB21" s="325"/>
      <c r="AC21" s="325"/>
      <c r="AD21" s="325"/>
      <c r="AE21" s="325"/>
      <c r="AF21" s="325"/>
      <c r="AG21" s="325"/>
      <c r="AH21" s="325"/>
      <c r="AI21" s="325"/>
      <c r="AJ21" s="325"/>
      <c r="AK21" s="325"/>
      <c r="AL21" s="325"/>
      <c r="AM21" s="325"/>
      <c r="AN21" s="325"/>
    </row>
    <row r="22" spans="1:40" ht="13">
      <c r="A22" s="330">
        <f t="shared" si="5"/>
        <v>10</v>
      </c>
      <c r="C22" s="323" t="str">
        <f t="shared" si="2"/>
        <v xml:space="preserve">October </v>
      </c>
      <c r="D22" s="500">
        <v>2022</v>
      </c>
      <c r="E22" s="325">
        <f t="shared" ref="E22" si="20">E54+E85</f>
        <v>19456411.12417677</v>
      </c>
      <c r="F22" s="325">
        <f t="shared" ref="F22:P22" si="21">F54+F85</f>
        <v>2311492.9025863409</v>
      </c>
      <c r="G22" s="325">
        <f t="shared" si="21"/>
        <v>1285868.8666192822</v>
      </c>
      <c r="H22" s="325">
        <f t="shared" si="21"/>
        <v>1406522.9670567769</v>
      </c>
      <c r="I22" s="325">
        <f t="shared" si="21"/>
        <v>16175014.121152934</v>
      </c>
      <c r="J22" s="325">
        <f t="shared" si="21"/>
        <v>485250.42363458802</v>
      </c>
      <c r="K22" s="325">
        <f t="shared" si="21"/>
        <v>403753781.91263986</v>
      </c>
      <c r="L22" s="325">
        <f t="shared" si="21"/>
        <v>818570.51750473294</v>
      </c>
      <c r="M22" s="325">
        <f t="shared" si="21"/>
        <v>4403449.0982024893</v>
      </c>
      <c r="N22" s="325">
        <f t="shared" si="1"/>
        <v>399350332.81443739</v>
      </c>
      <c r="O22" s="325">
        <f t="shared" si="21"/>
        <v>19440491.504754361</v>
      </c>
      <c r="P22" s="325">
        <f t="shared" si="21"/>
        <v>19763203.663733281</v>
      </c>
      <c r="T22" s="325"/>
      <c r="U22" s="325"/>
      <c r="V22" s="359"/>
      <c r="W22" s="325"/>
      <c r="X22" s="360"/>
      <c r="Y22" s="260"/>
      <c r="Z22" s="325"/>
      <c r="AA22" s="325"/>
      <c r="AB22" s="325"/>
      <c r="AC22" s="325"/>
      <c r="AD22" s="325"/>
      <c r="AE22" s="325"/>
      <c r="AF22" s="325"/>
      <c r="AG22" s="325"/>
      <c r="AH22" s="325"/>
      <c r="AI22" s="325"/>
      <c r="AJ22" s="325"/>
      <c r="AK22" s="325"/>
      <c r="AL22" s="325"/>
      <c r="AM22" s="325"/>
      <c r="AN22" s="325"/>
    </row>
    <row r="23" spans="1:40" ht="13">
      <c r="A23" s="330">
        <f t="shared" si="5"/>
        <v>11</v>
      </c>
      <c r="C23" s="323" t="str">
        <f t="shared" si="2"/>
        <v>November</v>
      </c>
      <c r="D23" s="500">
        <v>2022</v>
      </c>
      <c r="E23" s="325">
        <f t="shared" ref="E23" si="22">E55+E86</f>
        <v>29828349.089976788</v>
      </c>
      <c r="F23" s="325">
        <f t="shared" ref="F23:P23" si="23">F55+F86</f>
        <v>5633314.7183863511</v>
      </c>
      <c r="G23" s="325">
        <f t="shared" si="23"/>
        <v>1814627.5778692826</v>
      </c>
      <c r="H23" s="325">
        <f t="shared" si="23"/>
        <v>1996234.9559567773</v>
      </c>
      <c r="I23" s="325">
        <f t="shared" si="23"/>
        <v>22956701.993502941</v>
      </c>
      <c r="J23" s="325">
        <f t="shared" si="23"/>
        <v>688701.05980508821</v>
      </c>
      <c r="K23" s="325">
        <f t="shared" si="23"/>
        <v>434089224.68433422</v>
      </c>
      <c r="L23" s="325">
        <f t="shared" si="23"/>
        <v>860830.23952575517</v>
      </c>
      <c r="M23" s="325">
        <f t="shared" si="23"/>
        <v>5264279.3377282443</v>
      </c>
      <c r="N23" s="325">
        <f t="shared" si="1"/>
        <v>428824945.34660596</v>
      </c>
      <c r="O23" s="325">
        <f t="shared" si="23"/>
        <v>20368618.277769797</v>
      </c>
      <c r="P23" s="325">
        <f t="shared" si="23"/>
        <v>20706737.341180779</v>
      </c>
      <c r="T23" s="325"/>
      <c r="U23" s="325"/>
      <c r="V23" s="359"/>
      <c r="W23" s="325"/>
      <c r="X23" s="360"/>
      <c r="Y23" s="260"/>
      <c r="Z23" s="325"/>
      <c r="AA23" s="325"/>
      <c r="AB23" s="325"/>
      <c r="AC23" s="325"/>
      <c r="AD23" s="325"/>
      <c r="AE23" s="325"/>
      <c r="AF23" s="325"/>
      <c r="AG23" s="325"/>
      <c r="AH23" s="325"/>
      <c r="AI23" s="325"/>
      <c r="AJ23" s="325"/>
      <c r="AK23" s="325"/>
      <c r="AL23" s="325"/>
      <c r="AM23" s="325"/>
      <c r="AN23" s="325"/>
    </row>
    <row r="24" spans="1:40" ht="13">
      <c r="A24" s="330">
        <f t="shared" si="5"/>
        <v>12</v>
      </c>
      <c r="C24" s="323" t="str">
        <f t="shared" si="2"/>
        <v>December</v>
      </c>
      <c r="D24" s="500">
        <v>2022</v>
      </c>
      <c r="E24" s="325">
        <f t="shared" ref="E24" si="24">E56+E87</f>
        <v>311393444.99368691</v>
      </c>
      <c r="F24" s="325">
        <f t="shared" ref="F24:P24" si="25">F56+F87</f>
        <v>196556790.25769651</v>
      </c>
      <c r="G24" s="325">
        <f t="shared" si="25"/>
        <v>8612749.1051992793</v>
      </c>
      <c r="H24" s="325">
        <f t="shared" si="25"/>
        <v>2249512.4560167724</v>
      </c>
      <c r="I24" s="325">
        <f t="shared" si="25"/>
        <v>25869393.244192883</v>
      </c>
      <c r="J24" s="325">
        <f t="shared" si="25"/>
        <v>776081.79732578644</v>
      </c>
      <c r="K24" s="325">
        <f t="shared" si="25"/>
        <v>752621988.12452948</v>
      </c>
      <c r="L24" s="325">
        <f t="shared" si="25"/>
        <v>925507.4453802075</v>
      </c>
      <c r="M24" s="325">
        <f t="shared" si="25"/>
        <v>6189786.7831084514</v>
      </c>
      <c r="N24" s="325">
        <f t="shared" si="1"/>
        <v>746432201.34142101</v>
      </c>
      <c r="O24" s="325">
        <f t="shared" si="25"/>
        <v>21156745.804985233</v>
      </c>
      <c r="P24" s="325">
        <f t="shared" si="25"/>
        <v>21507947.785347987</v>
      </c>
      <c r="T24" s="325"/>
      <c r="U24" s="325"/>
      <c r="V24" s="359"/>
      <c r="W24" s="325"/>
      <c r="X24" s="360"/>
      <c r="Y24" s="260"/>
      <c r="Z24" s="325"/>
      <c r="AA24" s="325"/>
      <c r="AB24" s="325"/>
      <c r="AC24" s="325"/>
      <c r="AD24" s="325"/>
      <c r="AE24" s="325"/>
      <c r="AF24" s="325"/>
      <c r="AG24" s="325"/>
      <c r="AH24" s="325"/>
      <c r="AI24" s="325"/>
      <c r="AJ24" s="325"/>
      <c r="AK24" s="325"/>
      <c r="AL24" s="325"/>
      <c r="AM24" s="325"/>
      <c r="AN24" s="325"/>
    </row>
    <row r="25" spans="1:40" ht="13">
      <c r="A25" s="330">
        <f t="shared" si="5"/>
        <v>13</v>
      </c>
      <c r="C25" s="323" t="str">
        <f t="shared" si="2"/>
        <v>January</v>
      </c>
      <c r="D25" s="500">
        <v>2023</v>
      </c>
      <c r="E25" s="325">
        <f t="shared" ref="E25" si="26">E57+E88</f>
        <v>21494961.965763211</v>
      </c>
      <c r="F25" s="325">
        <f t="shared" ref="F25:P25" si="27">F57+F88</f>
        <v>673163.75999999989</v>
      </c>
      <c r="G25" s="325">
        <f t="shared" si="27"/>
        <v>1561634.8654322408</v>
      </c>
      <c r="H25" s="325">
        <f t="shared" si="27"/>
        <v>1750254.645695636</v>
      </c>
      <c r="I25" s="325">
        <f t="shared" si="27"/>
        <v>20127928.425499812</v>
      </c>
      <c r="J25" s="325">
        <f t="shared" si="27"/>
        <v>603837.85276499437</v>
      </c>
      <c r="K25" s="325">
        <f t="shared" si="27"/>
        <v>774532168.16279435</v>
      </c>
      <c r="L25" s="325">
        <f t="shared" si="27"/>
        <v>1604640.7373337508</v>
      </c>
      <c r="M25" s="325">
        <f t="shared" si="27"/>
        <v>7794427.5204422027</v>
      </c>
      <c r="N25" s="325">
        <f t="shared" si="1"/>
        <v>766737740.6423521</v>
      </c>
      <c r="O25" s="325">
        <f t="shared" si="27"/>
        <v>21917843.073249575</v>
      </c>
      <c r="P25" s="325">
        <f t="shared" si="27"/>
        <v>22281679.268265519</v>
      </c>
      <c r="T25" s="325"/>
      <c r="U25" s="325"/>
      <c r="V25" s="359"/>
      <c r="W25" s="325"/>
      <c r="X25" s="360"/>
      <c r="Y25" s="260"/>
      <c r="Z25" s="325"/>
      <c r="AA25" s="325"/>
      <c r="AB25" s="325"/>
      <c r="AC25" s="325"/>
      <c r="AD25" s="325"/>
      <c r="AE25" s="325"/>
      <c r="AF25" s="325"/>
      <c r="AG25" s="325"/>
      <c r="AH25" s="325"/>
      <c r="AI25" s="325"/>
      <c r="AJ25" s="325"/>
      <c r="AK25" s="325"/>
      <c r="AL25" s="325"/>
      <c r="AM25" s="325"/>
      <c r="AN25" s="325"/>
    </row>
    <row r="26" spans="1:40" ht="13">
      <c r="A26" s="330">
        <f t="shared" si="5"/>
        <v>14</v>
      </c>
      <c r="C26" s="323" t="str">
        <f t="shared" si="2"/>
        <v>February</v>
      </c>
      <c r="D26" s="500">
        <v>2023</v>
      </c>
      <c r="E26" s="325">
        <f t="shared" ref="E26" si="28">E58+E89</f>
        <v>19842258.19576323</v>
      </c>
      <c r="F26" s="325">
        <f t="shared" ref="F26:P26" si="29">F58+F89</f>
        <v>38924.990000000005</v>
      </c>
      <c r="G26" s="325">
        <f t="shared" si="29"/>
        <v>1485249.9904322424</v>
      </c>
      <c r="H26" s="325">
        <f t="shared" si="29"/>
        <v>1654066.6556956382</v>
      </c>
      <c r="I26" s="325">
        <f t="shared" si="29"/>
        <v>19021766.540499836</v>
      </c>
      <c r="J26" s="325">
        <f t="shared" si="29"/>
        <v>570652.99621499504</v>
      </c>
      <c r="K26" s="325">
        <f t="shared" si="29"/>
        <v>794776262.68950915</v>
      </c>
      <c r="L26" s="325">
        <f t="shared" si="29"/>
        <v>1651354.7159398331</v>
      </c>
      <c r="M26" s="325">
        <f t="shared" si="29"/>
        <v>9445782.2363820355</v>
      </c>
      <c r="N26" s="325">
        <f t="shared" si="1"/>
        <v>785330480.45312703</v>
      </c>
      <c r="O26" s="325">
        <f t="shared" si="29"/>
        <v>22678940.341513921</v>
      </c>
      <c r="P26" s="325">
        <f t="shared" si="29"/>
        <v>23055410.751183052</v>
      </c>
      <c r="T26" s="325"/>
      <c r="U26" s="325"/>
      <c r="V26" s="359"/>
      <c r="W26" s="325"/>
      <c r="X26" s="360"/>
      <c r="Y26" s="260"/>
      <c r="Z26" s="325"/>
      <c r="AA26" s="325"/>
      <c r="AB26" s="325"/>
      <c r="AC26" s="325"/>
      <c r="AD26" s="325"/>
      <c r="AE26" s="325"/>
      <c r="AF26" s="325"/>
      <c r="AG26" s="325"/>
      <c r="AH26" s="325"/>
      <c r="AI26" s="325"/>
      <c r="AJ26" s="325"/>
      <c r="AK26" s="325"/>
      <c r="AL26" s="325"/>
      <c r="AM26" s="325"/>
      <c r="AN26" s="325"/>
    </row>
    <row r="27" spans="1:40" ht="13">
      <c r="A27" s="330">
        <f t="shared" si="5"/>
        <v>15</v>
      </c>
      <c r="C27" s="323" t="str">
        <f t="shared" si="2"/>
        <v>March</v>
      </c>
      <c r="D27" s="500">
        <v>2023</v>
      </c>
      <c r="E27" s="325">
        <f t="shared" ref="E27" si="30">E59+E90</f>
        <v>69244242.255763263</v>
      </c>
      <c r="F27" s="325">
        <f t="shared" ref="F27:P27" si="31">F59+F90</f>
        <v>6190869.0500000007</v>
      </c>
      <c r="G27" s="325">
        <f t="shared" si="31"/>
        <v>4729002.9904322447</v>
      </c>
      <c r="H27" s="325">
        <f t="shared" si="31"/>
        <v>1548544.6556956405</v>
      </c>
      <c r="I27" s="325">
        <f t="shared" si="31"/>
        <v>17808263.540499866</v>
      </c>
      <c r="J27" s="325">
        <f t="shared" si="31"/>
        <v>534247.90621499601</v>
      </c>
      <c r="K27" s="325">
        <f t="shared" si="31"/>
        <v>867735211.18622398</v>
      </c>
      <c r="L27" s="325">
        <f t="shared" si="31"/>
        <v>1694516.4880918139</v>
      </c>
      <c r="M27" s="325">
        <f t="shared" si="31"/>
        <v>11140298.724473849</v>
      </c>
      <c r="N27" s="325">
        <f t="shared" si="1"/>
        <v>856594912.46175003</v>
      </c>
      <c r="O27" s="325">
        <f t="shared" si="31"/>
        <v>23440037.609778266</v>
      </c>
      <c r="P27" s="325">
        <f t="shared" si="31"/>
        <v>23829142.234100588</v>
      </c>
      <c r="T27" s="325"/>
      <c r="U27" s="325"/>
      <c r="V27" s="359"/>
      <c r="W27" s="325"/>
      <c r="X27" s="360"/>
      <c r="Y27" s="260"/>
      <c r="Z27" s="325"/>
      <c r="AA27" s="325"/>
      <c r="AB27" s="325"/>
      <c r="AC27" s="325"/>
      <c r="AD27" s="325"/>
      <c r="AE27" s="325"/>
      <c r="AF27" s="325"/>
      <c r="AG27" s="325"/>
      <c r="AH27" s="325"/>
      <c r="AI27" s="325"/>
      <c r="AJ27" s="325"/>
      <c r="AK27" s="325"/>
      <c r="AL27" s="325"/>
      <c r="AM27" s="325"/>
      <c r="AN27" s="325"/>
    </row>
    <row r="28" spans="1:40" ht="13">
      <c r="A28" s="330">
        <f t="shared" si="5"/>
        <v>16</v>
      </c>
      <c r="C28" s="323" t="str">
        <f t="shared" si="2"/>
        <v>April</v>
      </c>
      <c r="D28" s="500">
        <v>2023</v>
      </c>
      <c r="E28" s="325">
        <f t="shared" ref="E28" si="32">E60+E91</f>
        <v>24363474.145763159</v>
      </c>
      <c r="F28" s="325">
        <f t="shared" ref="F28:P28" si="33">F60+F91</f>
        <v>173570.94</v>
      </c>
      <c r="G28" s="325">
        <f t="shared" si="33"/>
        <v>1814242.7404322368</v>
      </c>
      <c r="H28" s="325">
        <f t="shared" si="33"/>
        <v>1587502.6556956316</v>
      </c>
      <c r="I28" s="325">
        <f t="shared" si="33"/>
        <v>18256280.540499762</v>
      </c>
      <c r="J28" s="325">
        <f t="shared" si="33"/>
        <v>547688.41621499287</v>
      </c>
      <c r="K28" s="325">
        <f t="shared" si="33"/>
        <v>892873113.83293867</v>
      </c>
      <c r="L28" s="325">
        <f t="shared" si="33"/>
        <v>1850069.8771212781</v>
      </c>
      <c r="M28" s="325">
        <f t="shared" si="33"/>
        <v>12990368.601595126</v>
      </c>
      <c r="N28" s="325">
        <f t="shared" si="1"/>
        <v>879882745.23134363</v>
      </c>
      <c r="O28" s="325">
        <f t="shared" si="33"/>
        <v>24201134.878042608</v>
      </c>
      <c r="P28" s="325">
        <f t="shared" si="33"/>
        <v>24602873.717018116</v>
      </c>
      <c r="T28" s="325"/>
      <c r="U28" s="325"/>
      <c r="V28" s="359"/>
      <c r="W28" s="325"/>
      <c r="X28" s="360"/>
      <c r="Y28" s="260"/>
      <c r="Z28" s="325"/>
      <c r="AA28" s="325"/>
      <c r="AB28" s="325"/>
      <c r="AC28" s="325"/>
      <c r="AD28" s="325"/>
      <c r="AE28" s="325"/>
      <c r="AF28" s="325"/>
      <c r="AG28" s="325"/>
      <c r="AH28" s="325"/>
      <c r="AI28" s="325"/>
      <c r="AJ28" s="325"/>
      <c r="AK28" s="325"/>
      <c r="AL28" s="325"/>
      <c r="AM28" s="325"/>
      <c r="AN28" s="325"/>
    </row>
    <row r="29" spans="1:40" ht="13">
      <c r="A29" s="330">
        <f t="shared" si="5"/>
        <v>17</v>
      </c>
      <c r="C29" s="323" t="str">
        <f t="shared" si="2"/>
        <v>May</v>
      </c>
      <c r="D29" s="500">
        <v>2023</v>
      </c>
      <c r="E29" s="325">
        <f t="shared" ref="E29" si="34">E61+E92</f>
        <v>38021708.415763259</v>
      </c>
      <c r="F29" s="325">
        <f t="shared" ref="F29:P29" si="35">F61+F92</f>
        <v>-126866.78999999988</v>
      </c>
      <c r="G29" s="325">
        <f t="shared" si="35"/>
        <v>2861143.1404322442</v>
      </c>
      <c r="H29" s="325">
        <f t="shared" si="35"/>
        <v>2780896.4476956404</v>
      </c>
      <c r="I29" s="325">
        <f t="shared" si="35"/>
        <v>31980309.148499865</v>
      </c>
      <c r="J29" s="325">
        <f t="shared" si="35"/>
        <v>959409.27445499587</v>
      </c>
      <c r="K29" s="325">
        <f t="shared" si="35"/>
        <v>931934478.21589351</v>
      </c>
      <c r="L29" s="325">
        <f t="shared" si="35"/>
        <v>1903665.577585153</v>
      </c>
      <c r="M29" s="325">
        <f t="shared" si="35"/>
        <v>14894034.179180281</v>
      </c>
      <c r="N29" s="325">
        <f t="shared" si="1"/>
        <v>917040444.03671336</v>
      </c>
      <c r="O29" s="325">
        <f t="shared" si="35"/>
        <v>25281028.496306952</v>
      </c>
      <c r="P29" s="325">
        <f t="shared" si="35"/>
        <v>25700693.569345646</v>
      </c>
      <c r="T29" s="325"/>
      <c r="U29" s="325"/>
      <c r="V29" s="359"/>
      <c r="W29" s="325"/>
      <c r="X29" s="360"/>
      <c r="Y29" s="260"/>
      <c r="Z29" s="325"/>
      <c r="AA29" s="325"/>
      <c r="AB29" s="325"/>
      <c r="AC29" s="325"/>
      <c r="AD29" s="325"/>
      <c r="AE29" s="325"/>
      <c r="AF29" s="325"/>
      <c r="AG29" s="325"/>
      <c r="AH29" s="325"/>
      <c r="AI29" s="325"/>
      <c r="AJ29" s="325"/>
      <c r="AK29" s="325"/>
      <c r="AL29" s="325"/>
      <c r="AM29" s="325"/>
      <c r="AN29" s="325"/>
    </row>
    <row r="30" spans="1:40" ht="13">
      <c r="A30" s="330">
        <f t="shared" si="5"/>
        <v>18</v>
      </c>
      <c r="C30" s="323" t="str">
        <f t="shared" ref="C30:C33" si="36">C62</f>
        <v xml:space="preserve">June </v>
      </c>
      <c r="D30" s="500">
        <v>2023</v>
      </c>
      <c r="E30" s="325">
        <f t="shared" ref="E30" si="37">E62+E93</f>
        <v>171100661.79576308</v>
      </c>
      <c r="F30" s="325">
        <f t="shared" ref="F30:P30" si="38">F62+F93</f>
        <v>106489826.58999985</v>
      </c>
      <c r="G30" s="325">
        <f t="shared" si="38"/>
        <v>4845812.6404322404</v>
      </c>
      <c r="H30" s="325">
        <f t="shared" si="38"/>
        <v>3338112.8076956356</v>
      </c>
      <c r="I30" s="325">
        <f t="shared" si="38"/>
        <v>38388297.28849981</v>
      </c>
      <c r="J30" s="325">
        <f t="shared" si="38"/>
        <v>1151648.9186549943</v>
      </c>
      <c r="K30" s="325">
        <f t="shared" si="38"/>
        <v>1105694488.7630482</v>
      </c>
      <c r="L30" s="325">
        <f t="shared" si="38"/>
        <v>1986947.0356527269</v>
      </c>
      <c r="M30" s="325">
        <f t="shared" si="38"/>
        <v>16880981.214833006</v>
      </c>
      <c r="N30" s="325">
        <f t="shared" si="1"/>
        <v>1088813507.5482152</v>
      </c>
      <c r="O30" s="325">
        <f t="shared" si="38"/>
        <v>26042125.764571298</v>
      </c>
      <c r="P30" s="325">
        <f t="shared" si="38"/>
        <v>26474425.052263182</v>
      </c>
      <c r="T30" s="325"/>
      <c r="U30" s="325"/>
      <c r="V30" s="359"/>
      <c r="W30" s="325"/>
      <c r="X30" s="360"/>
      <c r="Y30" s="260"/>
      <c r="Z30" s="325"/>
      <c r="AA30" s="325"/>
      <c r="AB30" s="325"/>
      <c r="AC30" s="325"/>
      <c r="AD30" s="325"/>
      <c r="AE30" s="325"/>
      <c r="AF30" s="325"/>
      <c r="AG30" s="325"/>
      <c r="AH30" s="325"/>
      <c r="AI30" s="325"/>
      <c r="AJ30" s="325"/>
      <c r="AK30" s="325"/>
      <c r="AL30" s="325"/>
      <c r="AM30" s="325"/>
      <c r="AN30" s="325"/>
    </row>
    <row r="31" spans="1:40" ht="13">
      <c r="A31" s="330">
        <f t="shared" si="5"/>
        <v>19</v>
      </c>
      <c r="C31" s="323" t="str">
        <f t="shared" si="36"/>
        <v>July</v>
      </c>
      <c r="D31" s="500">
        <v>2023</v>
      </c>
      <c r="E31" s="325">
        <f t="shared" ref="E31" si="39">E63+E94</f>
        <v>38613648.035763189</v>
      </c>
      <c r="F31" s="325">
        <f t="shared" ref="F31:P31" si="40">F63+F94</f>
        <v>13449744.830000034</v>
      </c>
      <c r="G31" s="325">
        <f t="shared" si="40"/>
        <v>1887292.7404322368</v>
      </c>
      <c r="H31" s="325">
        <f t="shared" si="40"/>
        <v>1544502.6556956319</v>
      </c>
      <c r="I31" s="325">
        <f t="shared" si="40"/>
        <v>17761780.540499765</v>
      </c>
      <c r="J31" s="325">
        <f t="shared" si="40"/>
        <v>532853.41621499299</v>
      </c>
      <c r="K31" s="325">
        <f t="shared" si="40"/>
        <v>1145183780.299763</v>
      </c>
      <c r="L31" s="325">
        <f t="shared" si="40"/>
        <v>2357415.073848513</v>
      </c>
      <c r="M31" s="325">
        <f t="shared" si="40"/>
        <v>19238396.288681522</v>
      </c>
      <c r="N31" s="325">
        <f t="shared" si="1"/>
        <v>1125945384.0110815</v>
      </c>
      <c r="O31" s="325">
        <f t="shared" si="40"/>
        <v>26803223.03283564</v>
      </c>
      <c r="P31" s="325">
        <f t="shared" si="40"/>
        <v>27248156.53518071</v>
      </c>
      <c r="T31" s="325"/>
      <c r="U31" s="325"/>
      <c r="V31" s="359"/>
      <c r="W31" s="325"/>
      <c r="X31" s="360"/>
      <c r="Y31" s="260"/>
      <c r="Z31" s="325"/>
      <c r="AA31" s="325"/>
      <c r="AB31" s="325"/>
      <c r="AC31" s="325"/>
      <c r="AD31" s="325"/>
      <c r="AE31" s="325"/>
      <c r="AF31" s="325"/>
      <c r="AG31" s="325"/>
      <c r="AH31" s="325"/>
      <c r="AI31" s="325"/>
      <c r="AJ31" s="325"/>
      <c r="AK31" s="325"/>
      <c r="AL31" s="325"/>
      <c r="AM31" s="325"/>
      <c r="AN31" s="325"/>
    </row>
    <row r="32" spans="1:40" ht="13">
      <c r="A32" s="330">
        <f t="shared" si="5"/>
        <v>20</v>
      </c>
      <c r="C32" s="323" t="str">
        <f t="shared" si="36"/>
        <v>August</v>
      </c>
      <c r="D32" s="500">
        <v>2023</v>
      </c>
      <c r="E32" s="325">
        <f t="shared" ref="E32" si="41">E64+E95</f>
        <v>27145890.875763256</v>
      </c>
      <c r="F32" s="325">
        <f t="shared" ref="F32:P32" si="42">F64+F95</f>
        <v>1073480.6700000004</v>
      </c>
      <c r="G32" s="325">
        <f t="shared" si="42"/>
        <v>1955430.7654322442</v>
      </c>
      <c r="H32" s="325">
        <f t="shared" si="42"/>
        <v>1571528.4996956403</v>
      </c>
      <c r="I32" s="325">
        <f t="shared" si="42"/>
        <v>18072577.746499863</v>
      </c>
      <c r="J32" s="325">
        <f t="shared" si="42"/>
        <v>542177.33239499584</v>
      </c>
      <c r="K32" s="325">
        <f t="shared" si="42"/>
        <v>1173255750.7736578</v>
      </c>
      <c r="L32" s="325">
        <f t="shared" si="42"/>
        <v>2441608.9014114896</v>
      </c>
      <c r="M32" s="325">
        <f t="shared" si="42"/>
        <v>21680005.190093011</v>
      </c>
      <c r="N32" s="325">
        <f t="shared" si="1"/>
        <v>1151575745.5835648</v>
      </c>
      <c r="O32" s="325">
        <f t="shared" si="42"/>
        <v>27564320.301099986</v>
      </c>
      <c r="P32" s="325">
        <f t="shared" si="42"/>
        <v>28021888.018098246</v>
      </c>
      <c r="T32" s="325"/>
      <c r="U32" s="325"/>
      <c r="V32" s="359"/>
      <c r="W32" s="325"/>
      <c r="X32" s="360"/>
      <c r="Y32" s="260"/>
      <c r="Z32" s="325"/>
      <c r="AA32" s="325"/>
      <c r="AB32" s="325"/>
      <c r="AC32" s="325"/>
      <c r="AD32" s="325"/>
      <c r="AE32" s="325"/>
      <c r="AF32" s="325"/>
      <c r="AG32" s="325"/>
      <c r="AH32" s="325"/>
      <c r="AI32" s="325"/>
      <c r="AJ32" s="325"/>
      <c r="AK32" s="325"/>
      <c r="AL32" s="325"/>
      <c r="AM32" s="325"/>
      <c r="AN32" s="325"/>
    </row>
    <row r="33" spans="1:40" ht="13">
      <c r="A33" s="330">
        <f t="shared" si="5"/>
        <v>21</v>
      </c>
      <c r="C33" s="323" t="str">
        <f t="shared" si="36"/>
        <v>September</v>
      </c>
      <c r="D33" s="500">
        <v>2023</v>
      </c>
      <c r="E33" s="325">
        <f t="shared" ref="E33" si="43">E65+E96</f>
        <v>28569191.325763166</v>
      </c>
      <c r="F33" s="325">
        <f t="shared" ref="F33:P33" si="44">F65+F96</f>
        <v>432423.12000000023</v>
      </c>
      <c r="G33" s="325">
        <f t="shared" si="44"/>
        <v>2110257.6154322373</v>
      </c>
      <c r="H33" s="325">
        <f t="shared" si="44"/>
        <v>1867937.0456956322</v>
      </c>
      <c r="I33" s="325">
        <f t="shared" si="44"/>
        <v>21481276.025499769</v>
      </c>
      <c r="J33" s="325">
        <f t="shared" si="44"/>
        <v>644438.28076499305</v>
      </c>
      <c r="K33" s="325">
        <f t="shared" si="44"/>
        <v>1202711700.9499226</v>
      </c>
      <c r="L33" s="325">
        <f t="shared" si="44"/>
        <v>2501460.231973717</v>
      </c>
      <c r="M33" s="325">
        <f t="shared" si="44"/>
        <v>24181465.42206673</v>
      </c>
      <c r="N33" s="325">
        <f t="shared" si="1"/>
        <v>1178530235.5278559</v>
      </c>
      <c r="O33" s="325">
        <f t="shared" si="44"/>
        <v>28325417.569364332</v>
      </c>
      <c r="P33" s="325">
        <f t="shared" si="44"/>
        <v>28795619.501015779</v>
      </c>
      <c r="T33" s="325"/>
      <c r="U33" s="325"/>
      <c r="V33" s="359"/>
      <c r="W33" s="325"/>
      <c r="X33" s="360"/>
      <c r="Y33" s="260"/>
      <c r="Z33" s="325"/>
      <c r="AA33" s="325"/>
      <c r="AB33" s="325"/>
      <c r="AC33" s="325"/>
      <c r="AD33" s="325"/>
      <c r="AE33" s="325"/>
      <c r="AF33" s="325"/>
      <c r="AG33" s="325"/>
      <c r="AH33" s="325"/>
      <c r="AI33" s="325"/>
      <c r="AJ33" s="325"/>
      <c r="AK33" s="325"/>
      <c r="AL33" s="325"/>
      <c r="AM33" s="325"/>
      <c r="AN33" s="325"/>
    </row>
    <row r="34" spans="1:40" ht="13">
      <c r="A34" s="330">
        <f t="shared" si="5"/>
        <v>22</v>
      </c>
      <c r="C34" s="323" t="str">
        <f t="shared" ref="C34" si="45">C66</f>
        <v>October</v>
      </c>
      <c r="D34" s="500">
        <v>2023</v>
      </c>
      <c r="E34" s="325">
        <f t="shared" ref="E34" si="46">E66+E97</f>
        <v>51652354.905763268</v>
      </c>
      <c r="F34" s="325">
        <f t="shared" ref="F34:P34" si="47">F66+F97</f>
        <v>26811.699999999993</v>
      </c>
      <c r="G34" s="325">
        <f t="shared" si="47"/>
        <v>3871915.7404322452</v>
      </c>
      <c r="H34" s="325">
        <f t="shared" si="47"/>
        <v>1699271.695695641</v>
      </c>
      <c r="I34" s="325">
        <f t="shared" si="47"/>
        <v>19541624.500499871</v>
      </c>
      <c r="J34" s="325">
        <f t="shared" si="47"/>
        <v>586248.73501499614</v>
      </c>
      <c r="K34" s="325">
        <f t="shared" si="47"/>
        <v>1257122948.6354375</v>
      </c>
      <c r="L34" s="325">
        <f t="shared" si="47"/>
        <v>2564262.3004164565</v>
      </c>
      <c r="M34" s="325">
        <f t="shared" si="47"/>
        <v>26745727.722483188</v>
      </c>
      <c r="N34" s="325">
        <f t="shared" si="1"/>
        <v>1230377220.9129543</v>
      </c>
      <c r="O34" s="325">
        <f t="shared" si="47"/>
        <v>29086514.837628674</v>
      </c>
      <c r="P34" s="325">
        <f t="shared" si="47"/>
        <v>29569350.983933311</v>
      </c>
      <c r="T34" s="325"/>
      <c r="U34" s="325"/>
      <c r="V34" s="359"/>
      <c r="W34" s="325"/>
      <c r="X34" s="360"/>
      <c r="Y34" s="260"/>
      <c r="Z34" s="325"/>
      <c r="AA34" s="325"/>
      <c r="AB34" s="325"/>
      <c r="AC34" s="325"/>
      <c r="AD34" s="325"/>
      <c r="AE34" s="325"/>
      <c r="AF34" s="325"/>
      <c r="AG34" s="325"/>
      <c r="AH34" s="325"/>
      <c r="AI34" s="325"/>
      <c r="AJ34" s="325"/>
      <c r="AK34" s="325"/>
      <c r="AL34" s="325"/>
      <c r="AM34" s="325"/>
      <c r="AN34" s="325"/>
    </row>
    <row r="35" spans="1:40" ht="13">
      <c r="A35" s="330">
        <f t="shared" si="5"/>
        <v>23</v>
      </c>
      <c r="C35" s="323" t="str">
        <f t="shared" ref="C35" si="48">C67</f>
        <v>November</v>
      </c>
      <c r="D35" s="500">
        <v>2023</v>
      </c>
      <c r="E35" s="325">
        <f t="shared" ref="E35" si="49">E67+E98</f>
        <v>53642776.844763041</v>
      </c>
      <c r="F35" s="325">
        <f t="shared" ref="F35:P35" si="50">F67+F98</f>
        <v>36632.48899999998</v>
      </c>
      <c r="G35" s="325">
        <f t="shared" si="50"/>
        <v>4020460.8266822277</v>
      </c>
      <c r="H35" s="325">
        <f t="shared" si="50"/>
        <v>1880439.3945956216</v>
      </c>
      <c r="I35" s="325">
        <f t="shared" si="50"/>
        <v>21625053.037849646</v>
      </c>
      <c r="J35" s="325">
        <f t="shared" si="50"/>
        <v>648751.59113548941</v>
      </c>
      <c r="K35" s="325">
        <f t="shared" si="50"/>
        <v>1313554498.5034227</v>
      </c>
      <c r="L35" s="325">
        <f t="shared" si="50"/>
        <v>2680270.742878926</v>
      </c>
      <c r="M35" s="325">
        <f t="shared" si="50"/>
        <v>29425998.465362109</v>
      </c>
      <c r="N35" s="325">
        <f t="shared" si="1"/>
        <v>1284128500.0380607</v>
      </c>
      <c r="O35" s="325">
        <f t="shared" si="50"/>
        <v>29847612.10589302</v>
      </c>
      <c r="P35" s="325">
        <f t="shared" si="50"/>
        <v>30343082.466850843</v>
      </c>
      <c r="T35" s="325"/>
      <c r="U35" s="325"/>
      <c r="V35" s="359"/>
      <c r="W35" s="325"/>
      <c r="X35" s="360"/>
      <c r="Y35" s="260"/>
      <c r="Z35" s="325"/>
      <c r="AA35" s="325"/>
      <c r="AB35" s="325"/>
      <c r="AC35" s="325"/>
      <c r="AD35" s="325"/>
      <c r="AE35" s="325"/>
      <c r="AF35" s="325"/>
      <c r="AG35" s="325"/>
      <c r="AH35" s="325"/>
      <c r="AI35" s="325"/>
      <c r="AJ35" s="325"/>
      <c r="AK35" s="325"/>
      <c r="AL35" s="325"/>
      <c r="AM35" s="325"/>
      <c r="AN35" s="325"/>
    </row>
    <row r="36" spans="1:40" ht="13">
      <c r="A36" s="330">
        <f t="shared" si="5"/>
        <v>24</v>
      </c>
      <c r="C36" s="323" t="str">
        <f t="shared" ref="C36" si="51">C68</f>
        <v>December</v>
      </c>
      <c r="D36" s="500">
        <v>2023</v>
      </c>
      <c r="E36" s="325">
        <f t="shared" ref="E36" si="52">E68+E99</f>
        <v>74304651.925763249</v>
      </c>
      <c r="F36" s="325">
        <f t="shared" ref="F36:P36" si="53">F68+F99</f>
        <v>372684.72000000032</v>
      </c>
      <c r="G36" s="325">
        <f t="shared" si="53"/>
        <v>5544897.5404322436</v>
      </c>
      <c r="H36" s="325">
        <f t="shared" si="53"/>
        <v>4106679.9296956398</v>
      </c>
      <c r="I36" s="325">
        <f t="shared" si="53"/>
        <v>47226819.191499859</v>
      </c>
      <c r="J36" s="325">
        <f t="shared" si="53"/>
        <v>1416804.5757449956</v>
      </c>
      <c r="K36" s="361">
        <f t="shared" si="53"/>
        <v>1390714172.6156673</v>
      </c>
      <c r="L36" s="325">
        <f t="shared" si="53"/>
        <v>2800586.6055800663</v>
      </c>
      <c r="M36" s="325">
        <f t="shared" si="53"/>
        <v>32226585.070942178</v>
      </c>
      <c r="N36" s="361">
        <f t="shared" si="1"/>
        <v>1358487587.5447254</v>
      </c>
      <c r="O36" s="325">
        <f t="shared" si="53"/>
        <v>30608709.374157362</v>
      </c>
      <c r="P36" s="361">
        <f t="shared" si="53"/>
        <v>31116813.949768376</v>
      </c>
      <c r="T36" s="325"/>
      <c r="U36" s="325"/>
      <c r="V36" s="359"/>
      <c r="W36" s="325"/>
      <c r="X36" s="360"/>
      <c r="Y36" s="260"/>
      <c r="Z36" s="325"/>
      <c r="AA36" s="325"/>
      <c r="AB36" s="325"/>
      <c r="AC36" s="325"/>
      <c r="AD36" s="325"/>
      <c r="AE36" s="325"/>
      <c r="AF36" s="325"/>
      <c r="AG36" s="325"/>
      <c r="AH36" s="325"/>
      <c r="AI36" s="325"/>
      <c r="AJ36" s="325"/>
      <c r="AK36" s="325"/>
      <c r="AL36" s="325"/>
      <c r="AM36" s="325"/>
      <c r="AN36" s="325"/>
    </row>
    <row r="37" spans="1:40" s="327" customFormat="1" ht="13">
      <c r="A37" s="330">
        <f t="shared" si="5"/>
        <v>25</v>
      </c>
      <c r="D37" s="332" t="s">
        <v>999</v>
      </c>
      <c r="K37" s="375">
        <f>AVERAGE(K24:K36)</f>
        <v>1046362350.980985</v>
      </c>
      <c r="M37" s="375"/>
      <c r="N37" s="375">
        <f>AVERAGE(N24:N36)</f>
        <v>1028452054.2563974</v>
      </c>
      <c r="O37" s="375"/>
      <c r="P37" s="375">
        <f>AVERAGE(P24:P36)</f>
        <v>26349775.679413177</v>
      </c>
      <c r="Q37" s="376"/>
    </row>
    <row r="38" spans="1:40" ht="13">
      <c r="A38" s="330"/>
      <c r="T38" s="325"/>
      <c r="U38" s="325"/>
      <c r="Z38" s="325"/>
    </row>
    <row r="39" spans="1:40" ht="13">
      <c r="A39" s="330"/>
      <c r="B39" s="327" t="s">
        <v>1329</v>
      </c>
      <c r="G39" s="330"/>
      <c r="K39" s="260"/>
      <c r="M39" s="260"/>
      <c r="N39" s="260"/>
      <c r="O39" s="260"/>
      <c r="P39" s="260"/>
    </row>
    <row r="40" spans="1:40" ht="13">
      <c r="A40" s="330"/>
      <c r="B40" s="327"/>
      <c r="E40" s="348" t="s">
        <v>336</v>
      </c>
      <c r="F40" s="348" t="s">
        <v>337</v>
      </c>
      <c r="G40" s="348" t="s">
        <v>338</v>
      </c>
      <c r="H40" s="348" t="s">
        <v>339</v>
      </c>
      <c r="I40" s="348" t="s">
        <v>340</v>
      </c>
      <c r="J40" s="348" t="s">
        <v>341</v>
      </c>
      <c r="K40" s="377" t="s">
        <v>342</v>
      </c>
      <c r="L40" s="348" t="s">
        <v>343</v>
      </c>
      <c r="M40" s="377" t="s">
        <v>344</v>
      </c>
      <c r="N40" s="377" t="s">
        <v>589</v>
      </c>
      <c r="O40" s="377" t="s">
        <v>590</v>
      </c>
      <c r="P40" s="377" t="s">
        <v>591</v>
      </c>
    </row>
    <row r="41" spans="1:40" ht="25.5">
      <c r="A41" s="330"/>
      <c r="B41" s="327"/>
      <c r="E41" s="660" t="s">
        <v>1330</v>
      </c>
      <c r="F41" s="660" t="s">
        <v>1331</v>
      </c>
      <c r="G41" s="660" t="s">
        <v>1332</v>
      </c>
      <c r="H41" s="661" t="s">
        <v>445</v>
      </c>
      <c r="I41" s="661" t="s">
        <v>445</v>
      </c>
      <c r="J41" s="357" t="s">
        <v>445</v>
      </c>
      <c r="K41" s="658" t="s">
        <v>1333</v>
      </c>
      <c r="L41" s="658" t="s">
        <v>1334</v>
      </c>
      <c r="M41" s="659" t="s">
        <v>1335</v>
      </c>
      <c r="N41" s="662" t="s">
        <v>1336</v>
      </c>
      <c r="O41" s="662"/>
      <c r="P41" s="659" t="s">
        <v>1337</v>
      </c>
    </row>
    <row r="42" spans="1:40" ht="13">
      <c r="A42" s="330"/>
      <c r="C42" s="330" t="str">
        <f>C10</f>
        <v>Forecast</v>
      </c>
      <c r="E42" s="330" t="str">
        <f>E10</f>
        <v>Unloaded</v>
      </c>
      <c r="F42" s="330"/>
      <c r="G42" s="330"/>
      <c r="I42" s="330" t="str">
        <f>I10</f>
        <v>AFUDC</v>
      </c>
      <c r="J42" s="330"/>
      <c r="K42" s="330"/>
      <c r="L42" s="330"/>
      <c r="M42" s="330"/>
      <c r="N42" s="330"/>
      <c r="O42" s="330" t="str">
        <f t="shared" ref="O42:P44" si="54">O10</f>
        <v>Unloaded</v>
      </c>
      <c r="P42" s="330" t="str">
        <f t="shared" si="54"/>
        <v>Loaded</v>
      </c>
    </row>
    <row r="43" spans="1:40" ht="13">
      <c r="A43" s="330"/>
      <c r="B43" s="327"/>
      <c r="C43" s="330" t="str">
        <f>C11</f>
        <v>Period</v>
      </c>
      <c r="E43" s="330" t="str">
        <f>E11</f>
        <v>Total</v>
      </c>
      <c r="F43" s="330" t="str">
        <f t="shared" ref="F43:H44" si="55">F11</f>
        <v>Prior Period</v>
      </c>
      <c r="G43" s="330" t="str">
        <f t="shared" si="55"/>
        <v>Over Heads</v>
      </c>
      <c r="H43" s="330" t="str">
        <f t="shared" si="55"/>
        <v xml:space="preserve">Cost of </v>
      </c>
      <c r="I43" s="330" t="str">
        <f>I11</f>
        <v>Eligible Plant</v>
      </c>
      <c r="J43" s="330"/>
      <c r="K43" s="330" t="str">
        <f>K11</f>
        <v>Incremental</v>
      </c>
      <c r="L43" s="330" t="str">
        <f>L11</f>
        <v>Depreciation</v>
      </c>
      <c r="M43" s="330"/>
      <c r="N43" s="330"/>
      <c r="O43" s="330" t="str">
        <f t="shared" si="54"/>
        <v>Low Voltage</v>
      </c>
      <c r="P43" s="330" t="str">
        <f t="shared" si="54"/>
        <v>Low Voltage</v>
      </c>
    </row>
    <row r="44" spans="1:40" ht="13">
      <c r="A44" s="358" t="s">
        <v>273</v>
      </c>
      <c r="C44" s="348" t="str">
        <f t="shared" ref="C44:D44" si="56">C12</f>
        <v>Month</v>
      </c>
      <c r="D44" s="348" t="str">
        <f t="shared" si="56"/>
        <v>Year</v>
      </c>
      <c r="E44" s="348" t="str">
        <f>E12</f>
        <v>Plant Adds</v>
      </c>
      <c r="F44" s="348" t="str">
        <f t="shared" si="55"/>
        <v>CWIP Closed</v>
      </c>
      <c r="G44" s="348" t="str">
        <f t="shared" si="55"/>
        <v>Closed to PIS</v>
      </c>
      <c r="H44" s="348" t="str">
        <f t="shared" si="55"/>
        <v>Removal</v>
      </c>
      <c r="I44" s="348" t="str">
        <f>I12</f>
        <v>Additions</v>
      </c>
      <c r="J44" s="348" t="str">
        <f>J12</f>
        <v>AFUDC</v>
      </c>
      <c r="K44" s="348" t="str">
        <f>K12</f>
        <v>Gross Plant</v>
      </c>
      <c r="L44" s="348" t="str">
        <f>L12</f>
        <v>Accrual</v>
      </c>
      <c r="M44" s="348" t="str">
        <f>M12</f>
        <v>Reserve</v>
      </c>
      <c r="N44" s="348" t="str">
        <f>N12</f>
        <v>Net Plant</v>
      </c>
      <c r="O44" s="348" t="str">
        <f t="shared" si="54"/>
        <v>Additions</v>
      </c>
      <c r="P44" s="348" t="str">
        <f t="shared" si="54"/>
        <v>Additions</v>
      </c>
      <c r="T44" s="348"/>
      <c r="U44" s="348"/>
      <c r="V44" s="348"/>
      <c r="W44" s="348"/>
      <c r="X44" s="348"/>
      <c r="Y44" s="348"/>
    </row>
    <row r="45" spans="1:40" ht="13">
      <c r="A45" s="330">
        <f>A37+1</f>
        <v>26</v>
      </c>
      <c r="C45" s="349" t="s">
        <v>381</v>
      </c>
      <c r="D45" s="500">
        <v>2022</v>
      </c>
      <c r="E45" s="364">
        <f>'10-CWIP'!G55</f>
        <v>8955858.5836000033</v>
      </c>
      <c r="F45" s="364">
        <f>'10-CWIP'!H55</f>
        <v>8182275.8200000031</v>
      </c>
      <c r="G45" s="364">
        <f>'10-CWIP'!I55</f>
        <v>58018.707270000006</v>
      </c>
      <c r="H45" s="378">
        <v>0</v>
      </c>
      <c r="I45" s="325">
        <v>0</v>
      </c>
      <c r="J45" s="379">
        <v>0</v>
      </c>
      <c r="K45" s="325">
        <f>0+E45+G45</f>
        <v>9013877.2908700034</v>
      </c>
      <c r="L45" s="325">
        <v>0</v>
      </c>
      <c r="M45" s="325">
        <f>L45- H45</f>
        <v>0</v>
      </c>
      <c r="N45" s="325">
        <f>K45-M45</f>
        <v>9013877.2908700034</v>
      </c>
      <c r="O45" s="380">
        <v>0</v>
      </c>
      <c r="P45" s="379">
        <f t="shared" ref="P45:P68" si="57">O45*(1-$E$107)*(1+$E$103+$E$111)</f>
        <v>0</v>
      </c>
      <c r="S45" s="325"/>
      <c r="T45" s="363"/>
      <c r="U45" s="360"/>
      <c r="V45" s="260"/>
      <c r="W45" s="363"/>
      <c r="X45" s="360"/>
      <c r="Y45" s="260"/>
    </row>
    <row r="46" spans="1:40" ht="13">
      <c r="A46" s="330">
        <f t="shared" ref="A46:A99" si="58">A45+1</f>
        <v>27</v>
      </c>
      <c r="C46" s="349" t="s">
        <v>382</v>
      </c>
      <c r="D46" s="500">
        <v>2022</v>
      </c>
      <c r="E46" s="364">
        <f>'10-CWIP'!G56</f>
        <v>866694.16299999994</v>
      </c>
      <c r="F46" s="364">
        <f>'10-CWIP'!H56</f>
        <v>0</v>
      </c>
      <c r="G46" s="364">
        <f>'10-CWIP'!I56</f>
        <v>65002.062225000001</v>
      </c>
      <c r="H46" s="378">
        <v>0</v>
      </c>
      <c r="I46" s="325">
        <v>0</v>
      </c>
      <c r="J46" s="379">
        <v>0</v>
      </c>
      <c r="K46" s="325">
        <f>K45+E46+G46</f>
        <v>9945573.516095005</v>
      </c>
      <c r="L46" s="325">
        <f t="shared" ref="L46:L68" si="59">K45*$E$133/12</f>
        <v>19218.193104217895</v>
      </c>
      <c r="M46" s="325">
        <f>(M45+L46)-H46</f>
        <v>19218.193104217895</v>
      </c>
      <c r="N46" s="325">
        <f t="shared" ref="N46:N68" si="60">K46-M46</f>
        <v>9926355.3229907863</v>
      </c>
      <c r="O46" s="380">
        <v>0</v>
      </c>
      <c r="P46" s="379">
        <f t="shared" si="57"/>
        <v>0</v>
      </c>
      <c r="S46" s="325"/>
      <c r="T46" s="363"/>
      <c r="U46" s="360"/>
      <c r="V46" s="260"/>
      <c r="W46" s="363"/>
      <c r="X46" s="360"/>
      <c r="Y46" s="260"/>
    </row>
    <row r="47" spans="1:40" ht="13">
      <c r="A47" s="330">
        <f t="shared" si="58"/>
        <v>28</v>
      </c>
      <c r="C47" s="349" t="s">
        <v>383</v>
      </c>
      <c r="D47" s="500">
        <v>2022</v>
      </c>
      <c r="E47" s="364">
        <f>'10-CWIP'!G57</f>
        <v>745468.19519999996</v>
      </c>
      <c r="F47" s="364">
        <f>'10-CWIP'!H57</f>
        <v>0</v>
      </c>
      <c r="G47" s="364">
        <f>'10-CWIP'!I57</f>
        <v>55910.11464</v>
      </c>
      <c r="H47" s="378">
        <v>0</v>
      </c>
      <c r="I47" s="325">
        <v>0</v>
      </c>
      <c r="J47" s="379">
        <v>0</v>
      </c>
      <c r="K47" s="325">
        <f t="shared" ref="K47:K68" si="61">K46+E47+G47</f>
        <v>10746951.825935004</v>
      </c>
      <c r="L47" s="325">
        <f t="shared" si="59"/>
        <v>21204.632168457334</v>
      </c>
      <c r="M47" s="325">
        <f>(M46+L47)-H47</f>
        <v>40422.825272675225</v>
      </c>
      <c r="N47" s="325">
        <f t="shared" si="60"/>
        <v>10706529.000662329</v>
      </c>
      <c r="O47" s="380">
        <v>0</v>
      </c>
      <c r="P47" s="379">
        <f t="shared" si="57"/>
        <v>0</v>
      </c>
      <c r="S47" s="325"/>
      <c r="T47" s="363"/>
      <c r="U47" s="360"/>
      <c r="V47" s="260"/>
      <c r="W47" s="363"/>
      <c r="X47" s="360"/>
      <c r="Y47" s="260"/>
    </row>
    <row r="48" spans="1:40" ht="13">
      <c r="A48" s="330">
        <f t="shared" si="58"/>
        <v>29</v>
      </c>
      <c r="C48" s="349" t="s">
        <v>384</v>
      </c>
      <c r="D48" s="500">
        <v>2022</v>
      </c>
      <c r="E48" s="364">
        <f>'10-CWIP'!G58</f>
        <v>570141</v>
      </c>
      <c r="F48" s="364">
        <f>'10-CWIP'!H58</f>
        <v>0</v>
      </c>
      <c r="G48" s="364">
        <f>'10-CWIP'!I58</f>
        <v>42760.574999999997</v>
      </c>
      <c r="H48" s="378">
        <v>0</v>
      </c>
      <c r="I48" s="325">
        <v>0</v>
      </c>
      <c r="J48" s="379">
        <v>0</v>
      </c>
      <c r="K48" s="325">
        <f t="shared" si="61"/>
        <v>11359853.400935004</v>
      </c>
      <c r="L48" s="325">
        <f t="shared" si="59"/>
        <v>22913.224665454862</v>
      </c>
      <c r="M48" s="325">
        <f t="shared" ref="M48:M67" si="62">(M47+L48)-H48</f>
        <v>63336.049938130091</v>
      </c>
      <c r="N48" s="325">
        <f t="shared" si="60"/>
        <v>11296517.350996874</v>
      </c>
      <c r="O48" s="380">
        <v>0</v>
      </c>
      <c r="P48" s="379">
        <f t="shared" si="57"/>
        <v>0</v>
      </c>
      <c r="S48" s="325"/>
      <c r="T48" s="363"/>
      <c r="U48" s="360"/>
      <c r="V48" s="260"/>
      <c r="W48" s="363"/>
      <c r="X48" s="360"/>
      <c r="Y48" s="260"/>
    </row>
    <row r="49" spans="1:25" ht="13">
      <c r="A49" s="330">
        <f t="shared" si="58"/>
        <v>30</v>
      </c>
      <c r="C49" s="349" t="s">
        <v>385</v>
      </c>
      <c r="D49" s="500">
        <v>2022</v>
      </c>
      <c r="E49" s="364">
        <f>'10-CWIP'!G59</f>
        <v>898251.14999999967</v>
      </c>
      <c r="F49" s="364">
        <f>'10-CWIP'!H59</f>
        <v>483115.14999999962</v>
      </c>
      <c r="G49" s="364">
        <f>'10-CWIP'!I59</f>
        <v>31135.200000000004</v>
      </c>
      <c r="H49" s="378">
        <v>0</v>
      </c>
      <c r="I49" s="325">
        <v>0</v>
      </c>
      <c r="J49" s="379">
        <v>0</v>
      </c>
      <c r="K49" s="325">
        <f t="shared" si="61"/>
        <v>12289239.750935003</v>
      </c>
      <c r="L49" s="325">
        <f t="shared" si="59"/>
        <v>24219.972077488066</v>
      </c>
      <c r="M49" s="325">
        <f t="shared" si="62"/>
        <v>87556.02201561816</v>
      </c>
      <c r="N49" s="325">
        <f t="shared" si="60"/>
        <v>12201683.728919385</v>
      </c>
      <c r="O49" s="380">
        <v>0</v>
      </c>
      <c r="P49" s="379">
        <f t="shared" si="57"/>
        <v>0</v>
      </c>
      <c r="S49" s="325"/>
      <c r="T49" s="363"/>
      <c r="U49" s="360"/>
      <c r="V49" s="260"/>
      <c r="W49" s="363"/>
      <c r="X49" s="360"/>
      <c r="Y49" s="260"/>
    </row>
    <row r="50" spans="1:25" ht="13">
      <c r="A50" s="330">
        <f t="shared" si="58"/>
        <v>31</v>
      </c>
      <c r="C50" s="349" t="s">
        <v>386</v>
      </c>
      <c r="D50" s="500">
        <v>2022</v>
      </c>
      <c r="E50" s="364">
        <f>'10-CWIP'!G60</f>
        <v>100471263.97999999</v>
      </c>
      <c r="F50" s="364">
        <f>'10-CWIP'!H60</f>
        <v>92093010.979999989</v>
      </c>
      <c r="G50" s="364">
        <f>'10-CWIP'!I60</f>
        <v>628368.97500000102</v>
      </c>
      <c r="H50" s="378">
        <v>0</v>
      </c>
      <c r="I50" s="325">
        <v>0</v>
      </c>
      <c r="J50" s="379">
        <v>0</v>
      </c>
      <c r="K50" s="325">
        <f t="shared" si="61"/>
        <v>113388872.70593499</v>
      </c>
      <c r="L50" s="325">
        <f t="shared" si="59"/>
        <v>26201.486332271128</v>
      </c>
      <c r="M50" s="325">
        <f t="shared" si="62"/>
        <v>113757.50834788929</v>
      </c>
      <c r="N50" s="325">
        <f t="shared" si="60"/>
        <v>113275115.1975871</v>
      </c>
      <c r="O50" s="380">
        <v>0</v>
      </c>
      <c r="P50" s="379">
        <f t="shared" si="57"/>
        <v>0</v>
      </c>
      <c r="S50" s="325"/>
      <c r="T50" s="363"/>
      <c r="U50" s="360"/>
      <c r="V50" s="260"/>
      <c r="W50" s="363"/>
      <c r="X50" s="360"/>
      <c r="Y50" s="260"/>
    </row>
    <row r="51" spans="1:25" ht="13">
      <c r="A51" s="330">
        <f t="shared" si="58"/>
        <v>32</v>
      </c>
      <c r="C51" s="349" t="s">
        <v>387</v>
      </c>
      <c r="D51" s="500">
        <v>2022</v>
      </c>
      <c r="E51" s="364">
        <f>'10-CWIP'!G61</f>
        <v>2083296.3900000001</v>
      </c>
      <c r="F51" s="364">
        <f>'10-CWIP'!H61</f>
        <v>215268.39000000016</v>
      </c>
      <c r="G51" s="364">
        <f>'10-CWIP'!I61</f>
        <v>140102.1</v>
      </c>
      <c r="H51" s="378">
        <v>0</v>
      </c>
      <c r="I51" s="325">
        <v>0</v>
      </c>
      <c r="J51" s="379">
        <v>0</v>
      </c>
      <c r="K51" s="325">
        <f t="shared" si="61"/>
        <v>115612271.19593498</v>
      </c>
      <c r="L51" s="325">
        <f t="shared" si="59"/>
        <v>241752.70876379043</v>
      </c>
      <c r="M51" s="325">
        <f t="shared" si="62"/>
        <v>355510.21711167973</v>
      </c>
      <c r="N51" s="325">
        <f t="shared" si="60"/>
        <v>115256760.9788233</v>
      </c>
      <c r="O51" s="380">
        <v>0</v>
      </c>
      <c r="P51" s="379">
        <f t="shared" si="57"/>
        <v>0</v>
      </c>
      <c r="S51" s="325"/>
      <c r="T51" s="363"/>
      <c r="U51" s="360"/>
      <c r="V51" s="260"/>
      <c r="W51" s="363"/>
      <c r="X51" s="360"/>
      <c r="Y51" s="260"/>
    </row>
    <row r="52" spans="1:25" ht="13">
      <c r="A52" s="330">
        <f t="shared" si="58"/>
        <v>33</v>
      </c>
      <c r="C52" s="349" t="s">
        <v>388</v>
      </c>
      <c r="D52" s="500">
        <v>2022</v>
      </c>
      <c r="E52" s="364">
        <f>'10-CWIP'!G62</f>
        <v>1349216</v>
      </c>
      <c r="F52" s="364">
        <f>'10-CWIP'!H62</f>
        <v>0</v>
      </c>
      <c r="G52" s="364">
        <f>'10-CWIP'!I62</f>
        <v>101191.2</v>
      </c>
      <c r="H52" s="378">
        <v>0</v>
      </c>
      <c r="I52" s="325">
        <v>0</v>
      </c>
      <c r="J52" s="379">
        <v>0</v>
      </c>
      <c r="K52" s="325">
        <f t="shared" si="61"/>
        <v>117062678.39593498</v>
      </c>
      <c r="L52" s="325">
        <f t="shared" si="59"/>
        <v>246493.14400043676</v>
      </c>
      <c r="M52" s="325">
        <f t="shared" si="62"/>
        <v>602003.36111211649</v>
      </c>
      <c r="N52" s="325">
        <f t="shared" si="60"/>
        <v>116460675.03482287</v>
      </c>
      <c r="O52" s="380">
        <v>0</v>
      </c>
      <c r="P52" s="379">
        <f t="shared" si="57"/>
        <v>0</v>
      </c>
      <c r="S52" s="325"/>
      <c r="T52" s="363"/>
      <c r="U52" s="360"/>
      <c r="V52" s="260"/>
      <c r="W52" s="363"/>
      <c r="X52" s="360"/>
      <c r="Y52" s="260"/>
    </row>
    <row r="53" spans="1:25" ht="13">
      <c r="A53" s="330">
        <f t="shared" si="58"/>
        <v>34</v>
      </c>
      <c r="C53" s="349" t="s">
        <v>389</v>
      </c>
      <c r="D53" s="500">
        <v>2022</v>
      </c>
      <c r="E53" s="364">
        <f>'10-CWIP'!G63</f>
        <v>2389200.5099999998</v>
      </c>
      <c r="F53" s="364">
        <f>'10-CWIP'!H63</f>
        <v>1056270.5099999998</v>
      </c>
      <c r="G53" s="364">
        <f>'10-CWIP'!I63</f>
        <v>99969.75</v>
      </c>
      <c r="H53" s="378">
        <v>0</v>
      </c>
      <c r="I53" s="325">
        <v>0</v>
      </c>
      <c r="J53" s="379">
        <v>0</v>
      </c>
      <c r="K53" s="325">
        <f t="shared" si="61"/>
        <v>119551848.65593499</v>
      </c>
      <c r="L53" s="325">
        <f t="shared" si="59"/>
        <v>249585.50977710218</v>
      </c>
      <c r="M53" s="325">
        <f t="shared" si="62"/>
        <v>851588.87088921864</v>
      </c>
      <c r="N53" s="325">
        <f t="shared" si="60"/>
        <v>118700259.78504577</v>
      </c>
      <c r="O53" s="380">
        <v>0</v>
      </c>
      <c r="P53" s="379">
        <f t="shared" si="57"/>
        <v>0</v>
      </c>
      <c r="S53" s="325"/>
      <c r="T53" s="363"/>
      <c r="U53" s="360"/>
      <c r="V53" s="260"/>
      <c r="W53" s="363"/>
      <c r="X53" s="360"/>
      <c r="Y53" s="260"/>
    </row>
    <row r="54" spans="1:25" ht="13">
      <c r="A54" s="330">
        <f t="shared" si="58"/>
        <v>35</v>
      </c>
      <c r="C54" s="349" t="s">
        <v>972</v>
      </c>
      <c r="D54" s="500">
        <v>2022</v>
      </c>
      <c r="E54" s="364">
        <f>'10-CWIP'!G64</f>
        <v>790000</v>
      </c>
      <c r="F54" s="364">
        <f>'10-CWIP'!H64</f>
        <v>0</v>
      </c>
      <c r="G54" s="364">
        <f>'10-CWIP'!I64</f>
        <v>59250</v>
      </c>
      <c r="H54" s="378">
        <v>0</v>
      </c>
      <c r="I54" s="325">
        <v>0</v>
      </c>
      <c r="J54" s="379">
        <v>0</v>
      </c>
      <c r="K54" s="325">
        <f t="shared" si="61"/>
        <v>120401098.65593499</v>
      </c>
      <c r="L54" s="325">
        <f t="shared" si="59"/>
        <v>254892.58831636852</v>
      </c>
      <c r="M54" s="325">
        <f t="shared" si="62"/>
        <v>1106481.4592055872</v>
      </c>
      <c r="N54" s="325">
        <f t="shared" si="60"/>
        <v>119294617.19672941</v>
      </c>
      <c r="O54" s="380">
        <v>0</v>
      </c>
      <c r="P54" s="379">
        <f t="shared" si="57"/>
        <v>0</v>
      </c>
      <c r="S54" s="325"/>
      <c r="T54" s="363"/>
      <c r="U54" s="360"/>
      <c r="V54" s="260"/>
      <c r="W54" s="363"/>
      <c r="X54" s="360"/>
      <c r="Y54" s="260"/>
    </row>
    <row r="55" spans="1:25" ht="13">
      <c r="A55" s="330">
        <f t="shared" si="58"/>
        <v>36</v>
      </c>
      <c r="C55" s="349" t="s">
        <v>391</v>
      </c>
      <c r="D55" s="500">
        <v>2022</v>
      </c>
      <c r="E55" s="364">
        <f>'10-CWIP'!G65</f>
        <v>983000</v>
      </c>
      <c r="F55" s="364">
        <f>'10-CWIP'!H65</f>
        <v>0</v>
      </c>
      <c r="G55" s="364">
        <f>'10-CWIP'!I65</f>
        <v>73725</v>
      </c>
      <c r="H55" s="378">
        <v>0</v>
      </c>
      <c r="I55" s="325">
        <v>0</v>
      </c>
      <c r="J55" s="379">
        <v>0</v>
      </c>
      <c r="K55" s="325">
        <f t="shared" si="61"/>
        <v>121457823.65593499</v>
      </c>
      <c r="L55" s="325">
        <f t="shared" si="59"/>
        <v>256703.24647900939</v>
      </c>
      <c r="M55" s="325">
        <f t="shared" si="62"/>
        <v>1363184.7056845967</v>
      </c>
      <c r="N55" s="325">
        <f t="shared" si="60"/>
        <v>120094638.95025039</v>
      </c>
      <c r="O55" s="380">
        <v>0</v>
      </c>
      <c r="P55" s="379">
        <f>O55*(1-$E$107)*(1+$E$103+$E$111)</f>
        <v>0</v>
      </c>
      <c r="S55" s="325"/>
      <c r="T55" s="363"/>
      <c r="U55" s="360"/>
      <c r="V55" s="260"/>
      <c r="W55" s="363"/>
      <c r="X55" s="360"/>
      <c r="Y55" s="260"/>
    </row>
    <row r="56" spans="1:25" ht="13">
      <c r="A56" s="330">
        <f t="shared" si="58"/>
        <v>37</v>
      </c>
      <c r="C56" s="349" t="s">
        <v>379</v>
      </c>
      <c r="D56" s="500">
        <v>2022</v>
      </c>
      <c r="E56" s="364">
        <f>'10-CWIP'!G66</f>
        <v>282942823.8287102</v>
      </c>
      <c r="F56" s="364">
        <f>'10-CWIP'!H66</f>
        <v>194263290.67431018</v>
      </c>
      <c r="G56" s="364">
        <f>'10-CWIP'!I66</f>
        <v>6650964.9865800012</v>
      </c>
      <c r="H56" s="378">
        <v>0</v>
      </c>
      <c r="I56" s="325">
        <v>0</v>
      </c>
      <c r="J56" s="379">
        <v>0</v>
      </c>
      <c r="K56" s="325">
        <f t="shared" si="61"/>
        <v>411051612.4712252</v>
      </c>
      <c r="L56" s="325">
        <f t="shared" si="59"/>
        <v>258956.25530670051</v>
      </c>
      <c r="M56" s="325">
        <f t="shared" si="62"/>
        <v>1622140.9609912972</v>
      </c>
      <c r="N56" s="325">
        <f t="shared" si="60"/>
        <v>409429471.51023388</v>
      </c>
      <c r="O56" s="380">
        <v>0</v>
      </c>
      <c r="P56" s="379">
        <f t="shared" si="57"/>
        <v>0</v>
      </c>
      <c r="S56" s="325"/>
      <c r="T56" s="363"/>
      <c r="U56" s="360"/>
      <c r="V56" s="260"/>
      <c r="W56" s="363"/>
      <c r="X56" s="360"/>
      <c r="Y56" s="260"/>
    </row>
    <row r="57" spans="1:25" ht="13">
      <c r="A57" s="330">
        <f t="shared" si="58"/>
        <v>38</v>
      </c>
      <c r="C57" s="349" t="s">
        <v>381</v>
      </c>
      <c r="D57" s="500">
        <v>2023</v>
      </c>
      <c r="E57" s="364">
        <f>'10-CWIP'!G67</f>
        <v>470000</v>
      </c>
      <c r="F57" s="364">
        <f>'10-CWIP'!H67</f>
        <v>0</v>
      </c>
      <c r="G57" s="364">
        <f>'10-CWIP'!I67</f>
        <v>35250</v>
      </c>
      <c r="H57" s="378">
        <v>0</v>
      </c>
      <c r="I57" s="325">
        <v>0</v>
      </c>
      <c r="J57" s="379">
        <v>0</v>
      </c>
      <c r="K57" s="325">
        <f t="shared" si="61"/>
        <v>411556862.4712252</v>
      </c>
      <c r="L57" s="325">
        <f t="shared" si="59"/>
        <v>876389.70549039764</v>
      </c>
      <c r="M57" s="325">
        <f t="shared" si="62"/>
        <v>2498530.6664816947</v>
      </c>
      <c r="N57" s="325">
        <f t="shared" si="60"/>
        <v>409058331.80474353</v>
      </c>
      <c r="O57" s="380">
        <v>0</v>
      </c>
      <c r="P57" s="379">
        <f t="shared" si="57"/>
        <v>0</v>
      </c>
      <c r="S57" s="325"/>
      <c r="T57" s="363"/>
      <c r="U57" s="360"/>
      <c r="V57" s="260"/>
      <c r="W57" s="363"/>
      <c r="X57" s="360"/>
      <c r="Y57" s="260"/>
    </row>
    <row r="58" spans="1:25" ht="13">
      <c r="A58" s="330">
        <f t="shared" si="58"/>
        <v>39</v>
      </c>
      <c r="C58" s="349" t="s">
        <v>382</v>
      </c>
      <c r="D58" s="500">
        <v>2023</v>
      </c>
      <c r="E58" s="364">
        <f>'10-CWIP'!G68</f>
        <v>570000</v>
      </c>
      <c r="F58" s="364">
        <f>'10-CWIP'!H68</f>
        <v>0</v>
      </c>
      <c r="G58" s="364">
        <f>'10-CWIP'!I68</f>
        <v>42750</v>
      </c>
      <c r="H58" s="378">
        <v>0</v>
      </c>
      <c r="I58" s="325">
        <v>0</v>
      </c>
      <c r="J58" s="379">
        <v>0</v>
      </c>
      <c r="K58" s="325">
        <f t="shared" si="61"/>
        <v>412169612.4712252</v>
      </c>
      <c r="L58" s="325">
        <f t="shared" si="59"/>
        <v>877466.93249855109</v>
      </c>
      <c r="M58" s="325">
        <f t="shared" si="62"/>
        <v>3375997.5989802456</v>
      </c>
      <c r="N58" s="325">
        <f t="shared" si="60"/>
        <v>408793614.87224495</v>
      </c>
      <c r="O58" s="380">
        <v>0</v>
      </c>
      <c r="P58" s="379">
        <f t="shared" si="57"/>
        <v>0</v>
      </c>
      <c r="S58" s="325"/>
      <c r="T58" s="363"/>
      <c r="U58" s="360"/>
      <c r="V58" s="260"/>
      <c r="W58" s="363"/>
      <c r="X58" s="360"/>
      <c r="Y58" s="260"/>
    </row>
    <row r="59" spans="1:25" ht="13">
      <c r="A59" s="330">
        <f t="shared" si="58"/>
        <v>40</v>
      </c>
      <c r="C59" s="349" t="s">
        <v>383</v>
      </c>
      <c r="D59" s="500">
        <v>2023</v>
      </c>
      <c r="E59" s="364">
        <f>'10-CWIP'!G69</f>
        <v>51236675.530000001</v>
      </c>
      <c r="F59" s="364">
        <f>'10-CWIP'!H69</f>
        <v>6189635.5300000012</v>
      </c>
      <c r="G59" s="364">
        <f>'10-CWIP'!I69</f>
        <v>3378528</v>
      </c>
      <c r="H59" s="378">
        <v>0</v>
      </c>
      <c r="I59" s="325">
        <v>0</v>
      </c>
      <c r="J59" s="379">
        <v>0</v>
      </c>
      <c r="K59" s="325">
        <f t="shared" si="61"/>
        <v>466784816.00122523</v>
      </c>
      <c r="L59" s="325">
        <f t="shared" si="59"/>
        <v>878773.35674248182</v>
      </c>
      <c r="M59" s="325">
        <f t="shared" si="62"/>
        <v>4254770.9557227278</v>
      </c>
      <c r="N59" s="325">
        <f t="shared" si="60"/>
        <v>462530045.04550248</v>
      </c>
      <c r="O59" s="380">
        <v>0</v>
      </c>
      <c r="P59" s="379">
        <f t="shared" si="57"/>
        <v>0</v>
      </c>
      <c r="S59" s="325"/>
      <c r="T59" s="363"/>
      <c r="U59" s="360"/>
      <c r="V59" s="260"/>
      <c r="W59" s="363"/>
      <c r="X59" s="360"/>
      <c r="Y59" s="260"/>
    </row>
    <row r="60" spans="1:25" ht="13">
      <c r="A60" s="330">
        <f t="shared" si="58"/>
        <v>41</v>
      </c>
      <c r="C60" s="349" t="s">
        <v>384</v>
      </c>
      <c r="D60" s="500">
        <v>2023</v>
      </c>
      <c r="E60" s="364">
        <f>'10-CWIP'!G70</f>
        <v>5730570</v>
      </c>
      <c r="F60" s="364">
        <f>'10-CWIP'!H70</f>
        <v>0</v>
      </c>
      <c r="G60" s="364">
        <f>'10-CWIP'!I70</f>
        <v>429792.75</v>
      </c>
      <c r="H60" s="378">
        <v>0</v>
      </c>
      <c r="I60" s="325">
        <v>0</v>
      </c>
      <c r="J60" s="379">
        <v>0</v>
      </c>
      <c r="K60" s="325">
        <f t="shared" si="61"/>
        <v>472945178.75122523</v>
      </c>
      <c r="L60" s="325">
        <f t="shared" si="59"/>
        <v>995216.64679357118</v>
      </c>
      <c r="M60" s="325">
        <f t="shared" si="62"/>
        <v>5249987.6025162991</v>
      </c>
      <c r="N60" s="325">
        <f t="shared" si="60"/>
        <v>467695191.14870894</v>
      </c>
      <c r="O60" s="380">
        <v>0</v>
      </c>
      <c r="P60" s="379">
        <f t="shared" si="57"/>
        <v>0</v>
      </c>
      <c r="S60" s="325"/>
      <c r="T60" s="363"/>
      <c r="U60" s="360"/>
      <c r="V60" s="260"/>
      <c r="W60" s="363"/>
      <c r="X60" s="360"/>
      <c r="Y60" s="260"/>
    </row>
    <row r="61" spans="1:25" ht="13">
      <c r="A61" s="330">
        <f t="shared" si="58"/>
        <v>42</v>
      </c>
      <c r="C61" s="349" t="s">
        <v>385</v>
      </c>
      <c r="D61" s="500">
        <v>2023</v>
      </c>
      <c r="E61" s="364">
        <f>'10-CWIP'!G71</f>
        <v>5812570</v>
      </c>
      <c r="F61" s="364">
        <f>'10-CWIP'!H71</f>
        <v>0</v>
      </c>
      <c r="G61" s="364">
        <f>'10-CWIP'!I71</f>
        <v>435942.75</v>
      </c>
      <c r="H61" s="378">
        <v>0</v>
      </c>
      <c r="I61" s="325">
        <v>0</v>
      </c>
      <c r="J61" s="379">
        <v>0</v>
      </c>
      <c r="K61" s="325">
        <f t="shared" si="61"/>
        <v>479193691.50122523</v>
      </c>
      <c r="L61" s="325">
        <f t="shared" si="59"/>
        <v>1008350.9548278559</v>
      </c>
      <c r="M61" s="325">
        <f t="shared" si="62"/>
        <v>6258338.5573441554</v>
      </c>
      <c r="N61" s="325">
        <f t="shared" si="60"/>
        <v>472935352.94388109</v>
      </c>
      <c r="O61" s="380">
        <v>0</v>
      </c>
      <c r="P61" s="379">
        <f t="shared" si="57"/>
        <v>0</v>
      </c>
      <c r="S61" s="325"/>
      <c r="T61" s="363"/>
      <c r="U61" s="360"/>
      <c r="V61" s="260"/>
      <c r="W61" s="363"/>
      <c r="X61" s="360"/>
      <c r="Y61" s="260"/>
    </row>
    <row r="62" spans="1:25" ht="13">
      <c r="A62" s="330">
        <f t="shared" si="58"/>
        <v>43</v>
      </c>
      <c r="C62" s="349" t="s">
        <v>386</v>
      </c>
      <c r="D62" s="500">
        <v>2023</v>
      </c>
      <c r="E62" s="364">
        <f>'10-CWIP'!G72</f>
        <v>120235065.94999985</v>
      </c>
      <c r="F62" s="364">
        <f>'10-CWIP'!H72</f>
        <v>94439495.949999854</v>
      </c>
      <c r="G62" s="364">
        <f>'10-CWIP'!I72</f>
        <v>1934667.75</v>
      </c>
      <c r="H62" s="378">
        <v>0</v>
      </c>
      <c r="I62" s="325">
        <v>0</v>
      </c>
      <c r="J62" s="379">
        <v>0</v>
      </c>
      <c r="K62" s="325">
        <f t="shared" si="61"/>
        <v>601363425.20122504</v>
      </c>
      <c r="L62" s="325">
        <f t="shared" si="59"/>
        <v>1021673.2045954781</v>
      </c>
      <c r="M62" s="325">
        <f t="shared" si="62"/>
        <v>7280011.7619396336</v>
      </c>
      <c r="N62" s="325">
        <f t="shared" si="60"/>
        <v>594083413.4392854</v>
      </c>
      <c r="O62" s="380">
        <v>0</v>
      </c>
      <c r="P62" s="379">
        <f t="shared" si="57"/>
        <v>0</v>
      </c>
      <c r="S62" s="325"/>
      <c r="T62" s="363"/>
      <c r="U62" s="360"/>
      <c r="V62" s="260"/>
      <c r="W62" s="363"/>
      <c r="X62" s="360"/>
      <c r="Y62" s="260"/>
    </row>
    <row r="63" spans="1:25" ht="13">
      <c r="A63" s="330">
        <f t="shared" si="58"/>
        <v>44</v>
      </c>
      <c r="C63" s="349" t="s">
        <v>387</v>
      </c>
      <c r="D63" s="500">
        <v>2023</v>
      </c>
      <c r="E63" s="364">
        <f>'10-CWIP'!G73</f>
        <v>20654314.830000032</v>
      </c>
      <c r="F63" s="364">
        <f>'10-CWIP'!H73</f>
        <v>13449744.830000034</v>
      </c>
      <c r="G63" s="364">
        <f>'10-CWIP'!I73</f>
        <v>540342.74999999977</v>
      </c>
      <c r="H63" s="378">
        <v>0</v>
      </c>
      <c r="I63" s="325">
        <v>0</v>
      </c>
      <c r="J63" s="379">
        <v>0</v>
      </c>
      <c r="K63" s="325">
        <f t="shared" si="61"/>
        <v>622558082.78122509</v>
      </c>
      <c r="L63" s="325">
        <f t="shared" si="59"/>
        <v>1282147.3000344741</v>
      </c>
      <c r="M63" s="325">
        <f t="shared" si="62"/>
        <v>8562159.0619741082</v>
      </c>
      <c r="N63" s="325">
        <f t="shared" si="60"/>
        <v>613995923.71925092</v>
      </c>
      <c r="O63" s="380">
        <v>0</v>
      </c>
      <c r="P63" s="379">
        <f t="shared" si="57"/>
        <v>0</v>
      </c>
      <c r="S63" s="325"/>
      <c r="T63" s="363"/>
      <c r="U63" s="360"/>
      <c r="V63" s="260"/>
      <c r="W63" s="363"/>
      <c r="X63" s="360"/>
      <c r="Y63" s="260"/>
    </row>
    <row r="64" spans="1:25" ht="13">
      <c r="A64" s="330">
        <f t="shared" si="58"/>
        <v>45</v>
      </c>
      <c r="C64" s="349" t="s">
        <v>388</v>
      </c>
      <c r="D64" s="500">
        <v>2023</v>
      </c>
      <c r="E64" s="364">
        <f>'10-CWIP'!G74</f>
        <v>8870702.5199999996</v>
      </c>
      <c r="F64" s="364">
        <f>'10-CWIP'!H74</f>
        <v>1071879.5200000005</v>
      </c>
      <c r="G64" s="364">
        <f>'10-CWIP'!I74</f>
        <v>584911.72499999998</v>
      </c>
      <c r="H64" s="378">
        <v>0</v>
      </c>
      <c r="I64" s="325">
        <v>0</v>
      </c>
      <c r="J64" s="379">
        <v>0</v>
      </c>
      <c r="K64" s="325">
        <f t="shared" si="61"/>
        <v>632013697.02622509</v>
      </c>
      <c r="L64" s="325">
        <f t="shared" si="59"/>
        <v>1327335.7365980367</v>
      </c>
      <c r="M64" s="325">
        <f t="shared" si="62"/>
        <v>9889494.7985721454</v>
      </c>
      <c r="N64" s="325">
        <f t="shared" si="60"/>
        <v>622124202.22765291</v>
      </c>
      <c r="O64" s="380">
        <v>0</v>
      </c>
      <c r="P64" s="379">
        <f t="shared" si="57"/>
        <v>0</v>
      </c>
      <c r="S64" s="325"/>
      <c r="T64" s="363"/>
      <c r="U64" s="360"/>
      <c r="V64" s="260"/>
      <c r="W64" s="363"/>
      <c r="X64" s="360"/>
      <c r="Y64" s="260"/>
    </row>
    <row r="65" spans="1:25" ht="13">
      <c r="A65" s="330">
        <f t="shared" si="58"/>
        <v>46</v>
      </c>
      <c r="C65" s="349" t="s">
        <v>389</v>
      </c>
      <c r="D65" s="500">
        <v>2023</v>
      </c>
      <c r="E65" s="364">
        <f>'10-CWIP'!G75</f>
        <v>6416570</v>
      </c>
      <c r="F65" s="364">
        <f>'10-CWIP'!H75</f>
        <v>0</v>
      </c>
      <c r="G65" s="364">
        <f>'10-CWIP'!I75</f>
        <v>481242.75</v>
      </c>
      <c r="H65" s="378">
        <v>0</v>
      </c>
      <c r="I65" s="325">
        <v>0</v>
      </c>
      <c r="J65" s="379">
        <v>0</v>
      </c>
      <c r="K65" s="325">
        <f t="shared" si="61"/>
        <v>638911509.77622509</v>
      </c>
      <c r="L65" s="325">
        <f t="shared" si="59"/>
        <v>1347495.7426215783</v>
      </c>
      <c r="M65" s="325">
        <f t="shared" si="62"/>
        <v>11236990.541193724</v>
      </c>
      <c r="N65" s="325">
        <f t="shared" si="60"/>
        <v>627674519.23503137</v>
      </c>
      <c r="O65" s="380">
        <v>0</v>
      </c>
      <c r="P65" s="379">
        <f t="shared" si="57"/>
        <v>0</v>
      </c>
      <c r="S65" s="325"/>
      <c r="T65" s="363"/>
      <c r="U65" s="360"/>
      <c r="V65" s="260"/>
      <c r="W65" s="363"/>
      <c r="X65" s="360"/>
      <c r="Y65" s="260"/>
    </row>
    <row r="66" spans="1:25" ht="13">
      <c r="A66" s="330">
        <f t="shared" si="58"/>
        <v>47</v>
      </c>
      <c r="C66" s="349" t="s">
        <v>390</v>
      </c>
      <c r="D66" s="500">
        <v>2023</v>
      </c>
      <c r="E66" s="364">
        <f>'10-CWIP'!G76</f>
        <v>31866570</v>
      </c>
      <c r="F66" s="364">
        <f>'10-CWIP'!H76</f>
        <v>0</v>
      </c>
      <c r="G66" s="364">
        <f>'10-CWIP'!I76</f>
        <v>2389992.75</v>
      </c>
      <c r="H66" s="378">
        <v>0</v>
      </c>
      <c r="I66" s="325">
        <v>0</v>
      </c>
      <c r="J66" s="379">
        <v>0</v>
      </c>
      <c r="K66" s="325">
        <f t="shared" si="61"/>
        <v>673168072.52622509</v>
      </c>
      <c r="L66" s="325">
        <f t="shared" si="59"/>
        <v>1362202.3436932955</v>
      </c>
      <c r="M66" s="325">
        <f t="shared" si="62"/>
        <v>12599192.884887019</v>
      </c>
      <c r="N66" s="325">
        <f t="shared" si="60"/>
        <v>660568879.64133811</v>
      </c>
      <c r="O66" s="380">
        <v>0</v>
      </c>
      <c r="P66" s="379">
        <f t="shared" si="57"/>
        <v>0</v>
      </c>
      <c r="S66" s="325"/>
      <c r="T66" s="363"/>
      <c r="U66" s="360"/>
      <c r="V66" s="260"/>
      <c r="W66" s="363"/>
      <c r="X66" s="360"/>
      <c r="Y66" s="260"/>
    </row>
    <row r="67" spans="1:25" ht="13">
      <c r="A67" s="330">
        <f t="shared" si="58"/>
        <v>48</v>
      </c>
      <c r="C67" s="349" t="s">
        <v>391</v>
      </c>
      <c r="D67" s="500">
        <v>2023</v>
      </c>
      <c r="E67" s="364">
        <f>'10-CWIP'!G77</f>
        <v>31740570</v>
      </c>
      <c r="F67" s="364">
        <f>'10-CWIP'!H77</f>
        <v>0</v>
      </c>
      <c r="G67" s="364">
        <f>'10-CWIP'!I77</f>
        <v>2380542.75</v>
      </c>
      <c r="H67" s="378">
        <v>0</v>
      </c>
      <c r="I67" s="325">
        <v>0</v>
      </c>
      <c r="J67" s="379">
        <v>0</v>
      </c>
      <c r="K67" s="325">
        <f t="shared" si="61"/>
        <v>707289185.27622509</v>
      </c>
      <c r="L67" s="325">
        <f t="shared" si="59"/>
        <v>1435239.6412703423</v>
      </c>
      <c r="M67" s="325">
        <f t="shared" si="62"/>
        <v>14034432.526157361</v>
      </c>
      <c r="N67" s="325">
        <f t="shared" si="60"/>
        <v>693254752.75006771</v>
      </c>
      <c r="O67" s="380">
        <v>0</v>
      </c>
      <c r="P67" s="379">
        <f t="shared" si="57"/>
        <v>0</v>
      </c>
      <c r="S67" s="325"/>
      <c r="T67" s="363"/>
      <c r="U67" s="360"/>
      <c r="V67" s="260"/>
      <c r="W67" s="363"/>
      <c r="X67" s="360"/>
      <c r="Y67" s="260"/>
    </row>
    <row r="68" spans="1:25" ht="13">
      <c r="A68" s="330">
        <f t="shared" si="58"/>
        <v>49</v>
      </c>
      <c r="C68" s="349" t="s">
        <v>379</v>
      </c>
      <c r="D68" s="500">
        <v>2023</v>
      </c>
      <c r="E68" s="364">
        <f>'10-CWIP'!G78</f>
        <v>26179875</v>
      </c>
      <c r="F68" s="364">
        <f>'10-CWIP'!H78</f>
        <v>0</v>
      </c>
      <c r="G68" s="364">
        <f>'10-CWIP'!I78</f>
        <v>1963490.625</v>
      </c>
      <c r="H68" s="378">
        <v>0</v>
      </c>
      <c r="I68" s="325">
        <v>0</v>
      </c>
      <c r="J68" s="379">
        <v>0</v>
      </c>
      <c r="K68" s="325">
        <f t="shared" si="61"/>
        <v>735432550.90122509</v>
      </c>
      <c r="L68" s="325">
        <f t="shared" si="59"/>
        <v>1507988.1503303098</v>
      </c>
      <c r="M68" s="325">
        <f>(M67+L68)-H68</f>
        <v>15542420.676487669</v>
      </c>
      <c r="N68" s="325">
        <f t="shared" si="60"/>
        <v>719890130.22473741</v>
      </c>
      <c r="O68" s="380">
        <v>0</v>
      </c>
      <c r="P68" s="379">
        <f t="shared" si="57"/>
        <v>0</v>
      </c>
      <c r="S68" s="325"/>
      <c r="T68" s="363"/>
      <c r="U68" s="360"/>
      <c r="V68" s="260"/>
      <c r="W68" s="363"/>
      <c r="X68" s="360"/>
      <c r="Y68" s="260"/>
    </row>
    <row r="69" spans="1:25" ht="13">
      <c r="A69" s="330"/>
      <c r="D69" s="362"/>
      <c r="G69" s="325"/>
      <c r="N69" s="325"/>
    </row>
    <row r="70" spans="1:25" ht="13">
      <c r="A70" s="330"/>
      <c r="B70" s="327" t="s">
        <v>1338</v>
      </c>
      <c r="D70" s="362"/>
      <c r="F70" s="39" t="s">
        <v>195</v>
      </c>
      <c r="G70" s="258" t="s">
        <v>1001</v>
      </c>
      <c r="H70" s="334"/>
      <c r="N70" s="325"/>
    </row>
    <row r="71" spans="1:25" ht="13">
      <c r="A71" s="330"/>
      <c r="E71" s="355" t="s">
        <v>336</v>
      </c>
      <c r="F71" s="355" t="s">
        <v>337</v>
      </c>
      <c r="G71" s="355" t="s">
        <v>338</v>
      </c>
      <c r="H71" s="355" t="s">
        <v>339</v>
      </c>
      <c r="I71" s="355" t="s">
        <v>340</v>
      </c>
      <c r="J71" s="355" t="s">
        <v>341</v>
      </c>
      <c r="K71" s="355" t="s">
        <v>342</v>
      </c>
      <c r="L71" s="355" t="s">
        <v>343</v>
      </c>
      <c r="M71" s="355" t="s">
        <v>344</v>
      </c>
      <c r="N71" s="355" t="s">
        <v>589</v>
      </c>
      <c r="O71" s="355" t="s">
        <v>590</v>
      </c>
      <c r="P71" s="355" t="s">
        <v>591</v>
      </c>
    </row>
    <row r="72" spans="1:25" ht="25.5">
      <c r="A72" s="330"/>
      <c r="E72" s="356"/>
      <c r="F72" s="356"/>
      <c r="G72" s="356" t="str">
        <f>"=(C"&amp;RIGHT(E71)&amp;"-C"&amp;RIGHT(F71)&amp;")*L"&amp;$A$103</f>
        <v>=(C1-C2)*L74</v>
      </c>
      <c r="H72" s="356" t="str">
        <f>"=(C"&amp;RIGHT(E71)&amp;"-C"&amp;RIGHT(F71)&amp;"+C"&amp;RIGHT(G71)&amp;")*L"&amp;$A$107</f>
        <v>=(C1-C2+C3)*L75</v>
      </c>
      <c r="I72" s="356" t="str">
        <f>"=C"&amp;RIGHT(E71)&amp;"-C"&amp;RIGHT(F71)&amp;"+C"&amp;RIGHT(G71)&amp;"-C"&amp;RIGHT(H71)</f>
        <v>=C1-C2+C3-C4</v>
      </c>
      <c r="J72" s="356" t="str">
        <f>"=C"&amp;RIGHT(I71)&amp;"*L"&amp;$A$111</f>
        <v>=C5*L76</v>
      </c>
      <c r="K72" s="658" t="s">
        <v>1339</v>
      </c>
      <c r="L72" s="658" t="s">
        <v>1334</v>
      </c>
      <c r="M72" s="659" t="s">
        <v>1335</v>
      </c>
      <c r="N72" s="356" t="str">
        <f>"=C"&amp;RIGHT(K71)&amp;"-C"&amp;RIGHT(M71)</f>
        <v>=C7-C9</v>
      </c>
      <c r="P72" s="659" t="s">
        <v>1337</v>
      </c>
    </row>
    <row r="73" spans="1:25" ht="13">
      <c r="A73" s="330"/>
      <c r="C73" s="330" t="str">
        <f>C10</f>
        <v>Forecast</v>
      </c>
      <c r="E73" s="330" t="str">
        <f>E10</f>
        <v>Unloaded</v>
      </c>
      <c r="F73" s="330"/>
      <c r="G73" s="330"/>
      <c r="H73" s="330"/>
      <c r="I73" s="330" t="str">
        <f>I10</f>
        <v>AFUDC</v>
      </c>
      <c r="J73" s="330"/>
      <c r="K73" s="330"/>
      <c r="L73" s="330"/>
      <c r="M73" s="330"/>
      <c r="O73" s="330" t="str">
        <f>O10</f>
        <v>Unloaded</v>
      </c>
      <c r="P73" s="330" t="str">
        <f>P10</f>
        <v>Loaded</v>
      </c>
    </row>
    <row r="74" spans="1:25" ht="13">
      <c r="A74" s="330"/>
      <c r="C74" s="330" t="str">
        <f>C11</f>
        <v>Period</v>
      </c>
      <c r="E74" s="330" t="str">
        <f>E11</f>
        <v>Total</v>
      </c>
      <c r="F74" s="330" t="str">
        <f t="shared" ref="F74:H75" si="63">F11</f>
        <v>Prior Period</v>
      </c>
      <c r="G74" s="330" t="str">
        <f t="shared" si="63"/>
        <v>Over Heads</v>
      </c>
      <c r="H74" s="330" t="str">
        <f t="shared" si="63"/>
        <v xml:space="preserve">Cost of </v>
      </c>
      <c r="I74" s="330" t="str">
        <f>I11</f>
        <v>Eligible Plant</v>
      </c>
      <c r="J74" s="330"/>
      <c r="K74" s="330" t="str">
        <f t="shared" ref="K74:M74" si="64">K11</f>
        <v>Incremental</v>
      </c>
      <c r="L74" s="330" t="str">
        <f t="shared" si="64"/>
        <v>Depreciation</v>
      </c>
      <c r="M74" s="330" t="str">
        <f t="shared" si="64"/>
        <v>Incremental</v>
      </c>
      <c r="O74" s="330" t="str">
        <f>O11</f>
        <v>Low Voltage</v>
      </c>
      <c r="P74" s="330" t="str">
        <f>P11</f>
        <v>Low Voltage</v>
      </c>
      <c r="Q74" s="330"/>
    </row>
    <row r="75" spans="1:25" ht="13">
      <c r="A75" s="358" t="s">
        <v>273</v>
      </c>
      <c r="C75" s="348" t="str">
        <f>C12</f>
        <v>Month</v>
      </c>
      <c r="D75" s="348" t="str">
        <f>D12</f>
        <v>Year</v>
      </c>
      <c r="E75" s="348" t="str">
        <f>E12</f>
        <v>Plant Adds</v>
      </c>
      <c r="F75" s="348" t="str">
        <f t="shared" si="63"/>
        <v>CWIP Closed</v>
      </c>
      <c r="G75" s="348" t="str">
        <f t="shared" si="63"/>
        <v>Closed to PIS</v>
      </c>
      <c r="H75" s="348" t="str">
        <f t="shared" si="63"/>
        <v>Removal</v>
      </c>
      <c r="I75" s="348" t="str">
        <f>I12</f>
        <v>Additions</v>
      </c>
      <c r="J75" s="348" t="str">
        <f t="shared" ref="J75:P75" si="65">J12</f>
        <v>AFUDC</v>
      </c>
      <c r="K75" s="348" t="str">
        <f t="shared" si="65"/>
        <v>Gross Plant</v>
      </c>
      <c r="L75" s="348" t="str">
        <f t="shared" si="65"/>
        <v>Accrual</v>
      </c>
      <c r="M75" s="348" t="str">
        <f t="shared" si="65"/>
        <v>Reserve</v>
      </c>
      <c r="N75" s="348" t="str">
        <f t="shared" si="65"/>
        <v>Net Plant</v>
      </c>
      <c r="O75" s="348" t="str">
        <f t="shared" si="65"/>
        <v>Additions</v>
      </c>
      <c r="P75" s="348" t="str">
        <f t="shared" si="65"/>
        <v>Additions</v>
      </c>
      <c r="Q75" s="348"/>
      <c r="S75" s="382"/>
      <c r="T75" s="348"/>
      <c r="U75" s="348"/>
      <c r="V75" s="348"/>
      <c r="W75" s="348"/>
      <c r="X75" s="348"/>
      <c r="Y75" s="348"/>
    </row>
    <row r="76" spans="1:25" ht="13">
      <c r="A76" s="330">
        <f>A68+1</f>
        <v>50</v>
      </c>
      <c r="C76" s="349" t="str">
        <f t="shared" ref="C76:C96" si="66">C45</f>
        <v>January</v>
      </c>
      <c r="D76" s="500">
        <v>2022</v>
      </c>
      <c r="E76" s="365">
        <v>71512454.234176785</v>
      </c>
      <c r="F76" s="365">
        <v>53761855.012586348</v>
      </c>
      <c r="G76" s="325">
        <f>(E76-F76)*$E$103</f>
        <v>1331294.9416192828</v>
      </c>
      <c r="H76" s="325">
        <f>(E76-F76+G76)*$E$107</f>
        <v>1526551.5330567777</v>
      </c>
      <c r="I76" s="325">
        <f>E76-F76+G76-H76</f>
        <v>17555342.630152944</v>
      </c>
      <c r="J76" s="325">
        <f t="shared" ref="J76:J99" si="67">I76*$E$111</f>
        <v>526660.27890458831</v>
      </c>
      <c r="K76" s="325">
        <f>F76+I76+J76</f>
        <v>71843857.921643883</v>
      </c>
      <c r="L76" s="325">
        <v>0</v>
      </c>
      <c r="M76" s="325">
        <f>L76</f>
        <v>0</v>
      </c>
      <c r="N76" s="325">
        <f t="shared" ref="N76:N99" si="68">K76-M76</f>
        <v>71843857.921643883</v>
      </c>
      <c r="O76" s="380">
        <v>788127.52721543598</v>
      </c>
      <c r="P76" s="325">
        <f t="shared" ref="P76:P96" si="69">O76*(1-$E$107)*(1+$E$103+$E$111)</f>
        <v>801210.44416721223</v>
      </c>
      <c r="Q76" s="363"/>
      <c r="R76" s="360"/>
      <c r="S76" s="363"/>
      <c r="T76" s="363"/>
      <c r="U76" s="360"/>
      <c r="V76" s="260"/>
      <c r="W76" s="363"/>
      <c r="X76" s="360"/>
      <c r="Y76" s="260"/>
    </row>
    <row r="77" spans="1:25" ht="13">
      <c r="A77" s="330">
        <f t="shared" si="58"/>
        <v>51</v>
      </c>
      <c r="C77" s="349" t="str">
        <f t="shared" si="66"/>
        <v>February</v>
      </c>
      <c r="D77" s="500">
        <v>2022</v>
      </c>
      <c r="E77" s="365">
        <v>23747845.384176761</v>
      </c>
      <c r="F77" s="365">
        <v>5706772.1625863323</v>
      </c>
      <c r="G77" s="325">
        <f t="shared" ref="G77:G99" si="70">(E77-F77)*$E$103</f>
        <v>1353080.4916192822</v>
      </c>
      <c r="H77" s="325">
        <f t="shared" ref="H77:H99" si="71">(E77-F77+G77)*$E$107</f>
        <v>1551532.2970567769</v>
      </c>
      <c r="I77" s="325">
        <f t="shared" ref="I77:I99" si="72">E77-F77+G77-H77</f>
        <v>17842621.416152935</v>
      </c>
      <c r="J77" s="325">
        <f t="shared" si="67"/>
        <v>535278.64248458808</v>
      </c>
      <c r="K77" s="325">
        <f>K76+J77+I77+F77</f>
        <v>95928530.142867744</v>
      </c>
      <c r="L77" s="325">
        <f t="shared" ref="L77:L99" si="73">K76*$E$133/12</f>
        <v>153175.94086716071</v>
      </c>
      <c r="M77" s="325">
        <f>M76+L77</f>
        <v>153175.94086716071</v>
      </c>
      <c r="N77" s="325">
        <f t="shared" si="68"/>
        <v>95775354.202000588</v>
      </c>
      <c r="O77" s="380">
        <v>1576255.054430872</v>
      </c>
      <c r="P77" s="325">
        <f t="shared" si="69"/>
        <v>1602420.8883344245</v>
      </c>
      <c r="Q77" s="363"/>
      <c r="R77" s="360"/>
      <c r="S77" s="363"/>
      <c r="T77" s="363"/>
      <c r="U77" s="360"/>
      <c r="V77" s="260"/>
      <c r="W77" s="363"/>
      <c r="X77" s="360"/>
      <c r="Y77" s="260"/>
    </row>
    <row r="78" spans="1:25" ht="13">
      <c r="A78" s="330">
        <f t="shared" si="58"/>
        <v>52</v>
      </c>
      <c r="C78" s="349" t="str">
        <f t="shared" si="66"/>
        <v>March</v>
      </c>
      <c r="D78" s="500">
        <v>2022</v>
      </c>
      <c r="E78" s="365">
        <v>17930303.954176754</v>
      </c>
      <c r="F78" s="365">
        <v>2156244.7325863405</v>
      </c>
      <c r="G78" s="325">
        <f t="shared" si="70"/>
        <v>1183054.441619281</v>
      </c>
      <c r="H78" s="325">
        <f t="shared" si="71"/>
        <v>1356569.0930567756</v>
      </c>
      <c r="I78" s="325">
        <f t="shared" si="72"/>
        <v>15600544.57015292</v>
      </c>
      <c r="J78" s="325">
        <f t="shared" si="67"/>
        <v>468016.33710458758</v>
      </c>
      <c r="K78" s="325">
        <f t="shared" ref="K78:K99" si="74">K77+J78+I78+F78</f>
        <v>114153335.7827116</v>
      </c>
      <c r="L78" s="325">
        <f t="shared" si="73"/>
        <v>204526.08317141631</v>
      </c>
      <c r="M78" s="325">
        <f t="shared" ref="M78:M99" si="75">M77+L78</f>
        <v>357702.02403857699</v>
      </c>
      <c r="N78" s="325">
        <f t="shared" si="68"/>
        <v>113795633.75867301</v>
      </c>
      <c r="O78" s="380">
        <v>2364382.5816463078</v>
      </c>
      <c r="P78" s="325">
        <f t="shared" si="69"/>
        <v>2403631.3325016368</v>
      </c>
      <c r="Q78" s="363"/>
      <c r="R78" s="360"/>
      <c r="S78" s="363"/>
      <c r="T78" s="363"/>
      <c r="U78" s="360"/>
      <c r="V78" s="260"/>
      <c r="W78" s="363"/>
      <c r="X78" s="360"/>
      <c r="Y78" s="260"/>
    </row>
    <row r="79" spans="1:25" ht="13">
      <c r="A79" s="330">
        <f t="shared" si="58"/>
        <v>53</v>
      </c>
      <c r="C79" s="349" t="str">
        <f t="shared" si="66"/>
        <v>April</v>
      </c>
      <c r="D79" s="500">
        <v>2022</v>
      </c>
      <c r="E79" s="365">
        <v>40106327.031776756</v>
      </c>
      <c r="F79" s="365">
        <v>23388024.210186336</v>
      </c>
      <c r="G79" s="325">
        <f t="shared" si="70"/>
        <v>1253872.7116192814</v>
      </c>
      <c r="H79" s="325">
        <f t="shared" si="71"/>
        <v>1437774.042656776</v>
      </c>
      <c r="I79" s="325">
        <f t="shared" si="72"/>
        <v>16534401.490552925</v>
      </c>
      <c r="J79" s="325">
        <f t="shared" si="67"/>
        <v>496032.0447165877</v>
      </c>
      <c r="K79" s="325">
        <f t="shared" si="74"/>
        <v>154571793.52816743</v>
      </c>
      <c r="L79" s="325">
        <f t="shared" si="73"/>
        <v>243382.59549914883</v>
      </c>
      <c r="M79" s="325">
        <f t="shared" si="75"/>
        <v>601084.61953772581</v>
      </c>
      <c r="N79" s="325">
        <f t="shared" si="68"/>
        <v>153970708.90862972</v>
      </c>
      <c r="O79" s="380">
        <v>4205672.6964617427</v>
      </c>
      <c r="P79" s="325">
        <f t="shared" si="69"/>
        <v>4275486.8632230079</v>
      </c>
      <c r="Q79" s="363"/>
      <c r="R79" s="360"/>
      <c r="S79" s="363"/>
      <c r="T79" s="363"/>
      <c r="U79" s="360"/>
      <c r="V79" s="260"/>
      <c r="W79" s="363"/>
      <c r="X79" s="360"/>
      <c r="Y79" s="260"/>
    </row>
    <row r="80" spans="1:25" ht="13">
      <c r="A80" s="330">
        <f t="shared" si="58"/>
        <v>54</v>
      </c>
      <c r="C80" s="349" t="str">
        <f t="shared" si="66"/>
        <v>May</v>
      </c>
      <c r="D80" s="500">
        <v>2022</v>
      </c>
      <c r="E80" s="365">
        <v>20792686.880076766</v>
      </c>
      <c r="F80" s="365">
        <v>4764290.838486339</v>
      </c>
      <c r="G80" s="325">
        <f t="shared" si="70"/>
        <v>1202129.7031192819</v>
      </c>
      <c r="H80" s="325">
        <f t="shared" si="71"/>
        <v>1378442.0595767766</v>
      </c>
      <c r="I80" s="325">
        <f t="shared" si="72"/>
        <v>15852083.685132932</v>
      </c>
      <c r="J80" s="325">
        <f t="shared" si="67"/>
        <v>475562.51055398793</v>
      </c>
      <c r="K80" s="325">
        <f t="shared" si="74"/>
        <v>175663730.56234068</v>
      </c>
      <c r="L80" s="325">
        <f t="shared" si="73"/>
        <v>329557.46796092705</v>
      </c>
      <c r="M80" s="325">
        <f t="shared" si="75"/>
        <v>930642.08749865287</v>
      </c>
      <c r="N80" s="325">
        <f t="shared" si="68"/>
        <v>174733088.47484201</v>
      </c>
      <c r="O80" s="380">
        <v>5257245.7836771794</v>
      </c>
      <c r="P80" s="325">
        <f t="shared" si="69"/>
        <v>5344516.0636862209</v>
      </c>
      <c r="Q80" s="363"/>
      <c r="R80" s="360"/>
      <c r="S80" s="363"/>
      <c r="T80" s="363"/>
      <c r="U80" s="360"/>
      <c r="V80" s="260"/>
      <c r="W80" s="363"/>
      <c r="X80" s="360"/>
      <c r="Y80" s="260"/>
    </row>
    <row r="81" spans="1:25" ht="13">
      <c r="A81" s="330">
        <f t="shared" si="58"/>
        <v>55</v>
      </c>
      <c r="C81" s="349" t="str">
        <f t="shared" si="66"/>
        <v xml:space="preserve">June </v>
      </c>
      <c r="D81" s="500">
        <v>2022</v>
      </c>
      <c r="E81" s="365">
        <v>28420568.639176726</v>
      </c>
      <c r="F81" s="365">
        <v>7448662.9175863387</v>
      </c>
      <c r="G81" s="325">
        <f t="shared" si="70"/>
        <v>1572892.9291192791</v>
      </c>
      <c r="H81" s="325">
        <f t="shared" si="71"/>
        <v>1803583.8920567734</v>
      </c>
      <c r="I81" s="325">
        <f t="shared" si="72"/>
        <v>20741214.758652892</v>
      </c>
      <c r="J81" s="325">
        <f t="shared" si="67"/>
        <v>622236.44275958673</v>
      </c>
      <c r="K81" s="325">
        <f t="shared" si="74"/>
        <v>204475844.68133947</v>
      </c>
      <c r="L81" s="325">
        <f t="shared" si="73"/>
        <v>374526.89740671247</v>
      </c>
      <c r="M81" s="325">
        <f t="shared" si="75"/>
        <v>1305168.9849053654</v>
      </c>
      <c r="N81" s="325">
        <f t="shared" si="68"/>
        <v>203170675.69643411</v>
      </c>
      <c r="O81" s="380">
        <v>8671434.3058926128</v>
      </c>
      <c r="P81" s="325">
        <f t="shared" si="69"/>
        <v>8815380.1153704301</v>
      </c>
      <c r="Q81" s="363"/>
      <c r="R81" s="360"/>
      <c r="S81" s="363"/>
      <c r="T81" s="363"/>
      <c r="U81" s="360"/>
      <c r="V81" s="260"/>
      <c r="W81" s="363"/>
      <c r="X81" s="360"/>
      <c r="Y81" s="260"/>
    </row>
    <row r="82" spans="1:25" ht="13">
      <c r="A82" s="330">
        <f t="shared" si="58"/>
        <v>56</v>
      </c>
      <c r="C82" s="349" t="str">
        <f t="shared" si="66"/>
        <v>July</v>
      </c>
      <c r="D82" s="500">
        <v>2022</v>
      </c>
      <c r="E82" s="365">
        <v>16759188.344176799</v>
      </c>
      <c r="F82" s="365">
        <v>1226254.1225863402</v>
      </c>
      <c r="G82" s="325">
        <f t="shared" si="70"/>
        <v>1164970.0666192845</v>
      </c>
      <c r="H82" s="325">
        <f t="shared" si="71"/>
        <v>1335832.3430567796</v>
      </c>
      <c r="I82" s="325">
        <f t="shared" si="72"/>
        <v>15362071.945152964</v>
      </c>
      <c r="J82" s="325">
        <f t="shared" si="67"/>
        <v>460862.1583545889</v>
      </c>
      <c r="K82" s="325">
        <f t="shared" si="74"/>
        <v>221525032.90743336</v>
      </c>
      <c r="L82" s="325">
        <f t="shared" si="73"/>
        <v>435956.26403904194</v>
      </c>
      <c r="M82" s="325">
        <f t="shared" si="75"/>
        <v>1741125.2489444073</v>
      </c>
      <c r="N82" s="325">
        <f t="shared" si="68"/>
        <v>219783907.65848896</v>
      </c>
      <c r="O82" s="380">
        <v>9858346.2331080493</v>
      </c>
      <c r="P82" s="325">
        <f t="shared" si="69"/>
        <v>10021994.780577645</v>
      </c>
      <c r="Q82" s="363"/>
      <c r="R82" s="360"/>
      <c r="S82" s="363"/>
      <c r="T82" s="363"/>
      <c r="U82" s="360"/>
      <c r="V82" s="260"/>
      <c r="W82" s="363"/>
      <c r="X82" s="360"/>
      <c r="Y82" s="260"/>
    </row>
    <row r="83" spans="1:25" ht="13">
      <c r="A83" s="330">
        <f t="shared" si="58"/>
        <v>57</v>
      </c>
      <c r="C83" s="349" t="str">
        <f t="shared" si="66"/>
        <v>August</v>
      </c>
      <c r="D83" s="500">
        <v>2022</v>
      </c>
      <c r="E83" s="365">
        <v>21969933.11417675</v>
      </c>
      <c r="F83" s="365">
        <v>4120154.8925863407</v>
      </c>
      <c r="G83" s="325">
        <f t="shared" si="70"/>
        <v>1338733.3666192808</v>
      </c>
      <c r="H83" s="325">
        <f t="shared" si="71"/>
        <v>1535080.9270567754</v>
      </c>
      <c r="I83" s="325">
        <f t="shared" si="72"/>
        <v>17653430.661152918</v>
      </c>
      <c r="J83" s="325">
        <f t="shared" si="67"/>
        <v>529602.91983458749</v>
      </c>
      <c r="K83" s="325">
        <f t="shared" si="74"/>
        <v>243828221.38100722</v>
      </c>
      <c r="L83" s="325">
        <f t="shared" si="73"/>
        <v>472306.28091037273</v>
      </c>
      <c r="M83" s="325">
        <f t="shared" si="75"/>
        <v>2213431.5298547801</v>
      </c>
      <c r="N83" s="325">
        <f t="shared" si="68"/>
        <v>241614789.85115245</v>
      </c>
      <c r="O83" s="380">
        <v>16176492.070323488</v>
      </c>
      <c r="P83" s="325">
        <f t="shared" si="69"/>
        <v>16445021.838690858</v>
      </c>
      <c r="Q83" s="363"/>
      <c r="R83" s="360"/>
      <c r="S83" s="363"/>
      <c r="T83" s="363"/>
      <c r="U83" s="360"/>
      <c r="V83" s="260"/>
      <c r="W83" s="363"/>
      <c r="X83" s="360"/>
      <c r="Y83" s="260"/>
    </row>
    <row r="84" spans="1:25" ht="13">
      <c r="A84" s="330">
        <f t="shared" si="58"/>
        <v>58</v>
      </c>
      <c r="C84" s="349" t="str">
        <f t="shared" si="66"/>
        <v>September</v>
      </c>
      <c r="D84" s="500">
        <v>2022</v>
      </c>
      <c r="E84" s="365">
        <v>20231184.564176738</v>
      </c>
      <c r="F84" s="365">
        <v>3009981.3425863408</v>
      </c>
      <c r="G84" s="325">
        <f t="shared" si="70"/>
        <v>1291590.2416192796</v>
      </c>
      <c r="H84" s="325">
        <f t="shared" si="71"/>
        <v>1481023.4770567738</v>
      </c>
      <c r="I84" s="325">
        <f t="shared" si="72"/>
        <v>17031769.986152899</v>
      </c>
      <c r="J84" s="325">
        <f t="shared" si="67"/>
        <v>510953.09958458692</v>
      </c>
      <c r="K84" s="325">
        <f t="shared" si="74"/>
        <v>264380925.80933103</v>
      </c>
      <c r="L84" s="325">
        <f t="shared" si="73"/>
        <v>519858.1799537575</v>
      </c>
      <c r="M84" s="325">
        <f t="shared" si="75"/>
        <v>2733289.7098085377</v>
      </c>
      <c r="N84" s="325">
        <f t="shared" si="68"/>
        <v>261647636.0995225</v>
      </c>
      <c r="O84" s="380">
        <v>17371190.697538923</v>
      </c>
      <c r="P84" s="325">
        <f t="shared" si="69"/>
        <v>17659552.463118069</v>
      </c>
      <c r="Q84" s="363"/>
      <c r="R84" s="360"/>
      <c r="S84" s="363"/>
      <c r="T84" s="363"/>
      <c r="U84" s="360"/>
      <c r="V84" s="260"/>
      <c r="W84" s="363"/>
      <c r="X84" s="360"/>
      <c r="Y84" s="260"/>
    </row>
    <row r="85" spans="1:25" ht="13">
      <c r="A85" s="330">
        <f t="shared" si="58"/>
        <v>59</v>
      </c>
      <c r="C85" s="349" t="str">
        <f t="shared" si="66"/>
        <v xml:space="preserve">October </v>
      </c>
      <c r="D85" s="500">
        <v>2022</v>
      </c>
      <c r="E85" s="365">
        <v>18666411.12417677</v>
      </c>
      <c r="F85" s="365">
        <v>2311492.9025863409</v>
      </c>
      <c r="G85" s="325">
        <f t="shared" si="70"/>
        <v>1226618.8666192822</v>
      </c>
      <c r="H85" s="325">
        <f t="shared" si="71"/>
        <v>1406522.9670567769</v>
      </c>
      <c r="I85" s="325">
        <f t="shared" si="72"/>
        <v>16175014.121152934</v>
      </c>
      <c r="J85" s="325">
        <f t="shared" si="67"/>
        <v>485250.42363458802</v>
      </c>
      <c r="K85" s="325">
        <f t="shared" si="74"/>
        <v>283352683.25670487</v>
      </c>
      <c r="L85" s="325">
        <f t="shared" si="73"/>
        <v>563677.92918836442</v>
      </c>
      <c r="M85" s="325">
        <f t="shared" si="75"/>
        <v>3296967.6389969019</v>
      </c>
      <c r="N85" s="325">
        <f t="shared" si="68"/>
        <v>280055715.61770797</v>
      </c>
      <c r="O85" s="380">
        <v>19440491.504754361</v>
      </c>
      <c r="P85" s="325">
        <f t="shared" si="69"/>
        <v>19763203.663733281</v>
      </c>
      <c r="Q85" s="363"/>
      <c r="R85" s="360"/>
      <c r="S85" s="363"/>
      <c r="T85" s="363"/>
      <c r="U85" s="360"/>
      <c r="V85" s="260"/>
      <c r="W85" s="363"/>
      <c r="X85" s="360"/>
      <c r="Y85" s="260"/>
    </row>
    <row r="86" spans="1:25" ht="13">
      <c r="A86" s="330">
        <f t="shared" si="58"/>
        <v>60</v>
      </c>
      <c r="C86" s="349" t="str">
        <f t="shared" si="66"/>
        <v>November</v>
      </c>
      <c r="D86" s="500">
        <v>2022</v>
      </c>
      <c r="E86" s="365">
        <v>28845349.089976788</v>
      </c>
      <c r="F86" s="365">
        <v>5633314.7183863511</v>
      </c>
      <c r="G86" s="325">
        <f t="shared" si="70"/>
        <v>1740902.5778692826</v>
      </c>
      <c r="H86" s="325">
        <f t="shared" si="71"/>
        <v>1996234.9559567773</v>
      </c>
      <c r="I86" s="325">
        <f t="shared" si="72"/>
        <v>22956701.993502941</v>
      </c>
      <c r="J86" s="325">
        <f t="shared" si="67"/>
        <v>688701.05980508821</v>
      </c>
      <c r="K86" s="325">
        <f t="shared" si="74"/>
        <v>312631401.02839923</v>
      </c>
      <c r="L86" s="325">
        <f t="shared" si="73"/>
        <v>604126.99304674577</v>
      </c>
      <c r="M86" s="325">
        <f t="shared" si="75"/>
        <v>3901094.6320436476</v>
      </c>
      <c r="N86" s="325">
        <f t="shared" si="68"/>
        <v>308730306.39635557</v>
      </c>
      <c r="O86" s="380">
        <v>20368618.277769797</v>
      </c>
      <c r="P86" s="325">
        <f t="shared" si="69"/>
        <v>20706737.341180779</v>
      </c>
      <c r="Q86" s="363"/>
      <c r="R86" s="360"/>
      <c r="S86" s="363"/>
      <c r="T86" s="363"/>
      <c r="U86" s="360"/>
      <c r="V86" s="260"/>
      <c r="W86" s="363"/>
      <c r="X86" s="360"/>
      <c r="Y86" s="260"/>
    </row>
    <row r="87" spans="1:25" ht="13">
      <c r="A87" s="330">
        <f t="shared" si="58"/>
        <v>61</v>
      </c>
      <c r="C87" s="349" t="str">
        <f t="shared" si="66"/>
        <v>December</v>
      </c>
      <c r="D87" s="500">
        <v>2022</v>
      </c>
      <c r="E87" s="365">
        <v>28450621.164976716</v>
      </c>
      <c r="F87" s="365">
        <v>2293499.5833863392</v>
      </c>
      <c r="G87" s="325">
        <f t="shared" si="70"/>
        <v>1961784.1186192781</v>
      </c>
      <c r="H87" s="325">
        <f t="shared" si="71"/>
        <v>2249512.4560167724</v>
      </c>
      <c r="I87" s="325">
        <f t="shared" si="72"/>
        <v>25869393.244192883</v>
      </c>
      <c r="J87" s="325">
        <f t="shared" si="67"/>
        <v>776081.79732578644</v>
      </c>
      <c r="K87" s="325">
        <f t="shared" si="74"/>
        <v>341570375.65330428</v>
      </c>
      <c r="L87" s="325">
        <f t="shared" si="73"/>
        <v>666551.19007350702</v>
      </c>
      <c r="M87" s="325">
        <f t="shared" si="75"/>
        <v>4567645.8221171545</v>
      </c>
      <c r="N87" s="325">
        <f t="shared" si="68"/>
        <v>337002729.83118713</v>
      </c>
      <c r="O87" s="380">
        <v>21156745.804985233</v>
      </c>
      <c r="P87" s="325">
        <f t="shared" si="69"/>
        <v>21507947.785347987</v>
      </c>
      <c r="Q87" s="363"/>
      <c r="R87" s="360"/>
      <c r="S87" s="363"/>
      <c r="T87" s="363"/>
      <c r="U87" s="360"/>
      <c r="V87" s="260"/>
      <c r="W87" s="363"/>
      <c r="X87" s="360"/>
      <c r="Y87" s="260"/>
    </row>
    <row r="88" spans="1:25" ht="13">
      <c r="A88" s="330">
        <f t="shared" si="58"/>
        <v>62</v>
      </c>
      <c r="C88" s="349" t="str">
        <f t="shared" si="66"/>
        <v>January</v>
      </c>
      <c r="D88" s="500">
        <v>2023</v>
      </c>
      <c r="E88" s="365">
        <v>21024961.965763211</v>
      </c>
      <c r="F88" s="365">
        <v>673163.75999999989</v>
      </c>
      <c r="G88" s="325">
        <f t="shared" si="70"/>
        <v>1526384.8654322408</v>
      </c>
      <c r="H88" s="325">
        <f t="shared" si="71"/>
        <v>1750254.645695636</v>
      </c>
      <c r="I88" s="325">
        <f t="shared" si="72"/>
        <v>20127928.425499812</v>
      </c>
      <c r="J88" s="325">
        <f t="shared" si="67"/>
        <v>603837.85276499437</v>
      </c>
      <c r="K88" s="325">
        <f t="shared" si="74"/>
        <v>362975305.69156909</v>
      </c>
      <c r="L88" s="325">
        <f t="shared" si="73"/>
        <v>728251.03184335306</v>
      </c>
      <c r="M88" s="325">
        <f t="shared" si="75"/>
        <v>5295896.8539605075</v>
      </c>
      <c r="N88" s="325">
        <f t="shared" si="68"/>
        <v>357679408.83760858</v>
      </c>
      <c r="O88" s="380">
        <v>21917843.073249575</v>
      </c>
      <c r="P88" s="325">
        <f t="shared" si="69"/>
        <v>22281679.268265519</v>
      </c>
      <c r="Q88" s="363"/>
      <c r="R88" s="360"/>
      <c r="S88" s="363"/>
      <c r="T88" s="363"/>
      <c r="U88" s="360"/>
      <c r="V88" s="260"/>
      <c r="W88" s="363"/>
      <c r="X88" s="360"/>
      <c r="Y88" s="260"/>
    </row>
    <row r="89" spans="1:25" ht="13">
      <c r="A89" s="330">
        <f t="shared" si="58"/>
        <v>63</v>
      </c>
      <c r="C89" s="349" t="str">
        <f t="shared" si="66"/>
        <v>February</v>
      </c>
      <c r="D89" s="500">
        <v>2023</v>
      </c>
      <c r="E89" s="365">
        <v>19272258.19576323</v>
      </c>
      <c r="F89" s="365">
        <v>38924.990000000005</v>
      </c>
      <c r="G89" s="325">
        <f t="shared" si="70"/>
        <v>1442499.9904322424</v>
      </c>
      <c r="H89" s="325">
        <f t="shared" si="71"/>
        <v>1654066.6556956382</v>
      </c>
      <c r="I89" s="325">
        <f t="shared" si="72"/>
        <v>19021766.540499836</v>
      </c>
      <c r="J89" s="325">
        <f t="shared" si="67"/>
        <v>570652.99621499504</v>
      </c>
      <c r="K89" s="325">
        <f t="shared" si="74"/>
        <v>382606650.21828389</v>
      </c>
      <c r="L89" s="325">
        <f t="shared" si="73"/>
        <v>773887.78344128199</v>
      </c>
      <c r="M89" s="325">
        <f t="shared" si="75"/>
        <v>6069784.6374017894</v>
      </c>
      <c r="N89" s="325">
        <f t="shared" si="68"/>
        <v>376536865.58088207</v>
      </c>
      <c r="O89" s="380">
        <v>22678940.341513921</v>
      </c>
      <c r="P89" s="325">
        <f t="shared" si="69"/>
        <v>23055410.751183052</v>
      </c>
      <c r="Q89" s="363"/>
      <c r="R89" s="360"/>
      <c r="S89" s="363"/>
      <c r="T89" s="363"/>
      <c r="U89" s="360"/>
      <c r="V89" s="260"/>
      <c r="W89" s="363"/>
      <c r="X89" s="360"/>
      <c r="Y89" s="260"/>
    </row>
    <row r="90" spans="1:25" ht="13">
      <c r="A90" s="330">
        <f t="shared" si="58"/>
        <v>64</v>
      </c>
      <c r="C90" s="349" t="str">
        <f t="shared" si="66"/>
        <v>March</v>
      </c>
      <c r="D90" s="500">
        <v>2023</v>
      </c>
      <c r="E90" s="365">
        <v>18007566.725763261</v>
      </c>
      <c r="F90" s="365">
        <v>1233.52</v>
      </c>
      <c r="G90" s="325">
        <f t="shared" si="70"/>
        <v>1350474.9904322445</v>
      </c>
      <c r="H90" s="325">
        <f t="shared" si="71"/>
        <v>1548544.6556956405</v>
      </c>
      <c r="I90" s="325">
        <f t="shared" si="72"/>
        <v>17808263.540499866</v>
      </c>
      <c r="J90" s="325">
        <f t="shared" si="67"/>
        <v>534247.90621499601</v>
      </c>
      <c r="K90" s="325">
        <f t="shared" si="74"/>
        <v>400950395.18499875</v>
      </c>
      <c r="L90" s="325">
        <f t="shared" si="73"/>
        <v>815743.13134933205</v>
      </c>
      <c r="M90" s="325">
        <f t="shared" si="75"/>
        <v>6885527.7687511211</v>
      </c>
      <c r="N90" s="325">
        <f t="shared" si="68"/>
        <v>394064867.41624761</v>
      </c>
      <c r="O90" s="380">
        <v>23440037.609778266</v>
      </c>
      <c r="P90" s="325">
        <f t="shared" si="69"/>
        <v>23829142.234100588</v>
      </c>
      <c r="Q90" s="363"/>
      <c r="R90" s="360"/>
      <c r="S90" s="363"/>
      <c r="T90" s="363"/>
      <c r="U90" s="360"/>
      <c r="V90" s="260"/>
      <c r="W90" s="363"/>
      <c r="X90" s="360"/>
      <c r="Y90" s="260"/>
    </row>
    <row r="91" spans="1:25" ht="13">
      <c r="A91" s="330">
        <f t="shared" si="58"/>
        <v>65</v>
      </c>
      <c r="C91" s="349" t="str">
        <f t="shared" si="66"/>
        <v>April</v>
      </c>
      <c r="D91" s="500">
        <v>2023</v>
      </c>
      <c r="E91" s="365">
        <v>18632904.145763159</v>
      </c>
      <c r="F91" s="365">
        <v>173570.94</v>
      </c>
      <c r="G91" s="325">
        <f t="shared" si="70"/>
        <v>1384449.9904322368</v>
      </c>
      <c r="H91" s="325">
        <f t="shared" si="71"/>
        <v>1587502.6556956316</v>
      </c>
      <c r="I91" s="325">
        <f t="shared" si="72"/>
        <v>18256280.540499762</v>
      </c>
      <c r="J91" s="325">
        <f t="shared" si="67"/>
        <v>547688.41621499287</v>
      </c>
      <c r="K91" s="325">
        <f t="shared" si="74"/>
        <v>419927935.0817135</v>
      </c>
      <c r="L91" s="325">
        <f t="shared" si="73"/>
        <v>854853.2303277069</v>
      </c>
      <c r="M91" s="325">
        <f t="shared" si="75"/>
        <v>7740380.9990788279</v>
      </c>
      <c r="N91" s="325">
        <f t="shared" si="68"/>
        <v>412187554.08263469</v>
      </c>
      <c r="O91" s="380">
        <v>24201134.878042608</v>
      </c>
      <c r="P91" s="325">
        <f t="shared" si="69"/>
        <v>24602873.717018116</v>
      </c>
      <c r="Q91" s="363"/>
      <c r="R91" s="360"/>
      <c r="S91" s="363"/>
      <c r="T91" s="363"/>
      <c r="U91" s="360"/>
      <c r="V91" s="260"/>
      <c r="W91" s="363"/>
      <c r="X91" s="360"/>
      <c r="Y91" s="260"/>
    </row>
    <row r="92" spans="1:25" ht="13">
      <c r="A92" s="330">
        <f t="shared" si="58"/>
        <v>66</v>
      </c>
      <c r="C92" s="349" t="str">
        <f t="shared" si="66"/>
        <v>May</v>
      </c>
      <c r="D92" s="500">
        <v>2023</v>
      </c>
      <c r="E92" s="365">
        <v>32209138.415763259</v>
      </c>
      <c r="F92" s="365">
        <v>-126866.78999999988</v>
      </c>
      <c r="G92" s="325">
        <f t="shared" si="70"/>
        <v>2425200.3904322442</v>
      </c>
      <c r="H92" s="325">
        <f t="shared" si="71"/>
        <v>2780896.4476956404</v>
      </c>
      <c r="I92" s="325">
        <f t="shared" si="72"/>
        <v>31980309.148499865</v>
      </c>
      <c r="J92" s="325">
        <f t="shared" si="67"/>
        <v>959409.27445499587</v>
      </c>
      <c r="K92" s="325">
        <f t="shared" si="74"/>
        <v>452740786.71466833</v>
      </c>
      <c r="L92" s="325">
        <f t="shared" si="73"/>
        <v>895314.62275729713</v>
      </c>
      <c r="M92" s="325">
        <f t="shared" si="75"/>
        <v>8635695.6218361259</v>
      </c>
      <c r="N92" s="325">
        <f t="shared" si="68"/>
        <v>444105091.09283221</v>
      </c>
      <c r="O92" s="380">
        <v>25281028.496306952</v>
      </c>
      <c r="P92" s="325">
        <f t="shared" si="69"/>
        <v>25700693.569345646</v>
      </c>
      <c r="Q92" s="363"/>
      <c r="R92" s="360"/>
      <c r="S92" s="363"/>
      <c r="T92" s="363"/>
      <c r="U92" s="360"/>
      <c r="V92" s="260"/>
      <c r="W92" s="363"/>
      <c r="X92" s="360"/>
      <c r="Y92" s="260"/>
    </row>
    <row r="93" spans="1:25" ht="13">
      <c r="A93" s="330">
        <f t="shared" si="58"/>
        <v>67</v>
      </c>
      <c r="C93" s="349" t="str">
        <f t="shared" si="66"/>
        <v xml:space="preserve">June </v>
      </c>
      <c r="D93" s="500">
        <v>2023</v>
      </c>
      <c r="E93" s="365">
        <v>50865595.845763206</v>
      </c>
      <c r="F93" s="365">
        <v>12050330.640000001</v>
      </c>
      <c r="G93" s="325">
        <f t="shared" si="70"/>
        <v>2911144.8904322404</v>
      </c>
      <c r="H93" s="325">
        <f t="shared" si="71"/>
        <v>3338112.8076956356</v>
      </c>
      <c r="I93" s="325">
        <f t="shared" si="72"/>
        <v>38388297.28849981</v>
      </c>
      <c r="J93" s="325">
        <f t="shared" si="67"/>
        <v>1151648.9186549943</v>
      </c>
      <c r="K93" s="325">
        <f t="shared" si="74"/>
        <v>504331063.56182313</v>
      </c>
      <c r="L93" s="325">
        <f t="shared" si="73"/>
        <v>965273.83105724875</v>
      </c>
      <c r="M93" s="325">
        <f t="shared" si="75"/>
        <v>9600969.4528933745</v>
      </c>
      <c r="N93" s="325">
        <f t="shared" si="68"/>
        <v>494730094.10892975</v>
      </c>
      <c r="O93" s="380">
        <v>26042125.764571298</v>
      </c>
      <c r="P93" s="325">
        <f t="shared" si="69"/>
        <v>26474425.052263182</v>
      </c>
      <c r="Q93" s="363"/>
      <c r="R93" s="360"/>
      <c r="S93" s="363"/>
      <c r="T93" s="363"/>
      <c r="U93" s="360"/>
      <c r="V93" s="260"/>
      <c r="W93" s="363"/>
      <c r="X93" s="360"/>
      <c r="Y93" s="260"/>
    </row>
    <row r="94" spans="1:25" ht="13">
      <c r="A94" s="330">
        <f t="shared" si="58"/>
        <v>68</v>
      </c>
      <c r="C94" s="349" t="str">
        <f t="shared" si="66"/>
        <v>July</v>
      </c>
      <c r="D94" s="500">
        <v>2023</v>
      </c>
      <c r="E94" s="365">
        <v>17959333.205763161</v>
      </c>
      <c r="F94" s="365">
        <v>0</v>
      </c>
      <c r="G94" s="325">
        <f t="shared" si="70"/>
        <v>1346949.990432237</v>
      </c>
      <c r="H94" s="325">
        <f t="shared" si="71"/>
        <v>1544502.6556956319</v>
      </c>
      <c r="I94" s="325">
        <f t="shared" si="72"/>
        <v>17761780.540499765</v>
      </c>
      <c r="J94" s="325">
        <f t="shared" si="67"/>
        <v>532853.41621499299</v>
      </c>
      <c r="K94" s="325">
        <f t="shared" si="74"/>
        <v>522625697.51853788</v>
      </c>
      <c r="L94" s="325">
        <f t="shared" si="73"/>
        <v>1075267.7738140386</v>
      </c>
      <c r="M94" s="325">
        <f t="shared" si="75"/>
        <v>10676237.226707414</v>
      </c>
      <c r="N94" s="325">
        <f t="shared" si="68"/>
        <v>511949460.29183048</v>
      </c>
      <c r="O94" s="380">
        <v>26803223.03283564</v>
      </c>
      <c r="P94" s="325">
        <f t="shared" si="69"/>
        <v>27248156.53518071</v>
      </c>
      <c r="Q94" s="363"/>
      <c r="R94" s="360"/>
      <c r="S94" s="363"/>
      <c r="T94" s="363"/>
      <c r="U94" s="360"/>
      <c r="V94" s="260"/>
      <c r="W94" s="363"/>
      <c r="X94" s="360"/>
      <c r="Y94" s="260"/>
    </row>
    <row r="95" spans="1:25" ht="13">
      <c r="A95" s="330">
        <f t="shared" si="58"/>
        <v>69</v>
      </c>
      <c r="C95" s="349" t="str">
        <f t="shared" si="66"/>
        <v>August</v>
      </c>
      <c r="D95" s="500">
        <v>2023</v>
      </c>
      <c r="E95" s="365">
        <v>18275188.355763257</v>
      </c>
      <c r="F95" s="365">
        <v>1601.15</v>
      </c>
      <c r="G95" s="325">
        <f t="shared" si="70"/>
        <v>1370519.0404322443</v>
      </c>
      <c r="H95" s="325">
        <f t="shared" si="71"/>
        <v>1571528.4996956403</v>
      </c>
      <c r="I95" s="325">
        <f t="shared" si="72"/>
        <v>18072577.746499863</v>
      </c>
      <c r="J95" s="325">
        <f t="shared" si="67"/>
        <v>542177.33239499584</v>
      </c>
      <c r="K95" s="325">
        <f t="shared" si="74"/>
        <v>541242053.74743271</v>
      </c>
      <c r="L95" s="325">
        <f t="shared" si="73"/>
        <v>1114273.1648134529</v>
      </c>
      <c r="M95" s="325">
        <f t="shared" si="75"/>
        <v>11790510.391520867</v>
      </c>
      <c r="N95" s="325">
        <f t="shared" si="68"/>
        <v>529451543.35591185</v>
      </c>
      <c r="O95" s="380">
        <v>27564320.301099986</v>
      </c>
      <c r="P95" s="325">
        <f t="shared" si="69"/>
        <v>28021888.018098246</v>
      </c>
      <c r="Q95" s="363"/>
      <c r="R95" s="360"/>
      <c r="S95" s="363"/>
      <c r="T95" s="363"/>
      <c r="U95" s="360"/>
      <c r="V95" s="260"/>
      <c r="W95" s="363"/>
      <c r="X95" s="360"/>
      <c r="Y95" s="260"/>
    </row>
    <row r="96" spans="1:25" ht="13">
      <c r="A96" s="330">
        <f t="shared" si="58"/>
        <v>70</v>
      </c>
      <c r="C96" s="349" t="str">
        <f t="shared" si="66"/>
        <v>September</v>
      </c>
      <c r="D96" s="500">
        <v>2023</v>
      </c>
      <c r="E96" s="365">
        <v>22152621.325763166</v>
      </c>
      <c r="F96" s="365">
        <v>432423.12000000023</v>
      </c>
      <c r="G96" s="325">
        <f t="shared" si="70"/>
        <v>1629014.8654322373</v>
      </c>
      <c r="H96" s="325">
        <f t="shared" si="71"/>
        <v>1867937.0456956322</v>
      </c>
      <c r="I96" s="325">
        <f t="shared" si="72"/>
        <v>21481276.025499769</v>
      </c>
      <c r="J96" s="325">
        <f t="shared" si="67"/>
        <v>644438.28076499305</v>
      </c>
      <c r="K96" s="325">
        <f t="shared" si="74"/>
        <v>563800191.17369747</v>
      </c>
      <c r="L96" s="325">
        <f t="shared" si="73"/>
        <v>1153964.4893521385</v>
      </c>
      <c r="M96" s="325">
        <f t="shared" si="75"/>
        <v>12944474.880873006</v>
      </c>
      <c r="N96" s="325">
        <f t="shared" si="68"/>
        <v>550855716.29282451</v>
      </c>
      <c r="O96" s="380">
        <v>28325417.569364332</v>
      </c>
      <c r="P96" s="325">
        <f t="shared" si="69"/>
        <v>28795619.501015779</v>
      </c>
      <c r="Q96" s="363"/>
      <c r="R96" s="360"/>
      <c r="S96" s="363"/>
      <c r="T96" s="363"/>
      <c r="U96" s="360"/>
      <c r="V96" s="260"/>
      <c r="W96" s="363"/>
      <c r="X96" s="360"/>
      <c r="Y96" s="260"/>
    </row>
    <row r="97" spans="1:25" ht="13">
      <c r="A97" s="330">
        <f t="shared" si="58"/>
        <v>71</v>
      </c>
      <c r="C97" s="349" t="str">
        <f t="shared" ref="C97:C99" si="76">C66</f>
        <v>October</v>
      </c>
      <c r="D97" s="500">
        <v>2023</v>
      </c>
      <c r="E97" s="365">
        <v>19785784.905763268</v>
      </c>
      <c r="F97" s="365">
        <v>26811.699999999993</v>
      </c>
      <c r="G97" s="325">
        <f t="shared" si="70"/>
        <v>1481922.9904322452</v>
      </c>
      <c r="H97" s="325">
        <f t="shared" si="71"/>
        <v>1699271.695695641</v>
      </c>
      <c r="I97" s="325">
        <f t="shared" si="72"/>
        <v>19541624.500499871</v>
      </c>
      <c r="J97" s="325">
        <f t="shared" si="67"/>
        <v>586248.73501499614</v>
      </c>
      <c r="K97" s="325">
        <f t="shared" si="74"/>
        <v>583954876.1092124</v>
      </c>
      <c r="L97" s="325">
        <f t="shared" si="73"/>
        <v>1202059.9567231613</v>
      </c>
      <c r="M97" s="325">
        <f t="shared" si="75"/>
        <v>14146534.837596167</v>
      </c>
      <c r="N97" s="325">
        <f t="shared" si="68"/>
        <v>569808341.27161622</v>
      </c>
      <c r="O97" s="380">
        <v>29086514.837628674</v>
      </c>
      <c r="P97" s="325">
        <f t="shared" ref="P97:P99" si="77">O97*(1-$E$107)*(1+$E$103+$E$111)</f>
        <v>29569350.983933311</v>
      </c>
      <c r="Q97" s="363"/>
      <c r="R97" s="360"/>
      <c r="S97" s="363"/>
      <c r="T97" s="363"/>
      <c r="U97" s="360"/>
      <c r="V97" s="260"/>
      <c r="W97" s="363"/>
      <c r="X97" s="360"/>
      <c r="Y97" s="260"/>
    </row>
    <row r="98" spans="1:25" ht="13">
      <c r="A98" s="330">
        <f t="shared" si="58"/>
        <v>72</v>
      </c>
      <c r="C98" s="349" t="str">
        <f t="shared" si="76"/>
        <v>November</v>
      </c>
      <c r="D98" s="500">
        <v>2023</v>
      </c>
      <c r="E98" s="365">
        <v>21902206.844763041</v>
      </c>
      <c r="F98" s="365">
        <v>36632.48899999998</v>
      </c>
      <c r="G98" s="325">
        <f t="shared" si="70"/>
        <v>1639918.0766822279</v>
      </c>
      <c r="H98" s="325">
        <f t="shared" si="71"/>
        <v>1880439.3945956216</v>
      </c>
      <c r="I98" s="325">
        <f t="shared" si="72"/>
        <v>21625053.037849646</v>
      </c>
      <c r="J98" s="325">
        <f t="shared" si="67"/>
        <v>648751.59113548941</v>
      </c>
      <c r="K98" s="325">
        <f t="shared" si="74"/>
        <v>606265313.22719753</v>
      </c>
      <c r="L98" s="325">
        <f t="shared" si="73"/>
        <v>1245031.1016085839</v>
      </c>
      <c r="M98" s="325">
        <f t="shared" si="75"/>
        <v>15391565.939204751</v>
      </c>
      <c r="N98" s="325">
        <f t="shared" si="68"/>
        <v>590873747.28799284</v>
      </c>
      <c r="O98" s="380">
        <v>29847612.10589302</v>
      </c>
      <c r="P98" s="325">
        <f t="shared" si="77"/>
        <v>30343082.466850843</v>
      </c>
      <c r="Q98" s="363"/>
      <c r="R98" s="360"/>
      <c r="S98" s="363"/>
      <c r="T98" s="363"/>
      <c r="U98" s="360"/>
      <c r="V98" s="260"/>
      <c r="W98" s="363"/>
      <c r="X98" s="360"/>
      <c r="Y98" s="260"/>
    </row>
    <row r="99" spans="1:25" ht="13">
      <c r="A99" s="330">
        <f t="shared" si="58"/>
        <v>73</v>
      </c>
      <c r="C99" s="349" t="str">
        <f t="shared" si="76"/>
        <v>December</v>
      </c>
      <c r="D99" s="500">
        <v>2023</v>
      </c>
      <c r="E99" s="365">
        <v>48124776.925763249</v>
      </c>
      <c r="F99" s="365">
        <v>372684.72000000032</v>
      </c>
      <c r="G99" s="325">
        <f t="shared" si="70"/>
        <v>3581406.9154322436</v>
      </c>
      <c r="H99" s="325">
        <f t="shared" si="71"/>
        <v>4106679.9296956398</v>
      </c>
      <c r="I99" s="325">
        <f t="shared" si="72"/>
        <v>47226819.191499859</v>
      </c>
      <c r="J99" s="325">
        <f t="shared" si="67"/>
        <v>1416804.5757449956</v>
      </c>
      <c r="K99" s="325">
        <f t="shared" si="74"/>
        <v>655281621.71444237</v>
      </c>
      <c r="L99" s="325">
        <f t="shared" si="73"/>
        <v>1292598.4552497568</v>
      </c>
      <c r="M99" s="325">
        <f t="shared" si="75"/>
        <v>16684164.394454507</v>
      </c>
      <c r="N99" s="325">
        <f t="shared" si="68"/>
        <v>638597457.31998789</v>
      </c>
      <c r="O99" s="380">
        <v>30608709.374157362</v>
      </c>
      <c r="P99" s="325">
        <f t="shared" si="77"/>
        <v>31116813.949768376</v>
      </c>
      <c r="Q99" s="363"/>
      <c r="R99" s="360"/>
      <c r="S99" s="363"/>
      <c r="T99" s="363"/>
      <c r="U99" s="360"/>
      <c r="V99" s="260"/>
      <c r="W99" s="363"/>
      <c r="X99" s="360"/>
      <c r="Y99" s="260"/>
    </row>
    <row r="100" spans="1:25" ht="13">
      <c r="A100" s="330"/>
      <c r="O100" s="360"/>
    </row>
    <row r="101" spans="1:25" ht="13">
      <c r="A101" s="330"/>
      <c r="B101" s="327" t="s">
        <v>1340</v>
      </c>
    </row>
    <row r="102" spans="1:25" ht="13">
      <c r="A102" s="358" t="s">
        <v>273</v>
      </c>
      <c r="F102" s="383"/>
    </row>
    <row r="103" spans="1:25" ht="13">
      <c r="A103" s="330">
        <f>A99+1</f>
        <v>74</v>
      </c>
      <c r="C103" s="324" t="s">
        <v>1341</v>
      </c>
      <c r="E103" s="366">
        <v>7.4999999999999997E-2</v>
      </c>
    </row>
    <row r="105" spans="1:25" ht="13">
      <c r="A105" s="330"/>
      <c r="B105" s="327" t="s">
        <v>1342</v>
      </c>
    </row>
    <row r="106" spans="1:25" ht="13">
      <c r="A106" s="358" t="s">
        <v>273</v>
      </c>
      <c r="F106" s="383"/>
    </row>
    <row r="107" spans="1:25" ht="13">
      <c r="A107" s="330">
        <f>A103+1</f>
        <v>75</v>
      </c>
      <c r="B107" s="327"/>
      <c r="C107" s="324" t="s">
        <v>1343</v>
      </c>
      <c r="E107" s="366">
        <v>0.08</v>
      </c>
    </row>
    <row r="108" spans="1:25" ht="13">
      <c r="A108" s="330"/>
      <c r="C108" s="324"/>
    </row>
    <row r="109" spans="1:25" ht="13">
      <c r="B109" s="327" t="s">
        <v>1344</v>
      </c>
    </row>
    <row r="110" spans="1:25" ht="13">
      <c r="A110" s="358" t="s">
        <v>273</v>
      </c>
      <c r="F110" s="383"/>
    </row>
    <row r="111" spans="1:25" ht="13">
      <c r="A111" s="330">
        <f>A107+1</f>
        <v>76</v>
      </c>
      <c r="C111" s="324" t="s">
        <v>1345</v>
      </c>
      <c r="E111" s="366">
        <v>0.03</v>
      </c>
    </row>
    <row r="113" spans="1:9" ht="13">
      <c r="B113" s="327" t="s">
        <v>1346</v>
      </c>
    </row>
    <row r="114" spans="1:9" s="348" customFormat="1" ht="13">
      <c r="C114" s="349" t="s">
        <v>1347</v>
      </c>
      <c r="F114" s="367"/>
    </row>
    <row r="115" spans="1:9" s="330" customFormat="1" ht="13">
      <c r="B115" s="348" t="s">
        <v>336</v>
      </c>
      <c r="C115" s="348" t="s">
        <v>337</v>
      </c>
      <c r="D115" s="348" t="s">
        <v>338</v>
      </c>
      <c r="E115" s="348" t="s">
        <v>339</v>
      </c>
      <c r="F115" s="348"/>
    </row>
    <row r="116" spans="1:9" s="348" customFormat="1" ht="13">
      <c r="C116" s="330" t="s">
        <v>379</v>
      </c>
      <c r="E116" s="357" t="s">
        <v>1348</v>
      </c>
    </row>
    <row r="117" spans="1:9" ht="13">
      <c r="A117" s="330"/>
      <c r="B117" s="330"/>
      <c r="C117" s="330" t="str">
        <f>"Prior Year"</f>
        <v>Prior Year</v>
      </c>
      <c r="D117" s="330" t="s">
        <v>1328</v>
      </c>
      <c r="E117" s="330" t="s">
        <v>620</v>
      </c>
      <c r="F117" s="330" t="s">
        <v>1349</v>
      </c>
    </row>
    <row r="118" spans="1:9" ht="13">
      <c r="A118" s="348" t="s">
        <v>273</v>
      </c>
      <c r="B118" s="348" t="s">
        <v>1350</v>
      </c>
      <c r="C118" s="348" t="s">
        <v>1351</v>
      </c>
      <c r="D118" s="348" t="s">
        <v>376</v>
      </c>
      <c r="E118" s="348" t="s">
        <v>1328</v>
      </c>
      <c r="F118" s="3" t="s">
        <v>251</v>
      </c>
    </row>
    <row r="119" spans="1:9" ht="13">
      <c r="A119" s="330">
        <f>A111+1</f>
        <v>77</v>
      </c>
      <c r="B119" s="330">
        <v>350.1</v>
      </c>
      <c r="C119" s="384">
        <f>'17-Depreciation'!C24</f>
        <v>96071392.775337934</v>
      </c>
      <c r="D119" s="512">
        <f>'18-DepRates'!G6</f>
        <v>0</v>
      </c>
      <c r="E119" s="385">
        <f>C119*D119</f>
        <v>0</v>
      </c>
      <c r="F119" s="657" t="s">
        <v>1352</v>
      </c>
      <c r="H119" s="384"/>
      <c r="I119" s="382"/>
    </row>
    <row r="120" spans="1:9" ht="13">
      <c r="A120" s="330">
        <f>A119+1</f>
        <v>78</v>
      </c>
      <c r="B120" s="330">
        <v>350.2</v>
      </c>
      <c r="C120" s="384">
        <f>'17-Depreciation'!D24</f>
        <v>185859180.63917488</v>
      </c>
      <c r="D120" s="512">
        <f>'18-DepRates'!G7</f>
        <v>1.66E-2</v>
      </c>
      <c r="E120" s="385">
        <f>C120*D120</f>
        <v>3085262.3986103032</v>
      </c>
      <c r="F120" s="657" t="s">
        <v>1353</v>
      </c>
      <c r="H120" s="384"/>
      <c r="I120" s="382"/>
    </row>
    <row r="121" spans="1:9" ht="13">
      <c r="A121" s="330">
        <f t="shared" ref="A121:A133" si="78">A120+1</f>
        <v>79</v>
      </c>
      <c r="B121" s="330">
        <v>352</v>
      </c>
      <c r="C121" s="384">
        <f>'17-Depreciation'!E24</f>
        <v>843791399.84427941</v>
      </c>
      <c r="D121" s="512">
        <f>'18-DepRates'!G8</f>
        <v>2.5700000000000001E-2</v>
      </c>
      <c r="E121" s="385">
        <f t="shared" ref="E121:E128" si="79">C121*D121</f>
        <v>21685438.975997981</v>
      </c>
      <c r="F121" s="657" t="s">
        <v>1354</v>
      </c>
      <c r="H121" s="384"/>
      <c r="I121" s="382"/>
    </row>
    <row r="122" spans="1:9" ht="13">
      <c r="A122" s="330">
        <f t="shared" si="78"/>
        <v>80</v>
      </c>
      <c r="B122" s="330">
        <v>353</v>
      </c>
      <c r="C122" s="384">
        <f>'17-Depreciation'!F24</f>
        <v>4116024360.2919512</v>
      </c>
      <c r="D122" s="512">
        <f>'18-DepRates'!G9</f>
        <v>2.47E-2</v>
      </c>
      <c r="E122" s="385">
        <f t="shared" si="79"/>
        <v>101665801.6992112</v>
      </c>
      <c r="F122" s="657" t="s">
        <v>1355</v>
      </c>
      <c r="H122" s="384"/>
      <c r="I122" s="382"/>
    </row>
    <row r="123" spans="1:9" ht="13">
      <c r="A123" s="330">
        <f t="shared" si="78"/>
        <v>81</v>
      </c>
      <c r="B123" s="330">
        <v>354</v>
      </c>
      <c r="C123" s="384">
        <f>'17-Depreciation'!G24</f>
        <v>2450974770.6782684</v>
      </c>
      <c r="D123" s="512">
        <f>'18-DepRates'!G10</f>
        <v>2.4400000000000002E-2</v>
      </c>
      <c r="E123" s="385">
        <f>C123*D123</f>
        <v>59803784.404549755</v>
      </c>
      <c r="F123" s="657" t="s">
        <v>1356</v>
      </c>
      <c r="H123" s="384"/>
      <c r="I123" s="382"/>
    </row>
    <row r="124" spans="1:9" ht="13">
      <c r="A124" s="330">
        <f t="shared" si="78"/>
        <v>82</v>
      </c>
      <c r="B124" s="330">
        <v>355</v>
      </c>
      <c r="C124" s="384">
        <f>'17-Depreciation'!H24</f>
        <v>542755367.5366329</v>
      </c>
      <c r="D124" s="512">
        <f>'18-DepRates'!G11</f>
        <v>3.6700000000000003E-2</v>
      </c>
      <c r="E124" s="385">
        <f t="shared" si="79"/>
        <v>19919121.988594428</v>
      </c>
      <c r="F124" s="657" t="s">
        <v>1357</v>
      </c>
      <c r="H124" s="384"/>
      <c r="I124" s="382"/>
    </row>
    <row r="125" spans="1:9" ht="13">
      <c r="A125" s="330">
        <f t="shared" si="78"/>
        <v>83</v>
      </c>
      <c r="B125" s="330">
        <v>356</v>
      </c>
      <c r="C125" s="384">
        <f>'17-Depreciation'!I24</f>
        <v>1618978824.7123115</v>
      </c>
      <c r="D125" s="512">
        <f>'18-DepRates'!G12</f>
        <v>3.0499999999999999E-2</v>
      </c>
      <c r="E125" s="385">
        <f t="shared" si="79"/>
        <v>49378854.153725497</v>
      </c>
      <c r="F125" s="657" t="s">
        <v>1358</v>
      </c>
      <c r="H125" s="384"/>
      <c r="I125" s="382"/>
    </row>
    <row r="126" spans="1:9" ht="13">
      <c r="A126" s="330">
        <f t="shared" si="78"/>
        <v>84</v>
      </c>
      <c r="B126" s="330">
        <v>357</v>
      </c>
      <c r="C126" s="384">
        <f>'17-Depreciation'!J24</f>
        <v>215308595.58726314</v>
      </c>
      <c r="D126" s="512">
        <f>'18-DepRates'!G13</f>
        <v>1.6500000000000001E-2</v>
      </c>
      <c r="E126" s="385">
        <f t="shared" si="79"/>
        <v>3552591.8271898418</v>
      </c>
      <c r="F126" s="657" t="s">
        <v>1359</v>
      </c>
      <c r="H126" s="384"/>
      <c r="I126" s="382"/>
    </row>
    <row r="127" spans="1:9" ht="13">
      <c r="A127" s="330">
        <f t="shared" si="78"/>
        <v>85</v>
      </c>
      <c r="B127" s="330">
        <v>358</v>
      </c>
      <c r="C127" s="384">
        <f>'17-Depreciation'!K24</f>
        <v>58752899.030000001</v>
      </c>
      <c r="D127" s="512">
        <f>'18-DepRates'!G14</f>
        <v>3.8699999999999998E-2</v>
      </c>
      <c r="E127" s="385">
        <f t="shared" si="79"/>
        <v>2273737.1924609998</v>
      </c>
      <c r="F127" s="657" t="s">
        <v>1360</v>
      </c>
      <c r="H127" s="384"/>
      <c r="I127" s="382"/>
    </row>
    <row r="128" spans="1:9" ht="13">
      <c r="A128" s="330">
        <f t="shared" si="78"/>
        <v>86</v>
      </c>
      <c r="B128" s="330">
        <v>359</v>
      </c>
      <c r="C128" s="384">
        <f>'17-Depreciation'!L24</f>
        <v>223182876.32139951</v>
      </c>
      <c r="D128" s="512">
        <f>'18-DepRates'!G15</f>
        <v>1.5599999999999999E-2</v>
      </c>
      <c r="E128" s="385">
        <f t="shared" si="79"/>
        <v>3481652.870613832</v>
      </c>
      <c r="F128" s="657" t="s">
        <v>1361</v>
      </c>
      <c r="H128" s="384"/>
      <c r="I128" s="382"/>
    </row>
    <row r="129" spans="1:9" ht="13">
      <c r="A129" s="330">
        <f t="shared" si="78"/>
        <v>87</v>
      </c>
    </row>
    <row r="130" spans="1:9" ht="13">
      <c r="A130" s="330">
        <f t="shared" si="78"/>
        <v>88</v>
      </c>
      <c r="C130" s="323" t="s">
        <v>1362</v>
      </c>
      <c r="E130" s="385">
        <f>SUM(E119:E128)</f>
        <v>264846245.51095384</v>
      </c>
      <c r="F130" s="323" t="str">
        <f>"Sum of C"&amp;RIGHT(E115)&amp;" Lines "&amp;A119&amp;" to "&amp;A128</f>
        <v>Sum of C4 Lines 77 to 86</v>
      </c>
    </row>
    <row r="131" spans="1:9" ht="13">
      <c r="A131" s="330">
        <f t="shared" si="78"/>
        <v>89</v>
      </c>
      <c r="C131" s="323" t="str">
        <f>"Sum of Dec Prior Year Plant"</f>
        <v>Sum of Dec Prior Year Plant</v>
      </c>
      <c r="E131" s="385">
        <f>SUM(C119:C128)</f>
        <v>10351699667.416618</v>
      </c>
      <c r="F131" s="323" t="str">
        <f>"Sum of C"&amp;RIGHT(C115)&amp;" Lines "&amp;A119&amp;" to "&amp;A128</f>
        <v>Sum of C2 Lines 77 to 86</v>
      </c>
    </row>
    <row r="132" spans="1:9" ht="13">
      <c r="A132" s="330">
        <f t="shared" si="78"/>
        <v>90</v>
      </c>
    </row>
    <row r="133" spans="1:9" ht="13">
      <c r="A133" s="330">
        <f t="shared" si="78"/>
        <v>91</v>
      </c>
      <c r="C133" s="323" t="s">
        <v>1363</v>
      </c>
      <c r="E133" s="368">
        <f>E130/E131</f>
        <v>2.5584807714678335E-2</v>
      </c>
      <c r="F133" s="323" t="str">
        <f>"Line "&amp;A130&amp;" / Line "&amp;A131</f>
        <v>Line 88 / Line 89</v>
      </c>
    </row>
    <row r="134" spans="1:9" ht="13">
      <c r="A134" s="330"/>
    </row>
    <row r="135" spans="1:9" ht="13">
      <c r="A135" s="330"/>
      <c r="B135" s="354" t="s">
        <v>228</v>
      </c>
      <c r="C135"/>
      <c r="D135"/>
      <c r="E135"/>
      <c r="F135"/>
      <c r="G135"/>
      <c r="H135"/>
      <c r="I135"/>
    </row>
    <row r="136" spans="1:9" ht="13">
      <c r="A136" s="330"/>
      <c r="B136" s="349" t="s">
        <v>1027</v>
      </c>
      <c r="C136"/>
      <c r="D136"/>
      <c r="E136"/>
      <c r="F136"/>
      <c r="G136"/>
      <c r="H136"/>
      <c r="I136"/>
    </row>
    <row r="137" spans="1:9" ht="13">
      <c r="A137" s="330"/>
      <c r="B137" s="349" t="s">
        <v>1364</v>
      </c>
      <c r="C137"/>
      <c r="D137"/>
      <c r="E137"/>
      <c r="F137"/>
      <c r="G137"/>
      <c r="H137"/>
      <c r="I137"/>
    </row>
    <row r="138" spans="1:9" ht="13">
      <c r="A138" s="330"/>
    </row>
    <row r="139" spans="1:9" ht="13">
      <c r="A139" s="330"/>
    </row>
    <row r="140" spans="1:9" ht="13">
      <c r="A140" s="330"/>
    </row>
    <row r="141" spans="1:9" ht="13">
      <c r="A141" s="330"/>
    </row>
    <row r="142" spans="1:9" ht="13">
      <c r="A142" s="330"/>
    </row>
    <row r="143" spans="1:9" ht="13">
      <c r="A143" s="330"/>
    </row>
    <row r="144" spans="1:9" ht="13">
      <c r="A144" s="330"/>
    </row>
    <row r="145" spans="1:1" ht="13">
      <c r="A145" s="330"/>
    </row>
    <row r="146" spans="1:1" ht="13">
      <c r="A146" s="330"/>
    </row>
    <row r="147" spans="1:1" ht="13">
      <c r="A147" s="330"/>
    </row>
    <row r="148" spans="1:1" ht="13">
      <c r="A148" s="330"/>
    </row>
    <row r="149" spans="1:1" ht="13">
      <c r="A149" s="330"/>
    </row>
    <row r="150" spans="1:1" ht="13">
      <c r="A150" s="330"/>
    </row>
    <row r="151" spans="1:1" ht="13">
      <c r="A151" s="330"/>
    </row>
    <row r="152" spans="1:1" ht="13">
      <c r="A152" s="330"/>
    </row>
    <row r="153" spans="1:1" ht="13">
      <c r="A153" s="330"/>
    </row>
    <row r="154" spans="1:1" ht="13">
      <c r="A154" s="330"/>
    </row>
    <row r="155" spans="1:1" ht="13">
      <c r="A155" s="330"/>
    </row>
    <row r="156" spans="1:1" ht="13">
      <c r="A156" s="330"/>
    </row>
    <row r="157" spans="1:1" ht="13">
      <c r="A157" s="330"/>
    </row>
    <row r="158" spans="1:1" ht="13">
      <c r="A158" s="330"/>
    </row>
    <row r="159" spans="1:1" ht="13">
      <c r="A159" s="330"/>
    </row>
    <row r="160" spans="1:1" ht="13">
      <c r="A160" s="330"/>
    </row>
    <row r="161" spans="1:1" ht="13">
      <c r="A161" s="330"/>
    </row>
    <row r="162" spans="1:1" ht="13">
      <c r="A162" s="330"/>
    </row>
    <row r="163" spans="1:1" ht="13">
      <c r="A163" s="330"/>
    </row>
    <row r="164" spans="1:1" ht="13">
      <c r="A164" s="330"/>
    </row>
    <row r="165" spans="1:1" ht="13">
      <c r="A165" s="330"/>
    </row>
    <row r="166" spans="1:1" ht="13">
      <c r="A166" s="330"/>
    </row>
    <row r="167" spans="1:1" ht="13">
      <c r="A167" s="330"/>
    </row>
    <row r="168" spans="1:1" ht="13">
      <c r="A168" s="330"/>
    </row>
    <row r="169" spans="1:1" ht="13">
      <c r="A169" s="330"/>
    </row>
    <row r="170" spans="1:1" ht="13">
      <c r="A170" s="330"/>
    </row>
    <row r="171" spans="1:1" ht="13">
      <c r="A171" s="330"/>
    </row>
    <row r="172" spans="1:1" ht="13">
      <c r="A172" s="330"/>
    </row>
    <row r="173" spans="1:1" ht="13">
      <c r="A173" s="330"/>
    </row>
    <row r="174" spans="1:1" ht="13">
      <c r="A174" s="330"/>
    </row>
    <row r="175" spans="1:1" ht="13">
      <c r="A175" s="330"/>
    </row>
    <row r="176" spans="1:1" ht="13">
      <c r="A176" s="330"/>
    </row>
    <row r="177" spans="1:1" ht="13">
      <c r="A177" s="330"/>
    </row>
    <row r="178" spans="1:1" ht="13">
      <c r="A178" s="330"/>
    </row>
    <row r="179" spans="1:1" ht="13">
      <c r="A179" s="330"/>
    </row>
    <row r="180" spans="1:1" ht="13">
      <c r="A180" s="330"/>
    </row>
    <row r="181" spans="1:1" ht="13">
      <c r="A181" s="330"/>
    </row>
    <row r="182" spans="1:1" ht="13">
      <c r="A182" s="330"/>
    </row>
    <row r="183" spans="1:1" ht="13">
      <c r="A183" s="330"/>
    </row>
    <row r="184" spans="1:1" ht="13">
      <c r="A184" s="330"/>
    </row>
    <row r="185" spans="1:1" ht="13">
      <c r="A185" s="330"/>
    </row>
    <row r="186" spans="1:1" ht="13">
      <c r="A186" s="330"/>
    </row>
    <row r="187" spans="1:1" ht="13">
      <c r="A187" s="330"/>
    </row>
    <row r="188" spans="1:1" ht="13">
      <c r="A188" s="330"/>
    </row>
    <row r="189" spans="1:1" ht="13">
      <c r="A189" s="330"/>
    </row>
    <row r="190" spans="1:1" ht="13">
      <c r="A190" s="330"/>
    </row>
    <row r="191" spans="1:1" ht="13">
      <c r="A191" s="330"/>
    </row>
    <row r="192" spans="1:1" ht="13">
      <c r="A192" s="330"/>
    </row>
    <row r="193" spans="1:1" ht="13">
      <c r="A193" s="330"/>
    </row>
    <row r="194" spans="1:1" ht="13">
      <c r="A194" s="330"/>
    </row>
    <row r="195" spans="1:1" ht="13">
      <c r="A195" s="330"/>
    </row>
    <row r="196" spans="1:1" ht="13">
      <c r="A196" s="330"/>
    </row>
    <row r="197" spans="1:1" ht="13">
      <c r="A197" s="330"/>
    </row>
    <row r="198" spans="1:1" ht="13">
      <c r="A198" s="330"/>
    </row>
    <row r="199" spans="1:1" ht="13">
      <c r="A199" s="330"/>
    </row>
    <row r="200" spans="1:1" ht="13">
      <c r="A200" s="330"/>
    </row>
    <row r="201" spans="1:1" ht="13">
      <c r="A201" s="330"/>
    </row>
    <row r="202" spans="1:1" ht="13">
      <c r="A202" s="330"/>
    </row>
    <row r="203" spans="1:1" ht="13">
      <c r="A203" s="330"/>
    </row>
    <row r="204" spans="1:1" ht="13">
      <c r="A204" s="330"/>
    </row>
  </sheetData>
  <pageMargins left="0.7" right="0.7" top="0.75" bottom="0.75" header="0.3" footer="0.3"/>
  <pageSetup scale="52" orientation="landscape" cellComments="asDisplayed" r:id="rId1"/>
  <headerFooter>
    <oddHeader>&amp;CSchedule 16
Plant Additions
&amp;RTO2023 Draft Annual Update 
Attachment 1</oddHeader>
    <oddFooter>&amp;R&amp;A</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topLeftCell="A58" zoomScaleNormal="100" zoomScalePageLayoutView="70" workbookViewId="0">
      <selection activeCell="E24" sqref="E24"/>
    </sheetView>
  </sheetViews>
  <sheetFormatPr defaultRowHeight="12.5"/>
  <cols>
    <col min="1" max="1" width="4.54296875" customWidth="1"/>
    <col min="3" max="3" width="15.453125" customWidth="1"/>
    <col min="4" max="5" width="14.54296875" customWidth="1"/>
    <col min="6" max="6" width="15.54296875" customWidth="1"/>
    <col min="7" max="13" width="14.54296875" customWidth="1"/>
  </cols>
  <sheetData>
    <row r="1" spans="1:13" ht="13">
      <c r="A1" s="1" t="s">
        <v>202</v>
      </c>
      <c r="B1" s="117"/>
      <c r="C1" s="117"/>
      <c r="D1" s="117"/>
      <c r="E1" s="117"/>
      <c r="F1" s="117"/>
      <c r="G1" s="117"/>
      <c r="H1" s="117"/>
      <c r="I1" s="277" t="s">
        <v>701</v>
      </c>
      <c r="J1" s="108"/>
      <c r="K1" s="117"/>
      <c r="L1" s="117"/>
      <c r="M1" s="117"/>
    </row>
    <row r="2" spans="1:13">
      <c r="A2" s="117"/>
      <c r="B2" s="117"/>
      <c r="C2" s="117"/>
      <c r="D2" s="117"/>
      <c r="E2" s="117"/>
      <c r="F2" s="117"/>
      <c r="G2" s="117"/>
      <c r="H2" s="117"/>
      <c r="K2" s="117"/>
      <c r="L2" s="117"/>
      <c r="M2" s="117"/>
    </row>
    <row r="3" spans="1:13" ht="13">
      <c r="A3" s="117"/>
      <c r="B3" s="1" t="s">
        <v>1365</v>
      </c>
      <c r="C3" s="117"/>
      <c r="D3" s="117"/>
      <c r="E3" s="117"/>
      <c r="F3" s="117"/>
      <c r="G3" s="117"/>
      <c r="H3" s="117"/>
      <c r="I3" s="118" t="s">
        <v>641</v>
      </c>
      <c r="J3" s="897">
        <v>2021</v>
      </c>
      <c r="K3" s="117"/>
      <c r="L3" s="117"/>
      <c r="M3" s="117"/>
    </row>
    <row r="4" spans="1:13">
      <c r="A4" s="117"/>
      <c r="B4" s="117"/>
      <c r="C4" s="117"/>
      <c r="D4" s="117"/>
      <c r="E4" s="117"/>
      <c r="F4" s="117"/>
      <c r="G4" s="117"/>
      <c r="H4" s="117"/>
      <c r="I4" s="117"/>
      <c r="J4" s="117"/>
      <c r="K4" s="117"/>
      <c r="L4" s="117"/>
      <c r="M4" s="117"/>
    </row>
    <row r="5" spans="1:13" ht="13">
      <c r="A5" s="117"/>
      <c r="B5" s="251" t="s">
        <v>1366</v>
      </c>
      <c r="C5" s="117"/>
      <c r="D5" s="117"/>
      <c r="E5" s="117"/>
      <c r="F5" s="117"/>
      <c r="G5" s="117"/>
      <c r="H5" s="251" t="s">
        <v>1367</v>
      </c>
      <c r="I5" s="117"/>
      <c r="J5" s="117"/>
      <c r="K5" s="117"/>
      <c r="L5" s="117"/>
      <c r="M5" s="117"/>
    </row>
    <row r="6" spans="1:13">
      <c r="A6" s="117"/>
      <c r="B6" s="117"/>
      <c r="C6" s="117"/>
      <c r="D6" s="117"/>
      <c r="E6" s="117"/>
      <c r="F6" s="117"/>
      <c r="G6" s="117"/>
      <c r="H6" s="117"/>
      <c r="I6" s="117"/>
      <c r="J6" s="117"/>
      <c r="K6" s="117"/>
      <c r="L6" s="117"/>
      <c r="M6" s="117"/>
    </row>
    <row r="7" spans="1:13" ht="13">
      <c r="A7" s="117"/>
      <c r="B7" s="48" t="s">
        <v>336</v>
      </c>
      <c r="C7" s="48" t="s">
        <v>337</v>
      </c>
      <c r="D7" s="48" t="s">
        <v>338</v>
      </c>
      <c r="E7" s="48" t="s">
        <v>339</v>
      </c>
      <c r="F7" s="48" t="s">
        <v>340</v>
      </c>
      <c r="G7" s="48" t="s">
        <v>341</v>
      </c>
      <c r="H7" s="48" t="s">
        <v>342</v>
      </c>
      <c r="I7" s="48" t="s">
        <v>343</v>
      </c>
      <c r="J7" s="48" t="s">
        <v>344</v>
      </c>
      <c r="K7" s="48" t="s">
        <v>589</v>
      </c>
      <c r="L7" s="48" t="s">
        <v>590</v>
      </c>
      <c r="M7" s="48" t="s">
        <v>591</v>
      </c>
    </row>
    <row r="8" spans="1:13">
      <c r="A8" s="117"/>
      <c r="B8" s="131"/>
      <c r="C8" s="117"/>
      <c r="D8" s="117"/>
      <c r="E8" s="117"/>
      <c r="F8" s="117"/>
      <c r="G8" s="117"/>
      <c r="H8" s="117"/>
      <c r="I8" s="117"/>
      <c r="J8" s="117"/>
      <c r="K8" s="117"/>
      <c r="L8" s="117"/>
      <c r="M8" s="117"/>
    </row>
    <row r="9" spans="1:13" ht="13">
      <c r="A9" s="117"/>
      <c r="B9" s="2"/>
      <c r="C9" s="261" t="s">
        <v>244</v>
      </c>
      <c r="D9" s="117"/>
      <c r="E9" s="117"/>
      <c r="F9" s="117"/>
      <c r="G9" s="117"/>
      <c r="H9" s="117"/>
      <c r="I9" s="117"/>
      <c r="J9" s="117"/>
      <c r="K9" s="117"/>
      <c r="L9" s="117"/>
      <c r="M9" s="117"/>
    </row>
    <row r="10" spans="1:13" ht="13">
      <c r="A10" s="117"/>
      <c r="B10" s="2"/>
      <c r="C10" s="261" t="s">
        <v>744</v>
      </c>
      <c r="D10" s="117"/>
      <c r="E10" s="117"/>
      <c r="F10" s="117"/>
      <c r="G10" s="117"/>
      <c r="H10" s="117"/>
      <c r="I10" s="117"/>
      <c r="J10" s="117"/>
      <c r="K10" s="117"/>
      <c r="L10" s="117"/>
      <c r="M10" s="117"/>
    </row>
    <row r="11" spans="1:13" ht="13">
      <c r="A11" s="30" t="s">
        <v>273</v>
      </c>
      <c r="B11" s="3" t="s">
        <v>643</v>
      </c>
      <c r="C11" s="48">
        <v>350.1</v>
      </c>
      <c r="D11" s="48">
        <v>350.2</v>
      </c>
      <c r="E11" s="48">
        <v>352</v>
      </c>
      <c r="F11" s="48">
        <v>353</v>
      </c>
      <c r="G11" s="48">
        <v>354</v>
      </c>
      <c r="H11" s="48">
        <v>355</v>
      </c>
      <c r="I11" s="48">
        <v>356</v>
      </c>
      <c r="J11" s="48">
        <v>357</v>
      </c>
      <c r="K11" s="48">
        <v>358</v>
      </c>
      <c r="L11" s="48">
        <v>359</v>
      </c>
      <c r="M11" s="3" t="s">
        <v>249</v>
      </c>
    </row>
    <row r="12" spans="1:13" ht="13">
      <c r="A12" s="2">
        <v>1</v>
      </c>
      <c r="B12" s="532" t="s">
        <v>644</v>
      </c>
      <c r="C12" s="119">
        <f>'6-PlantInService'!C12</f>
        <v>88947677.147506893</v>
      </c>
      <c r="D12" s="119">
        <f>'6-PlantInService'!D12</f>
        <v>166997788.6995331</v>
      </c>
      <c r="E12" s="119">
        <f>'6-PlantInService'!E12</f>
        <v>804153066.44668055</v>
      </c>
      <c r="F12" s="119">
        <f>'6-PlantInService'!F12</f>
        <v>3951945554.2101936</v>
      </c>
      <c r="G12" s="119">
        <f>'6-PlantInService'!G12</f>
        <v>2302122819.4855967</v>
      </c>
      <c r="H12" s="119">
        <f>'6-PlantInService'!H12</f>
        <v>431972729.20086575</v>
      </c>
      <c r="I12" s="119">
        <f>'6-PlantInService'!I12</f>
        <v>1449635757.7995038</v>
      </c>
      <c r="J12" s="119">
        <f>'6-PlantInService'!J12</f>
        <v>215412775.95431966</v>
      </c>
      <c r="K12" s="119">
        <f>'6-PlantInService'!K12</f>
        <v>59261609.025750808</v>
      </c>
      <c r="L12" s="119">
        <f>'6-PlantInService'!L12</f>
        <v>192098212.92509726</v>
      </c>
      <c r="M12" s="119">
        <f>'6-PlantInService'!M12</f>
        <v>9662547990.8950462</v>
      </c>
    </row>
    <row r="13" spans="1:13" ht="13">
      <c r="A13" s="2">
        <f>A12+1</f>
        <v>2</v>
      </c>
      <c r="B13" s="532" t="s">
        <v>2931</v>
      </c>
      <c r="C13" s="119">
        <f>'6-PlantInService'!C13</f>
        <v>89016479.164093956</v>
      </c>
      <c r="D13" s="119">
        <f>'6-PlantInService'!D13</f>
        <v>166998671.45684284</v>
      </c>
      <c r="E13" s="119">
        <f>'6-PlantInService'!E13</f>
        <v>806026743.103145</v>
      </c>
      <c r="F13" s="119">
        <f>'6-PlantInService'!F13</f>
        <v>3962837162.0542607</v>
      </c>
      <c r="G13" s="119">
        <f>'6-PlantInService'!G13</f>
        <v>2310148834.0639148</v>
      </c>
      <c r="H13" s="119">
        <f>'6-PlantInService'!H13</f>
        <v>434143865.79473323</v>
      </c>
      <c r="I13" s="119">
        <f>'6-PlantInService'!I13</f>
        <v>1507984567.9793296</v>
      </c>
      <c r="J13" s="119">
        <f>'6-PlantInService'!J13</f>
        <v>215402510.05306724</v>
      </c>
      <c r="K13" s="119">
        <f>'6-PlantInService'!K13</f>
        <v>59238025.553698845</v>
      </c>
      <c r="L13" s="119">
        <f>'6-PlantInService'!L13</f>
        <v>192403231.27035815</v>
      </c>
      <c r="M13" s="119">
        <f>'6-PlantInService'!M13</f>
        <v>9744200090.4934464</v>
      </c>
    </row>
    <row r="14" spans="1:13" ht="13">
      <c r="A14" s="2">
        <f t="shared" ref="A14:A76" si="0">A13+1</f>
        <v>3</v>
      </c>
      <c r="B14" s="532" t="s">
        <v>2932</v>
      </c>
      <c r="C14" s="119">
        <f>'6-PlantInService'!C14</f>
        <v>89018108.784093961</v>
      </c>
      <c r="D14" s="119">
        <f>'6-PlantInService'!D14</f>
        <v>167218846.49341851</v>
      </c>
      <c r="E14" s="119">
        <f>'6-PlantInService'!E14</f>
        <v>809010006.36397064</v>
      </c>
      <c r="F14" s="119">
        <f>'6-PlantInService'!F14</f>
        <v>3976930761.3673682</v>
      </c>
      <c r="G14" s="119">
        <f>'6-PlantInService'!G14</f>
        <v>2318258877.4531212</v>
      </c>
      <c r="H14" s="119">
        <f>'6-PlantInService'!H14</f>
        <v>441074001.10948557</v>
      </c>
      <c r="I14" s="119">
        <f>'6-PlantInService'!I14</f>
        <v>1509349228.4491134</v>
      </c>
      <c r="J14" s="119">
        <f>'6-PlantInService'!J14</f>
        <v>215406451.07710877</v>
      </c>
      <c r="K14" s="119">
        <f>'6-PlantInService'!K14</f>
        <v>59060158.343782157</v>
      </c>
      <c r="L14" s="119">
        <f>'6-PlantInService'!L14</f>
        <v>192116689.9841145</v>
      </c>
      <c r="M14" s="119">
        <f>'6-PlantInService'!M14</f>
        <v>9777443129.4255753</v>
      </c>
    </row>
    <row r="15" spans="1:13" ht="13">
      <c r="A15" s="2">
        <f t="shared" si="0"/>
        <v>4</v>
      </c>
      <c r="B15" s="532" t="s">
        <v>2933</v>
      </c>
      <c r="C15" s="119">
        <f>'6-PlantInService'!C15</f>
        <v>89016278.063860849</v>
      </c>
      <c r="D15" s="119">
        <f>'6-PlantInService'!D15</f>
        <v>167364135.53963813</v>
      </c>
      <c r="E15" s="119">
        <f>'6-PlantInService'!E15</f>
        <v>810836551.66691124</v>
      </c>
      <c r="F15" s="119">
        <f>'6-PlantInService'!F15</f>
        <v>3988475007.884131</v>
      </c>
      <c r="G15" s="119">
        <f>'6-PlantInService'!G15</f>
        <v>2326043185.5040908</v>
      </c>
      <c r="H15" s="119">
        <f>'6-PlantInService'!H15</f>
        <v>446315440.62384266</v>
      </c>
      <c r="I15" s="119">
        <f>'6-PlantInService'!I15</f>
        <v>1509730588.9224718</v>
      </c>
      <c r="J15" s="119">
        <f>'6-PlantInService'!J15</f>
        <v>215406291.34702656</v>
      </c>
      <c r="K15" s="119">
        <f>'6-PlantInService'!K15</f>
        <v>59039440.270739071</v>
      </c>
      <c r="L15" s="119">
        <f>'6-PlantInService'!L15</f>
        <v>192104931.50849754</v>
      </c>
      <c r="M15" s="119">
        <f>'6-PlantInService'!M15</f>
        <v>9804331851.3312092</v>
      </c>
    </row>
    <row r="16" spans="1:13" ht="13">
      <c r="A16" s="2">
        <f t="shared" si="0"/>
        <v>5</v>
      </c>
      <c r="B16" s="532" t="s">
        <v>2934</v>
      </c>
      <c r="C16" s="119">
        <f>'6-PlantInService'!C16</f>
        <v>89016278.063860849</v>
      </c>
      <c r="D16" s="119">
        <f>'6-PlantInService'!D16</f>
        <v>167379196.80723199</v>
      </c>
      <c r="E16" s="119">
        <f>'6-PlantInService'!E16</f>
        <v>811663445.79316008</v>
      </c>
      <c r="F16" s="119">
        <f>'6-PlantInService'!F16</f>
        <v>4007968514.3163981</v>
      </c>
      <c r="G16" s="119">
        <f>'6-PlantInService'!G16</f>
        <v>2338322978.8263001</v>
      </c>
      <c r="H16" s="119">
        <f>'6-PlantInService'!H16</f>
        <v>465533436.62342268</v>
      </c>
      <c r="I16" s="119">
        <f>'6-PlantInService'!I16</f>
        <v>1492273619.3125405</v>
      </c>
      <c r="J16" s="119">
        <f>'6-PlantInService'!J16</f>
        <v>215406674.30904314</v>
      </c>
      <c r="K16" s="119">
        <f>'6-PlantInService'!K16</f>
        <v>58966614.246832058</v>
      </c>
      <c r="L16" s="119">
        <f>'6-PlantInService'!L16</f>
        <v>190866401.20934901</v>
      </c>
      <c r="M16" s="119">
        <f>'6-PlantInService'!M16</f>
        <v>9837397159.5081387</v>
      </c>
    </row>
    <row r="17" spans="1:14" ht="13">
      <c r="A17" s="2">
        <f t="shared" si="0"/>
        <v>6</v>
      </c>
      <c r="B17" s="532" t="s">
        <v>2935</v>
      </c>
      <c r="C17" s="119">
        <f>'6-PlantInService'!C17</f>
        <v>89024240.563860849</v>
      </c>
      <c r="D17" s="119">
        <f>'6-PlantInService'!D17</f>
        <v>167401301.09484768</v>
      </c>
      <c r="E17" s="119">
        <f>'6-PlantInService'!E17</f>
        <v>813681023.9145081</v>
      </c>
      <c r="F17" s="119">
        <f>'6-PlantInService'!F17</f>
        <v>4030751587.997396</v>
      </c>
      <c r="G17" s="119">
        <f>'6-PlantInService'!G17</f>
        <v>2632947610.8121452</v>
      </c>
      <c r="H17" s="119">
        <f>'6-PlantInService'!H17</f>
        <v>548733542.77877939</v>
      </c>
      <c r="I17" s="119">
        <f>'6-PlantInService'!I17</f>
        <v>1703091949.3572557</v>
      </c>
      <c r="J17" s="119">
        <f>'6-PlantInService'!J17</f>
        <v>215397627.50897899</v>
      </c>
      <c r="K17" s="119">
        <f>'6-PlantInService'!K17</f>
        <v>59061542.497375317</v>
      </c>
      <c r="L17" s="119">
        <f>'6-PlantInService'!L17</f>
        <v>261552983.29392076</v>
      </c>
      <c r="M17" s="119">
        <f>'6-PlantInService'!M17</f>
        <v>10521643409.819069</v>
      </c>
    </row>
    <row r="18" spans="1:14" ht="13">
      <c r="A18" s="2">
        <f t="shared" si="0"/>
        <v>7</v>
      </c>
      <c r="B18" s="532" t="s">
        <v>2936</v>
      </c>
      <c r="C18" s="119">
        <f>'6-PlantInService'!C18</f>
        <v>89022801.617117301</v>
      </c>
      <c r="D18" s="119">
        <f>'6-PlantInService'!D18</f>
        <v>167431563.2030901</v>
      </c>
      <c r="E18" s="119">
        <f>'6-PlantInService'!E18</f>
        <v>818297789.65156209</v>
      </c>
      <c r="F18" s="119">
        <f>'6-PlantInService'!F18</f>
        <v>4039499732.4887238</v>
      </c>
      <c r="G18" s="119">
        <f>'6-PlantInService'!G18</f>
        <v>2599303763.838975</v>
      </c>
      <c r="H18" s="119">
        <f>'6-PlantInService'!H18</f>
        <v>562316067.75128603</v>
      </c>
      <c r="I18" s="119">
        <f>'6-PlantInService'!I18</f>
        <v>1737812541.3416002</v>
      </c>
      <c r="J18" s="119">
        <f>'6-PlantInService'!J18</f>
        <v>215396150.17197561</v>
      </c>
      <c r="K18" s="119">
        <f>'6-PlantInService'!K18</f>
        <v>58766984.921230286</v>
      </c>
      <c r="L18" s="119">
        <f>'6-PlantInService'!L18</f>
        <v>269878340.20410746</v>
      </c>
      <c r="M18" s="119">
        <f>'6-PlantInService'!M18</f>
        <v>10557725735.189669</v>
      </c>
    </row>
    <row r="19" spans="1:14" ht="13">
      <c r="A19" s="2">
        <f t="shared" si="0"/>
        <v>8</v>
      </c>
      <c r="B19" s="532" t="s">
        <v>2937</v>
      </c>
      <c r="C19" s="119">
        <f>'6-PlantInService'!C19</f>
        <v>89025246.814057499</v>
      </c>
      <c r="D19" s="119">
        <f>'6-PlantInService'!D19</f>
        <v>167431563.2030901</v>
      </c>
      <c r="E19" s="119">
        <f>'6-PlantInService'!E19</f>
        <v>819636694.54513371</v>
      </c>
      <c r="F19" s="119">
        <f>'6-PlantInService'!F19</f>
        <v>4048568321.2662454</v>
      </c>
      <c r="G19" s="119">
        <f>'6-PlantInService'!G19</f>
        <v>2432964469.8017545</v>
      </c>
      <c r="H19" s="119">
        <f>'6-PlantInService'!H19</f>
        <v>518796746.90142143</v>
      </c>
      <c r="I19" s="119">
        <f>'6-PlantInService'!I19</f>
        <v>1606673680.5278544</v>
      </c>
      <c r="J19" s="119">
        <f>'6-PlantInService'!J19</f>
        <v>215341763.65930974</v>
      </c>
      <c r="K19" s="119">
        <f>'6-PlantInService'!K19</f>
        <v>58409557.071112283</v>
      </c>
      <c r="L19" s="119">
        <f>'6-PlantInService'!L19</f>
        <v>222129055.95129967</v>
      </c>
      <c r="M19" s="119">
        <f>'6-PlantInService'!M19</f>
        <v>10178977099.741278</v>
      </c>
    </row>
    <row r="20" spans="1:14" ht="13">
      <c r="A20" s="2">
        <f t="shared" si="0"/>
        <v>9</v>
      </c>
      <c r="B20" s="532" t="s">
        <v>2938</v>
      </c>
      <c r="C20" s="119">
        <f>'6-PlantInService'!C20</f>
        <v>89024855.07405749</v>
      </c>
      <c r="D20" s="119">
        <f>'6-PlantInService'!D20</f>
        <v>175352449.50528926</v>
      </c>
      <c r="E20" s="119">
        <f>'6-PlantInService'!E20</f>
        <v>819591140.66599095</v>
      </c>
      <c r="F20" s="119">
        <f>'6-PlantInService'!F20</f>
        <v>4049897453.5091662</v>
      </c>
      <c r="G20" s="119">
        <f>'6-PlantInService'!G20</f>
        <v>2431984667.1076765</v>
      </c>
      <c r="H20" s="119">
        <f>'6-PlantInService'!H20</f>
        <v>517246547.89273936</v>
      </c>
      <c r="I20" s="119">
        <f>'6-PlantInService'!I20</f>
        <v>1611646770.0766971</v>
      </c>
      <c r="J20" s="119">
        <f>'6-PlantInService'!J20</f>
        <v>215341524.49088818</v>
      </c>
      <c r="K20" s="119">
        <f>'6-PlantInService'!K20</f>
        <v>58360735.24129501</v>
      </c>
      <c r="L20" s="119">
        <f>'6-PlantInService'!L20</f>
        <v>222237312.01628175</v>
      </c>
      <c r="M20" s="119">
        <f>'6-PlantInService'!M20</f>
        <v>10190683455.580082</v>
      </c>
    </row>
    <row r="21" spans="1:14" ht="13">
      <c r="A21" s="2">
        <f t="shared" si="0"/>
        <v>10</v>
      </c>
      <c r="B21" s="532" t="s">
        <v>2939</v>
      </c>
      <c r="C21" s="119">
        <f>'6-PlantInService'!C21</f>
        <v>89024855.07405749</v>
      </c>
      <c r="D21" s="119">
        <f>'6-PlantInService'!D21</f>
        <v>175353347.16665789</v>
      </c>
      <c r="E21" s="119">
        <f>'6-PlantInService'!E21</f>
        <v>822245551.58677113</v>
      </c>
      <c r="F21" s="119">
        <f>'6-PlantInService'!F21</f>
        <v>4052316516.010076</v>
      </c>
      <c r="G21" s="119">
        <f>'6-PlantInService'!G21</f>
        <v>2434335281.7388334</v>
      </c>
      <c r="H21" s="119">
        <f>'6-PlantInService'!H21</f>
        <v>524371610.82762617</v>
      </c>
      <c r="I21" s="119">
        <f>'6-PlantInService'!I21</f>
        <v>1613518658.5319412</v>
      </c>
      <c r="J21" s="119">
        <f>'6-PlantInService'!J21</f>
        <v>215299246.85986146</v>
      </c>
      <c r="K21" s="119">
        <f>'6-PlantInService'!K21</f>
        <v>58608249.048163578</v>
      </c>
      <c r="L21" s="119">
        <f>'6-PlantInService'!L21</f>
        <v>222631598.26447535</v>
      </c>
      <c r="M21" s="119">
        <f>'6-PlantInService'!M21</f>
        <v>10207704915.108463</v>
      </c>
    </row>
    <row r="22" spans="1:14" ht="13">
      <c r="A22" s="2">
        <f t="shared" si="0"/>
        <v>11</v>
      </c>
      <c r="B22" s="532" t="s">
        <v>2940</v>
      </c>
      <c r="C22" s="119">
        <f>'6-PlantInService'!C22</f>
        <v>89042253.32405749</v>
      </c>
      <c r="D22" s="119">
        <f>'6-PlantInService'!D22</f>
        <v>175676251.14578599</v>
      </c>
      <c r="E22" s="119">
        <f>'6-PlantInService'!E22</f>
        <v>831220928.306108</v>
      </c>
      <c r="F22" s="119">
        <f>'6-PlantInService'!F22</f>
        <v>4056196153.2195253</v>
      </c>
      <c r="G22" s="119">
        <f>'6-PlantInService'!G22</f>
        <v>2436616252.9265814</v>
      </c>
      <c r="H22" s="119">
        <f>'6-PlantInService'!H22</f>
        <v>531808567.22328937</v>
      </c>
      <c r="I22" s="119">
        <f>'6-PlantInService'!I22</f>
        <v>1614315324.4491942</v>
      </c>
      <c r="J22" s="119">
        <f>'6-PlantInService'!J22</f>
        <v>215308189.57312325</v>
      </c>
      <c r="K22" s="119">
        <f>'6-PlantInService'!K22</f>
        <v>58687094.54736919</v>
      </c>
      <c r="L22" s="119">
        <f>'6-PlantInService'!L22</f>
        <v>222776028.44782987</v>
      </c>
      <c r="M22" s="119">
        <f>'6-PlantInService'!M22</f>
        <v>10231647043.162865</v>
      </c>
    </row>
    <row r="23" spans="1:14" ht="13">
      <c r="A23" s="2">
        <f t="shared" si="0"/>
        <v>12</v>
      </c>
      <c r="B23" s="532" t="s">
        <v>2941</v>
      </c>
      <c r="C23" s="119">
        <f>'6-PlantInService'!C23</f>
        <v>89041197.961176425</v>
      </c>
      <c r="D23" s="119">
        <f>'6-PlantInService'!D23</f>
        <v>175636904.54667279</v>
      </c>
      <c r="E23" s="119">
        <f>'6-PlantInService'!E23</f>
        <v>845558874.50420654</v>
      </c>
      <c r="F23" s="119">
        <f>'6-PlantInService'!F23</f>
        <v>4089649214.916676</v>
      </c>
      <c r="G23" s="119">
        <f>'6-PlantInService'!G23</f>
        <v>2442871736.5344772</v>
      </c>
      <c r="H23" s="119">
        <f>'6-PlantInService'!H23</f>
        <v>538264682.33075893</v>
      </c>
      <c r="I23" s="119">
        <f>'6-PlantInService'!I23</f>
        <v>1615374997.9445903</v>
      </c>
      <c r="J23" s="119">
        <f>'6-PlantInService'!J23</f>
        <v>215308169.19939455</v>
      </c>
      <c r="K23" s="119">
        <f>'6-PlantInService'!K23</f>
        <v>58670086.571880795</v>
      </c>
      <c r="L23" s="119">
        <f>'6-PlantInService'!L23</f>
        <v>222916955.46151385</v>
      </c>
      <c r="M23" s="119">
        <f>'6-PlantInService'!M23</f>
        <v>10293292819.971346</v>
      </c>
    </row>
    <row r="24" spans="1:14" ht="13">
      <c r="A24" s="2">
        <f t="shared" si="0"/>
        <v>13</v>
      </c>
      <c r="B24" s="532" t="s">
        <v>2942</v>
      </c>
      <c r="C24" s="119">
        <f>'6-PlantInService'!C24</f>
        <v>96071392.775337934</v>
      </c>
      <c r="D24" s="119">
        <f>'6-PlantInService'!D24</f>
        <v>185859180.63917488</v>
      </c>
      <c r="E24" s="119">
        <f>'6-PlantInService'!E24</f>
        <v>843791399.84427941</v>
      </c>
      <c r="F24" s="119">
        <f>'6-PlantInService'!F24</f>
        <v>4116024360.2919512</v>
      </c>
      <c r="G24" s="119">
        <f>'6-PlantInService'!G24</f>
        <v>2450974770.6782684</v>
      </c>
      <c r="H24" s="119">
        <f>'6-PlantInService'!H24</f>
        <v>542755367.5366329</v>
      </c>
      <c r="I24" s="119">
        <f>'6-PlantInService'!I24</f>
        <v>1618978824.7123115</v>
      </c>
      <c r="J24" s="119">
        <f>'6-PlantInService'!J24</f>
        <v>215308595.58726314</v>
      </c>
      <c r="K24" s="119">
        <f>'6-PlantInService'!K24</f>
        <v>58752899.030000001</v>
      </c>
      <c r="L24" s="119">
        <f>'6-PlantInService'!L24</f>
        <v>223182876.32139951</v>
      </c>
      <c r="M24" s="119">
        <f>'6-PlantInService'!M24</f>
        <v>10351699667.416618</v>
      </c>
    </row>
    <row r="25" spans="1:14" ht="13">
      <c r="A25" s="2">
        <f t="shared" si="0"/>
        <v>14</v>
      </c>
      <c r="B25" s="117"/>
      <c r="C25" s="117"/>
      <c r="D25" s="117"/>
      <c r="E25" s="117"/>
      <c r="F25" s="117"/>
      <c r="G25" s="117"/>
      <c r="H25" s="117"/>
      <c r="I25" s="117"/>
      <c r="J25" s="117"/>
      <c r="K25" s="117"/>
      <c r="L25" s="117"/>
      <c r="M25" s="117"/>
    </row>
    <row r="26" spans="1:14" ht="13">
      <c r="A26" s="2">
        <f t="shared" si="0"/>
        <v>15</v>
      </c>
      <c r="B26" s="349" t="s">
        <v>1368</v>
      </c>
      <c r="C26" s="117"/>
      <c r="D26" s="117"/>
      <c r="E26" s="117"/>
      <c r="F26" s="117"/>
      <c r="G26" s="117"/>
      <c r="H26" s="117"/>
      <c r="I26" s="117"/>
      <c r="J26" s="117"/>
      <c r="K26" s="117"/>
      <c r="L26" s="117"/>
      <c r="M26" s="117"/>
    </row>
    <row r="27" spans="1:14" ht="13">
      <c r="A27" s="2"/>
      <c r="B27" s="2"/>
      <c r="C27" s="117"/>
      <c r="D27" s="117"/>
      <c r="E27" s="117"/>
      <c r="F27" s="117"/>
      <c r="G27" s="117"/>
      <c r="H27" s="117"/>
      <c r="I27" s="117"/>
      <c r="J27" s="117"/>
      <c r="K27" s="117"/>
      <c r="L27" s="117"/>
      <c r="M27" s="117"/>
    </row>
    <row r="28" spans="1:14" ht="13">
      <c r="A28" s="2">
        <f>A26+1</f>
        <v>16</v>
      </c>
      <c r="B28" s="3" t="s">
        <v>643</v>
      </c>
      <c r="C28" s="48">
        <v>350.1</v>
      </c>
      <c r="D28" s="48">
        <v>350.2</v>
      </c>
      <c r="E28" s="48">
        <v>352</v>
      </c>
      <c r="F28" s="48">
        <v>353</v>
      </c>
      <c r="G28" s="48">
        <v>354</v>
      </c>
      <c r="H28" s="48">
        <v>355</v>
      </c>
      <c r="I28" s="48">
        <v>356</v>
      </c>
      <c r="J28" s="48">
        <v>357</v>
      </c>
      <c r="K28" s="48">
        <v>358</v>
      </c>
      <c r="L28" s="48">
        <v>359</v>
      </c>
      <c r="M28" s="3"/>
    </row>
    <row r="29" spans="1:14" ht="13">
      <c r="A29" s="2" t="s">
        <v>1369</v>
      </c>
      <c r="B29" s="532" t="s">
        <v>644</v>
      </c>
      <c r="C29" s="879">
        <v>0</v>
      </c>
      <c r="D29" s="879">
        <v>1.66E-2</v>
      </c>
      <c r="E29" s="879">
        <v>2.5700000000000001E-2</v>
      </c>
      <c r="F29" s="879">
        <v>2.47E-2</v>
      </c>
      <c r="G29" s="879">
        <v>2.4400000000000002E-2</v>
      </c>
      <c r="H29" s="879">
        <v>3.6700000000000003E-2</v>
      </c>
      <c r="I29" s="879">
        <v>3.0499999999999999E-2</v>
      </c>
      <c r="J29" s="879">
        <v>1.6500000000000001E-2</v>
      </c>
      <c r="K29" s="879">
        <v>3.8699999999999998E-2</v>
      </c>
      <c r="L29" s="879">
        <v>1.5599999999999999E-2</v>
      </c>
      <c r="M29" s="117"/>
      <c r="N29" s="276"/>
    </row>
    <row r="30" spans="1:14" ht="13">
      <c r="A30" s="2" t="s">
        <v>1370</v>
      </c>
      <c r="B30" s="532" t="s">
        <v>2931</v>
      </c>
      <c r="C30" s="879">
        <v>0</v>
      </c>
      <c r="D30" s="879">
        <v>1.66E-2</v>
      </c>
      <c r="E30" s="879">
        <v>2.5700000000000001E-2</v>
      </c>
      <c r="F30" s="879">
        <v>2.47E-2</v>
      </c>
      <c r="G30" s="879">
        <v>2.4400000000000002E-2</v>
      </c>
      <c r="H30" s="879">
        <v>3.6700000000000003E-2</v>
      </c>
      <c r="I30" s="879">
        <v>3.0499999999999999E-2</v>
      </c>
      <c r="J30" s="879">
        <v>1.6500000000000001E-2</v>
      </c>
      <c r="K30" s="879">
        <v>3.8699999999999998E-2</v>
      </c>
      <c r="L30" s="879">
        <v>1.5599999999999999E-2</v>
      </c>
      <c r="M30" s="117"/>
      <c r="N30" s="276"/>
    </row>
    <row r="31" spans="1:14" ht="13">
      <c r="A31" s="2" t="s">
        <v>1371</v>
      </c>
      <c r="B31" s="532" t="s">
        <v>2932</v>
      </c>
      <c r="C31" s="879">
        <v>0</v>
      </c>
      <c r="D31" s="879">
        <v>1.66E-2</v>
      </c>
      <c r="E31" s="879">
        <v>2.5700000000000001E-2</v>
      </c>
      <c r="F31" s="879">
        <v>2.47E-2</v>
      </c>
      <c r="G31" s="879">
        <v>2.4400000000000002E-2</v>
      </c>
      <c r="H31" s="879">
        <v>3.6700000000000003E-2</v>
      </c>
      <c r="I31" s="879">
        <v>3.0499999999999999E-2</v>
      </c>
      <c r="J31" s="879">
        <v>1.6500000000000001E-2</v>
      </c>
      <c r="K31" s="879">
        <v>3.8699999999999998E-2</v>
      </c>
      <c r="L31" s="879">
        <v>1.5599999999999999E-2</v>
      </c>
      <c r="M31" s="117"/>
      <c r="N31" s="276"/>
    </row>
    <row r="32" spans="1:14" ht="13">
      <c r="A32" s="2" t="s">
        <v>1372</v>
      </c>
      <c r="B32" s="532" t="s">
        <v>2933</v>
      </c>
      <c r="C32" s="879">
        <v>0</v>
      </c>
      <c r="D32" s="879">
        <v>1.66E-2</v>
      </c>
      <c r="E32" s="879">
        <v>2.5700000000000001E-2</v>
      </c>
      <c r="F32" s="879">
        <v>2.47E-2</v>
      </c>
      <c r="G32" s="879">
        <v>2.4400000000000002E-2</v>
      </c>
      <c r="H32" s="879">
        <v>3.6700000000000003E-2</v>
      </c>
      <c r="I32" s="879">
        <v>3.0499999999999999E-2</v>
      </c>
      <c r="J32" s="879">
        <v>1.6500000000000001E-2</v>
      </c>
      <c r="K32" s="879">
        <v>3.8699999999999998E-2</v>
      </c>
      <c r="L32" s="879">
        <v>1.5599999999999999E-2</v>
      </c>
      <c r="M32" s="117"/>
      <c r="N32" s="276"/>
    </row>
    <row r="33" spans="1:14" ht="13">
      <c r="A33" s="2" t="s">
        <v>1373</v>
      </c>
      <c r="B33" s="532" t="s">
        <v>2934</v>
      </c>
      <c r="C33" s="879">
        <v>0</v>
      </c>
      <c r="D33" s="879">
        <v>1.66E-2</v>
      </c>
      <c r="E33" s="879">
        <v>2.5700000000000001E-2</v>
      </c>
      <c r="F33" s="879">
        <v>2.47E-2</v>
      </c>
      <c r="G33" s="879">
        <v>2.4400000000000002E-2</v>
      </c>
      <c r="H33" s="879">
        <v>3.6700000000000003E-2</v>
      </c>
      <c r="I33" s="879">
        <v>3.0499999999999999E-2</v>
      </c>
      <c r="J33" s="879">
        <v>1.6500000000000001E-2</v>
      </c>
      <c r="K33" s="879">
        <v>3.8699999999999998E-2</v>
      </c>
      <c r="L33" s="879">
        <v>1.5599999999999999E-2</v>
      </c>
      <c r="M33" s="117"/>
      <c r="N33" s="276"/>
    </row>
    <row r="34" spans="1:14" ht="13">
      <c r="A34" s="2" t="s">
        <v>1374</v>
      </c>
      <c r="B34" s="532" t="s">
        <v>2935</v>
      </c>
      <c r="C34" s="879">
        <v>0</v>
      </c>
      <c r="D34" s="879">
        <v>1.66E-2</v>
      </c>
      <c r="E34" s="879">
        <v>2.5700000000000001E-2</v>
      </c>
      <c r="F34" s="879">
        <v>2.47E-2</v>
      </c>
      <c r="G34" s="879">
        <v>2.4400000000000002E-2</v>
      </c>
      <c r="H34" s="879">
        <v>3.6700000000000003E-2</v>
      </c>
      <c r="I34" s="879">
        <v>3.0499999999999999E-2</v>
      </c>
      <c r="J34" s="879">
        <v>1.6500000000000001E-2</v>
      </c>
      <c r="K34" s="879">
        <v>3.8699999999999998E-2</v>
      </c>
      <c r="L34" s="879">
        <v>1.5599999999999999E-2</v>
      </c>
      <c r="M34" s="117"/>
      <c r="N34" s="276"/>
    </row>
    <row r="35" spans="1:14" ht="13">
      <c r="A35" s="2" t="s">
        <v>1375</v>
      </c>
      <c r="B35" s="532" t="s">
        <v>2936</v>
      </c>
      <c r="C35" s="879">
        <v>0</v>
      </c>
      <c r="D35" s="879">
        <v>1.66E-2</v>
      </c>
      <c r="E35" s="879">
        <v>2.5700000000000001E-2</v>
      </c>
      <c r="F35" s="879">
        <v>2.47E-2</v>
      </c>
      <c r="G35" s="879">
        <v>2.4400000000000002E-2</v>
      </c>
      <c r="H35" s="879">
        <v>3.6700000000000003E-2</v>
      </c>
      <c r="I35" s="879">
        <v>3.0499999999999999E-2</v>
      </c>
      <c r="J35" s="879">
        <v>1.6500000000000001E-2</v>
      </c>
      <c r="K35" s="879">
        <v>3.8699999999999998E-2</v>
      </c>
      <c r="L35" s="879">
        <v>1.5599999999999999E-2</v>
      </c>
      <c r="M35" s="117"/>
      <c r="N35" s="276"/>
    </row>
    <row r="36" spans="1:14" ht="13">
      <c r="A36" s="2" t="s">
        <v>1376</v>
      </c>
      <c r="B36" s="532" t="s">
        <v>2937</v>
      </c>
      <c r="C36" s="879">
        <v>0</v>
      </c>
      <c r="D36" s="879">
        <v>1.66E-2</v>
      </c>
      <c r="E36" s="879">
        <v>2.5700000000000001E-2</v>
      </c>
      <c r="F36" s="879">
        <v>2.47E-2</v>
      </c>
      <c r="G36" s="879">
        <v>2.4400000000000002E-2</v>
      </c>
      <c r="H36" s="879">
        <v>3.6700000000000003E-2</v>
      </c>
      <c r="I36" s="879">
        <v>3.0499999999999999E-2</v>
      </c>
      <c r="J36" s="879">
        <v>1.6500000000000001E-2</v>
      </c>
      <c r="K36" s="879">
        <v>3.8699999999999998E-2</v>
      </c>
      <c r="L36" s="879">
        <v>1.5599999999999999E-2</v>
      </c>
      <c r="M36" s="117"/>
      <c r="N36" s="276"/>
    </row>
    <row r="37" spans="1:14" ht="13">
      <c r="A37" s="2" t="s">
        <v>1377</v>
      </c>
      <c r="B37" s="532" t="s">
        <v>2938</v>
      </c>
      <c r="C37" s="879">
        <v>0</v>
      </c>
      <c r="D37" s="879">
        <v>1.66E-2</v>
      </c>
      <c r="E37" s="879">
        <v>2.5700000000000001E-2</v>
      </c>
      <c r="F37" s="879">
        <v>2.47E-2</v>
      </c>
      <c r="G37" s="879">
        <v>2.4400000000000002E-2</v>
      </c>
      <c r="H37" s="879">
        <v>3.6700000000000003E-2</v>
      </c>
      <c r="I37" s="879">
        <v>3.0499999999999999E-2</v>
      </c>
      <c r="J37" s="879">
        <v>1.6500000000000001E-2</v>
      </c>
      <c r="K37" s="879">
        <v>3.8699999999999998E-2</v>
      </c>
      <c r="L37" s="879">
        <v>1.5599999999999999E-2</v>
      </c>
      <c r="M37" s="117"/>
      <c r="N37" s="276"/>
    </row>
    <row r="38" spans="1:14" ht="13">
      <c r="A38" s="2" t="s">
        <v>1378</v>
      </c>
      <c r="B38" s="532" t="s">
        <v>2939</v>
      </c>
      <c r="C38" s="879">
        <v>0</v>
      </c>
      <c r="D38" s="879">
        <v>1.66E-2</v>
      </c>
      <c r="E38" s="879">
        <v>2.5700000000000001E-2</v>
      </c>
      <c r="F38" s="879">
        <v>2.47E-2</v>
      </c>
      <c r="G38" s="879">
        <v>2.4400000000000002E-2</v>
      </c>
      <c r="H38" s="879">
        <v>3.6700000000000003E-2</v>
      </c>
      <c r="I38" s="879">
        <v>3.0499999999999999E-2</v>
      </c>
      <c r="J38" s="879">
        <v>1.6500000000000001E-2</v>
      </c>
      <c r="K38" s="879">
        <v>3.8699999999999998E-2</v>
      </c>
      <c r="L38" s="879">
        <v>1.5599999999999999E-2</v>
      </c>
      <c r="M38" s="117"/>
      <c r="N38" s="276"/>
    </row>
    <row r="39" spans="1:14" ht="13">
      <c r="A39" s="2" t="s">
        <v>1379</v>
      </c>
      <c r="B39" s="532" t="s">
        <v>2940</v>
      </c>
      <c r="C39" s="879">
        <v>0</v>
      </c>
      <c r="D39" s="879">
        <v>1.66E-2</v>
      </c>
      <c r="E39" s="879">
        <v>2.5700000000000001E-2</v>
      </c>
      <c r="F39" s="879">
        <v>2.47E-2</v>
      </c>
      <c r="G39" s="879">
        <v>2.4400000000000002E-2</v>
      </c>
      <c r="H39" s="879">
        <v>3.6700000000000003E-2</v>
      </c>
      <c r="I39" s="879">
        <v>3.0499999999999999E-2</v>
      </c>
      <c r="J39" s="879">
        <v>1.6500000000000001E-2</v>
      </c>
      <c r="K39" s="879">
        <v>3.8699999999999998E-2</v>
      </c>
      <c r="L39" s="879">
        <v>1.5599999999999999E-2</v>
      </c>
      <c r="M39" s="117"/>
    </row>
    <row r="40" spans="1:14" ht="13">
      <c r="A40" s="2" t="s">
        <v>1380</v>
      </c>
      <c r="B40" s="532" t="s">
        <v>2941</v>
      </c>
      <c r="C40" s="879">
        <v>0</v>
      </c>
      <c r="D40" s="879">
        <v>1.66E-2</v>
      </c>
      <c r="E40" s="879">
        <v>2.5700000000000001E-2</v>
      </c>
      <c r="F40" s="879">
        <v>2.47E-2</v>
      </c>
      <c r="G40" s="879">
        <v>2.4400000000000002E-2</v>
      </c>
      <c r="H40" s="879">
        <v>3.6700000000000003E-2</v>
      </c>
      <c r="I40" s="879">
        <v>3.0499999999999999E-2</v>
      </c>
      <c r="J40" s="879">
        <v>1.6500000000000001E-2</v>
      </c>
      <c r="K40" s="879">
        <v>3.8699999999999998E-2</v>
      </c>
      <c r="L40" s="879">
        <v>1.5599999999999999E-2</v>
      </c>
      <c r="M40" s="117"/>
    </row>
    <row r="41" spans="1:14" ht="13">
      <c r="A41" s="2" t="s">
        <v>1381</v>
      </c>
      <c r="B41" s="532" t="s">
        <v>2942</v>
      </c>
      <c r="C41" s="879">
        <v>0</v>
      </c>
      <c r="D41" s="879">
        <v>1.66E-2</v>
      </c>
      <c r="E41" s="879">
        <v>2.5700000000000001E-2</v>
      </c>
      <c r="F41" s="879">
        <v>2.47E-2</v>
      </c>
      <c r="G41" s="879">
        <v>2.4400000000000002E-2</v>
      </c>
      <c r="H41" s="879">
        <v>3.6700000000000003E-2</v>
      </c>
      <c r="I41" s="879">
        <v>3.0499999999999999E-2</v>
      </c>
      <c r="J41" s="879">
        <v>1.6500000000000001E-2</v>
      </c>
      <c r="K41" s="879">
        <v>3.8699999999999998E-2</v>
      </c>
      <c r="L41" s="879">
        <v>1.5599999999999999E-2</v>
      </c>
      <c r="M41" s="117"/>
    </row>
    <row r="42" spans="1:14" ht="13">
      <c r="A42" s="2">
        <v>18</v>
      </c>
      <c r="C42" s="124"/>
      <c r="D42" s="124"/>
      <c r="E42" s="124"/>
      <c r="F42" s="124"/>
      <c r="G42" s="124"/>
      <c r="H42" s="124"/>
      <c r="I42" s="124"/>
      <c r="J42" s="124"/>
      <c r="K42" s="124"/>
      <c r="L42" s="124"/>
      <c r="M42" s="117"/>
    </row>
    <row r="43" spans="1:14" ht="13">
      <c r="A43" s="2">
        <f t="shared" si="0"/>
        <v>19</v>
      </c>
      <c r="B43" s="251" t="s">
        <v>1382</v>
      </c>
      <c r="C43" s="124"/>
      <c r="D43" s="124"/>
      <c r="E43" s="124"/>
      <c r="F43" s="124"/>
      <c r="G43" s="276" t="s">
        <v>1383</v>
      </c>
      <c r="H43" s="124"/>
      <c r="I43" s="124"/>
      <c r="J43" s="124"/>
      <c r="K43" s="124"/>
      <c r="L43" s="124"/>
      <c r="M43" s="117"/>
    </row>
    <row r="44" spans="1:14" ht="13">
      <c r="A44" s="2">
        <f t="shared" si="0"/>
        <v>20</v>
      </c>
      <c r="B44" s="117"/>
      <c r="C44" s="117"/>
      <c r="D44" s="117"/>
      <c r="E44" s="117"/>
      <c r="F44" s="117"/>
      <c r="G44" s="117"/>
      <c r="H44" s="117"/>
      <c r="I44" s="117"/>
      <c r="J44" s="117"/>
      <c r="K44" s="117"/>
      <c r="L44" s="117"/>
      <c r="M44" s="117"/>
    </row>
    <row r="45" spans="1:14" ht="13">
      <c r="A45" s="2">
        <f t="shared" si="0"/>
        <v>21</v>
      </c>
      <c r="B45" s="2"/>
      <c r="C45" s="261" t="s">
        <v>244</v>
      </c>
      <c r="D45" s="117"/>
      <c r="E45" s="117"/>
      <c r="F45" s="117"/>
      <c r="G45" s="117"/>
      <c r="H45" s="117"/>
      <c r="I45" s="117"/>
      <c r="J45" s="117"/>
      <c r="K45" s="117"/>
      <c r="L45" s="117"/>
      <c r="M45" s="117"/>
    </row>
    <row r="46" spans="1:14" ht="13">
      <c r="A46" s="2">
        <f t="shared" si="0"/>
        <v>22</v>
      </c>
      <c r="B46" s="2"/>
      <c r="C46" s="261" t="s">
        <v>744</v>
      </c>
      <c r="D46" s="117"/>
      <c r="E46" s="117"/>
      <c r="F46" s="117"/>
      <c r="G46" s="117"/>
      <c r="H46" s="117"/>
      <c r="I46" s="117"/>
      <c r="J46" s="117"/>
      <c r="K46" s="117"/>
      <c r="L46" s="117"/>
      <c r="M46" s="2" t="s">
        <v>371</v>
      </c>
    </row>
    <row r="47" spans="1:14" ht="13">
      <c r="A47" s="2">
        <f t="shared" si="0"/>
        <v>23</v>
      </c>
      <c r="B47" s="3" t="s">
        <v>643</v>
      </c>
      <c r="C47" s="48">
        <v>350.1</v>
      </c>
      <c r="D47" s="48">
        <v>350.2</v>
      </c>
      <c r="E47" s="48">
        <v>352</v>
      </c>
      <c r="F47" s="48">
        <v>353</v>
      </c>
      <c r="G47" s="48">
        <v>354</v>
      </c>
      <c r="H47" s="48">
        <v>355</v>
      </c>
      <c r="I47" s="48">
        <v>356</v>
      </c>
      <c r="J47" s="48">
        <v>357</v>
      </c>
      <c r="K47" s="48">
        <v>358</v>
      </c>
      <c r="L47" s="48">
        <v>359</v>
      </c>
      <c r="M47" s="3" t="s">
        <v>249</v>
      </c>
    </row>
    <row r="48" spans="1:14" ht="13">
      <c r="A48" s="2">
        <f t="shared" si="0"/>
        <v>24</v>
      </c>
      <c r="B48" s="532" t="s">
        <v>2931</v>
      </c>
      <c r="C48" s="119">
        <f>C12*$C$30/12</f>
        <v>0</v>
      </c>
      <c r="D48" s="119">
        <f t="shared" ref="D48:D59" si="1">D12*$D30/12</f>
        <v>231013.60770102078</v>
      </c>
      <c r="E48" s="119">
        <f t="shared" ref="E48:E59" si="2">E12*$E30/12</f>
        <v>1722227.8173066408</v>
      </c>
      <c r="F48" s="119">
        <f t="shared" ref="F48:F59" si="3">F12*$F30/12</f>
        <v>8134421.2657493157</v>
      </c>
      <c r="G48" s="119">
        <f t="shared" ref="G48:G59" si="4">G12*$G30/12</f>
        <v>4680983.0662873806</v>
      </c>
      <c r="H48" s="119">
        <f t="shared" ref="H48:H59" si="5">H12*$H30/12</f>
        <v>1321116.5968059811</v>
      </c>
      <c r="I48" s="119">
        <f t="shared" ref="I48:I59" si="6">I12*$I30/12</f>
        <v>3684490.8844070719</v>
      </c>
      <c r="J48" s="119">
        <f t="shared" ref="J48:J59" si="7">J12*$J30/12</f>
        <v>296192.56693718955</v>
      </c>
      <c r="K48" s="119">
        <f t="shared" ref="K48:K59" si="8">K12*$K30/12</f>
        <v>191118.68910804635</v>
      </c>
      <c r="L48" s="119">
        <f t="shared" ref="L48:L59" si="9">L12*$L30/12</f>
        <v>249727.67680262643</v>
      </c>
      <c r="M48" s="119">
        <f>SUM(C48:L48)</f>
        <v>20511292.171105273</v>
      </c>
    </row>
    <row r="49" spans="1:13" ht="13">
      <c r="A49" s="2">
        <f t="shared" si="0"/>
        <v>25</v>
      </c>
      <c r="B49" s="532" t="s">
        <v>2932</v>
      </c>
      <c r="C49" s="119">
        <f>C13*$C$31/12</f>
        <v>0</v>
      </c>
      <c r="D49" s="119">
        <f t="shared" si="1"/>
        <v>231014.82884863261</v>
      </c>
      <c r="E49" s="119">
        <f t="shared" si="2"/>
        <v>1726240.6081459022</v>
      </c>
      <c r="F49" s="119">
        <f t="shared" si="3"/>
        <v>8156839.825228353</v>
      </c>
      <c r="G49" s="119">
        <f t="shared" si="4"/>
        <v>4697302.6292632939</v>
      </c>
      <c r="H49" s="119">
        <f t="shared" si="5"/>
        <v>1327756.6562222259</v>
      </c>
      <c r="I49" s="119">
        <f t="shared" si="6"/>
        <v>3832794.1102807955</v>
      </c>
      <c r="J49" s="119">
        <f t="shared" si="7"/>
        <v>296178.45132296748</v>
      </c>
      <c r="K49" s="119">
        <f t="shared" si="8"/>
        <v>191042.63241067878</v>
      </c>
      <c r="L49" s="119">
        <f t="shared" si="9"/>
        <v>250124.20065146557</v>
      </c>
      <c r="M49" s="119">
        <f t="shared" ref="M49:M59" si="10">SUM(C49:L49)</f>
        <v>20709293.942374319</v>
      </c>
    </row>
    <row r="50" spans="1:13" ht="13">
      <c r="A50" s="2">
        <f t="shared" si="0"/>
        <v>26</v>
      </c>
      <c r="B50" s="532" t="s">
        <v>2933</v>
      </c>
      <c r="C50" s="119">
        <f>C14*$C$32/12</f>
        <v>0</v>
      </c>
      <c r="D50" s="119">
        <f t="shared" si="1"/>
        <v>231319.40431589563</v>
      </c>
      <c r="E50" s="119">
        <f t="shared" si="2"/>
        <v>1732629.7636295038</v>
      </c>
      <c r="F50" s="119">
        <f t="shared" si="3"/>
        <v>8185849.1504811654</v>
      </c>
      <c r="G50" s="119">
        <f t="shared" si="4"/>
        <v>4713793.0508213462</v>
      </c>
      <c r="H50" s="119">
        <f t="shared" si="5"/>
        <v>1348951.3200598436</v>
      </c>
      <c r="I50" s="119">
        <f t="shared" si="6"/>
        <v>3836262.622308163</v>
      </c>
      <c r="J50" s="119">
        <f t="shared" si="7"/>
        <v>296183.87023102457</v>
      </c>
      <c r="K50" s="119">
        <f t="shared" si="8"/>
        <v>190469.01065869746</v>
      </c>
      <c r="L50" s="119">
        <f t="shared" si="9"/>
        <v>249751.69697934881</v>
      </c>
      <c r="M50" s="119">
        <f t="shared" si="10"/>
        <v>20785209.889484983</v>
      </c>
    </row>
    <row r="51" spans="1:13" ht="13">
      <c r="A51" s="2">
        <f t="shared" si="0"/>
        <v>27</v>
      </c>
      <c r="B51" s="532" t="s">
        <v>2934</v>
      </c>
      <c r="C51" s="119">
        <f>C15*$C$33/12</f>
        <v>0</v>
      </c>
      <c r="D51" s="119">
        <f t="shared" si="1"/>
        <v>231520.38749649943</v>
      </c>
      <c r="E51" s="119">
        <f t="shared" si="2"/>
        <v>1736541.6148199684</v>
      </c>
      <c r="F51" s="119">
        <f t="shared" si="3"/>
        <v>8209611.0578948362</v>
      </c>
      <c r="G51" s="119">
        <f t="shared" si="4"/>
        <v>4729621.1438583182</v>
      </c>
      <c r="H51" s="119">
        <f t="shared" si="5"/>
        <v>1364981.3892412523</v>
      </c>
      <c r="I51" s="119">
        <f t="shared" si="6"/>
        <v>3837231.9135112823</v>
      </c>
      <c r="J51" s="119">
        <f t="shared" si="7"/>
        <v>296183.65060216154</v>
      </c>
      <c r="K51" s="119">
        <f t="shared" si="8"/>
        <v>190402.19487313347</v>
      </c>
      <c r="L51" s="119">
        <f t="shared" si="9"/>
        <v>249736.41096104679</v>
      </c>
      <c r="M51" s="119">
        <f t="shared" si="10"/>
        <v>20845829.763258498</v>
      </c>
    </row>
    <row r="52" spans="1:13" ht="13">
      <c r="A52" s="2">
        <f t="shared" si="0"/>
        <v>28</v>
      </c>
      <c r="B52" s="532" t="s">
        <v>2935</v>
      </c>
      <c r="C52" s="119">
        <f>C16*$C$34/12</f>
        <v>0</v>
      </c>
      <c r="D52" s="119">
        <f t="shared" si="1"/>
        <v>231541.22225000427</v>
      </c>
      <c r="E52" s="119">
        <f t="shared" si="2"/>
        <v>1738312.5464070179</v>
      </c>
      <c r="F52" s="119">
        <f t="shared" si="3"/>
        <v>8249735.1919679195</v>
      </c>
      <c r="G52" s="119">
        <f t="shared" si="4"/>
        <v>4754590.0569468103</v>
      </c>
      <c r="H52" s="119">
        <f t="shared" si="5"/>
        <v>1423756.4270066347</v>
      </c>
      <c r="I52" s="119">
        <f t="shared" si="6"/>
        <v>3792862.1157527068</v>
      </c>
      <c r="J52" s="119">
        <f t="shared" si="7"/>
        <v>296184.17717493436</v>
      </c>
      <c r="K52" s="119">
        <f t="shared" si="8"/>
        <v>190167.33094603338</v>
      </c>
      <c r="L52" s="119">
        <f t="shared" si="9"/>
        <v>248126.32157215371</v>
      </c>
      <c r="M52" s="119">
        <f t="shared" si="10"/>
        <v>20925275.390024211</v>
      </c>
    </row>
    <row r="53" spans="1:13" ht="13">
      <c r="A53" s="2">
        <f t="shared" si="0"/>
        <v>29</v>
      </c>
      <c r="B53" s="532" t="s">
        <v>2936</v>
      </c>
      <c r="C53" s="119">
        <f>C17*$C$35/12</f>
        <v>0</v>
      </c>
      <c r="D53" s="119">
        <f t="shared" si="1"/>
        <v>231571.79984787261</v>
      </c>
      <c r="E53" s="119">
        <f t="shared" si="2"/>
        <v>1742633.5262169049</v>
      </c>
      <c r="F53" s="119">
        <f t="shared" si="3"/>
        <v>8296630.3519613072</v>
      </c>
      <c r="G53" s="119">
        <f t="shared" si="4"/>
        <v>5353660.1419846956</v>
      </c>
      <c r="H53" s="119">
        <f t="shared" si="5"/>
        <v>1678210.0849984337</v>
      </c>
      <c r="I53" s="119">
        <f t="shared" si="6"/>
        <v>4328692.0379496915</v>
      </c>
      <c r="J53" s="119">
        <f t="shared" si="7"/>
        <v>296171.73782484612</v>
      </c>
      <c r="K53" s="119">
        <f t="shared" si="8"/>
        <v>190473.47455403538</v>
      </c>
      <c r="L53" s="119">
        <f t="shared" si="9"/>
        <v>340018.87828209699</v>
      </c>
      <c r="M53" s="119">
        <f t="shared" si="10"/>
        <v>22458062.033619884</v>
      </c>
    </row>
    <row r="54" spans="1:13" ht="13">
      <c r="A54" s="2">
        <f t="shared" si="0"/>
        <v>30</v>
      </c>
      <c r="B54" s="532" t="s">
        <v>2937</v>
      </c>
      <c r="C54" s="119">
        <f>C18*$C$36/12</f>
        <v>0</v>
      </c>
      <c r="D54" s="119">
        <f t="shared" si="1"/>
        <v>231613.66243094133</v>
      </c>
      <c r="E54" s="119">
        <f t="shared" si="2"/>
        <v>1752521.0995037621</v>
      </c>
      <c r="F54" s="119">
        <f t="shared" si="3"/>
        <v>8314636.9493726231</v>
      </c>
      <c r="G54" s="119">
        <f t="shared" si="4"/>
        <v>5285250.9864725824</v>
      </c>
      <c r="H54" s="119">
        <f t="shared" si="5"/>
        <v>1719749.9738726832</v>
      </c>
      <c r="I54" s="119">
        <f t="shared" si="6"/>
        <v>4416940.2092432333</v>
      </c>
      <c r="J54" s="119">
        <f t="shared" si="7"/>
        <v>296169.70648646652</v>
      </c>
      <c r="K54" s="119">
        <f t="shared" si="8"/>
        <v>189523.52637096765</v>
      </c>
      <c r="L54" s="119">
        <f t="shared" si="9"/>
        <v>350841.84226533974</v>
      </c>
      <c r="M54" s="119">
        <f t="shared" si="10"/>
        <v>22557247.956018604</v>
      </c>
    </row>
    <row r="55" spans="1:13" ht="13">
      <c r="A55" s="2">
        <f t="shared" si="0"/>
        <v>31</v>
      </c>
      <c r="B55" s="532" t="s">
        <v>2938</v>
      </c>
      <c r="C55" s="119">
        <f>C19*$C$37/12</f>
        <v>0</v>
      </c>
      <c r="D55" s="119">
        <f t="shared" si="1"/>
        <v>231613.66243094133</v>
      </c>
      <c r="E55" s="119">
        <f t="shared" si="2"/>
        <v>1755388.5874841614</v>
      </c>
      <c r="F55" s="119">
        <f t="shared" si="3"/>
        <v>8333303.127939689</v>
      </c>
      <c r="G55" s="119">
        <f t="shared" si="4"/>
        <v>4947027.7552635679</v>
      </c>
      <c r="H55" s="119">
        <f t="shared" si="5"/>
        <v>1586653.3842735142</v>
      </c>
      <c r="I55" s="119">
        <f t="shared" si="6"/>
        <v>4083628.9380082968</v>
      </c>
      <c r="J55" s="119">
        <f t="shared" si="7"/>
        <v>296094.92503155093</v>
      </c>
      <c r="K55" s="119">
        <f t="shared" si="8"/>
        <v>188370.82155433708</v>
      </c>
      <c r="L55" s="119">
        <f t="shared" si="9"/>
        <v>288767.77273668954</v>
      </c>
      <c r="M55" s="119">
        <f t="shared" si="10"/>
        <v>21710848.97472275</v>
      </c>
    </row>
    <row r="56" spans="1:13" ht="13">
      <c r="A56" s="2">
        <f t="shared" si="0"/>
        <v>32</v>
      </c>
      <c r="B56" s="532" t="s">
        <v>2939</v>
      </c>
      <c r="C56" s="119">
        <f>C20*$C$38/12</f>
        <v>0</v>
      </c>
      <c r="D56" s="119">
        <f t="shared" si="1"/>
        <v>242570.88848231683</v>
      </c>
      <c r="E56" s="119">
        <f t="shared" si="2"/>
        <v>1755291.0262596642</v>
      </c>
      <c r="F56" s="119">
        <f t="shared" si="3"/>
        <v>8336038.9251397001</v>
      </c>
      <c r="G56" s="119">
        <f t="shared" si="4"/>
        <v>4945035.4897856088</v>
      </c>
      <c r="H56" s="119">
        <f t="shared" si="5"/>
        <v>1581912.3589719615</v>
      </c>
      <c r="I56" s="119">
        <f t="shared" si="6"/>
        <v>4096268.8739449382</v>
      </c>
      <c r="J56" s="119">
        <f t="shared" si="7"/>
        <v>296094.59617497126</v>
      </c>
      <c r="K56" s="119">
        <f t="shared" si="8"/>
        <v>188213.37115317641</v>
      </c>
      <c r="L56" s="119">
        <f t="shared" si="9"/>
        <v>288908.50562116626</v>
      </c>
      <c r="M56" s="119">
        <f t="shared" si="10"/>
        <v>21730334.035533499</v>
      </c>
    </row>
    <row r="57" spans="1:13" ht="13">
      <c r="A57" s="2">
        <f t="shared" si="0"/>
        <v>33</v>
      </c>
      <c r="B57" s="532" t="s">
        <v>2940</v>
      </c>
      <c r="C57" s="119">
        <f>C21*$C$39/12</f>
        <v>0</v>
      </c>
      <c r="D57" s="119">
        <f t="shared" si="1"/>
        <v>242572.13024721007</v>
      </c>
      <c r="E57" s="119">
        <f t="shared" si="2"/>
        <v>1760975.8896483348</v>
      </c>
      <c r="F57" s="119">
        <f t="shared" si="3"/>
        <v>8341018.1621207399</v>
      </c>
      <c r="G57" s="119">
        <f t="shared" si="4"/>
        <v>4949815.0728689618</v>
      </c>
      <c r="H57" s="119">
        <f t="shared" si="5"/>
        <v>1603703.1764478236</v>
      </c>
      <c r="I57" s="119">
        <f t="shared" si="6"/>
        <v>4101026.5904353503</v>
      </c>
      <c r="J57" s="119">
        <f t="shared" si="7"/>
        <v>296036.46443230956</v>
      </c>
      <c r="K57" s="119">
        <f t="shared" si="8"/>
        <v>189011.60318032754</v>
      </c>
      <c r="L57" s="119">
        <f t="shared" si="9"/>
        <v>289421.07774381794</v>
      </c>
      <c r="M57" s="119">
        <f t="shared" si="10"/>
        <v>21773580.167124875</v>
      </c>
    </row>
    <row r="58" spans="1:13" ht="13">
      <c r="A58" s="2">
        <f t="shared" si="0"/>
        <v>34</v>
      </c>
      <c r="B58" s="532" t="s">
        <v>2941</v>
      </c>
      <c r="C58" s="119">
        <f>C22*$C$40/12</f>
        <v>0</v>
      </c>
      <c r="D58" s="119">
        <f t="shared" si="1"/>
        <v>243018.81408500395</v>
      </c>
      <c r="E58" s="119">
        <f t="shared" si="2"/>
        <v>1780198.1547889148</v>
      </c>
      <c r="F58" s="119">
        <f t="shared" si="3"/>
        <v>8349003.748710189</v>
      </c>
      <c r="G58" s="119">
        <f t="shared" si="4"/>
        <v>4954453.0476173824</v>
      </c>
      <c r="H58" s="119">
        <f t="shared" si="5"/>
        <v>1626447.8680912268</v>
      </c>
      <c r="I58" s="119">
        <f t="shared" si="6"/>
        <v>4103051.4496417022</v>
      </c>
      <c r="J58" s="119">
        <f t="shared" si="7"/>
        <v>296048.76066304446</v>
      </c>
      <c r="K58" s="119">
        <f t="shared" si="8"/>
        <v>189265.87991526563</v>
      </c>
      <c r="L58" s="119">
        <f t="shared" si="9"/>
        <v>289608.83698217879</v>
      </c>
      <c r="M58" s="119">
        <f t="shared" si="10"/>
        <v>21831096.560494907</v>
      </c>
    </row>
    <row r="59" spans="1:13" ht="13">
      <c r="A59" s="2">
        <f t="shared" si="0"/>
        <v>35</v>
      </c>
      <c r="B59" s="532" t="s">
        <v>2942</v>
      </c>
      <c r="C59" s="192">
        <f>C23*$C$41/12</f>
        <v>0</v>
      </c>
      <c r="D59" s="192">
        <f t="shared" si="1"/>
        <v>242964.38462289737</v>
      </c>
      <c r="E59" s="192">
        <f t="shared" si="2"/>
        <v>1810905.2562298423</v>
      </c>
      <c r="F59" s="192">
        <f t="shared" si="3"/>
        <v>8417861.300703492</v>
      </c>
      <c r="G59" s="192">
        <f t="shared" si="4"/>
        <v>4967172.5309534371</v>
      </c>
      <c r="H59" s="192">
        <f t="shared" si="5"/>
        <v>1646192.8201282378</v>
      </c>
      <c r="I59" s="192">
        <f t="shared" si="6"/>
        <v>4105744.7864425001</v>
      </c>
      <c r="J59" s="192">
        <f t="shared" si="7"/>
        <v>296048.73264916753</v>
      </c>
      <c r="K59" s="192">
        <f t="shared" si="8"/>
        <v>189211.02919431555</v>
      </c>
      <c r="L59" s="192">
        <f t="shared" si="9"/>
        <v>289792.04209996801</v>
      </c>
      <c r="M59" s="53">
        <f t="shared" si="10"/>
        <v>21965892.883023854</v>
      </c>
    </row>
    <row r="60" spans="1:13" ht="13">
      <c r="A60" s="2">
        <f t="shared" si="0"/>
        <v>36</v>
      </c>
      <c r="B60" s="118" t="s">
        <v>431</v>
      </c>
      <c r="C60" s="119">
        <f>SUM(C48:C59)</f>
        <v>0</v>
      </c>
      <c r="D60" s="119">
        <f t="shared" ref="D60:K60" si="11">SUM(D48:D59)</f>
        <v>2822334.7927592364</v>
      </c>
      <c r="E60" s="119">
        <f t="shared" si="11"/>
        <v>21013865.89044062</v>
      </c>
      <c r="F60" s="119">
        <f t="shared" si="11"/>
        <v>99324949.057269335</v>
      </c>
      <c r="G60" s="119">
        <f t="shared" si="11"/>
        <v>58978704.972123392</v>
      </c>
      <c r="H60" s="119">
        <f>SUM(H48:H59)</f>
        <v>18229432.056119822</v>
      </c>
      <c r="I60" s="119">
        <f t="shared" si="11"/>
        <v>48218994.531925738</v>
      </c>
      <c r="J60" s="119">
        <f t="shared" si="11"/>
        <v>3553587.639530634</v>
      </c>
      <c r="K60" s="119">
        <f t="shared" si="11"/>
        <v>2277269.5639190148</v>
      </c>
      <c r="L60" s="119">
        <f>SUM(L48:L59)</f>
        <v>3384825.2626978992</v>
      </c>
      <c r="M60" s="6"/>
    </row>
    <row r="61" spans="1:13" ht="13">
      <c r="A61" s="2">
        <f t="shared" si="0"/>
        <v>37</v>
      </c>
      <c r="B61" s="117"/>
      <c r="C61" s="117"/>
      <c r="D61" s="117"/>
      <c r="E61" s="117"/>
      <c r="F61" s="117"/>
      <c r="G61" s="117"/>
      <c r="H61" s="117"/>
      <c r="I61" s="117"/>
      <c r="J61" s="117"/>
      <c r="K61" s="117"/>
      <c r="L61" s="249" t="s">
        <v>1384</v>
      </c>
      <c r="M61" s="119">
        <f>SUM(M48:M59)</f>
        <v>257803963.76678562</v>
      </c>
    </row>
    <row r="62" spans="1:13" ht="13">
      <c r="A62" s="2">
        <f t="shared" si="0"/>
        <v>38</v>
      </c>
      <c r="B62" s="117"/>
      <c r="C62" s="117"/>
      <c r="D62" s="117"/>
      <c r="E62" s="117"/>
      <c r="F62" s="117"/>
      <c r="G62" s="117"/>
      <c r="H62" s="117"/>
      <c r="I62" s="117"/>
      <c r="J62" s="117"/>
      <c r="K62" s="117"/>
      <c r="L62" s="409" t="s">
        <v>1385</v>
      </c>
      <c r="M62" s="117"/>
    </row>
    <row r="63" spans="1:13" ht="13">
      <c r="A63" s="2">
        <f t="shared" si="0"/>
        <v>39</v>
      </c>
      <c r="B63" s="1" t="s">
        <v>1386</v>
      </c>
      <c r="C63" s="117"/>
      <c r="D63" s="117"/>
      <c r="E63" s="117"/>
      <c r="F63" s="117"/>
      <c r="G63" s="117"/>
      <c r="H63" s="117"/>
      <c r="I63" s="117"/>
      <c r="J63" s="117"/>
      <c r="K63" s="117"/>
      <c r="L63" s="117"/>
      <c r="M63" s="117"/>
    </row>
    <row r="64" spans="1:13" ht="13">
      <c r="A64" s="2">
        <f t="shared" si="0"/>
        <v>40</v>
      </c>
      <c r="B64" s="117"/>
      <c r="C64" s="117"/>
      <c r="D64" s="117"/>
      <c r="E64" s="117"/>
      <c r="F64" s="117"/>
      <c r="G64" s="117"/>
      <c r="H64" s="117"/>
      <c r="I64" s="117"/>
      <c r="J64" s="117"/>
      <c r="K64" s="117"/>
      <c r="L64" s="117"/>
      <c r="M64" s="117"/>
    </row>
    <row r="65" spans="1:13" ht="13">
      <c r="A65" s="2">
        <f t="shared" si="0"/>
        <v>41</v>
      </c>
      <c r="B65" s="117"/>
      <c r="C65" s="117"/>
      <c r="D65" s="48">
        <v>360</v>
      </c>
      <c r="E65" s="48">
        <v>361</v>
      </c>
      <c r="F65" s="48">
        <v>362</v>
      </c>
      <c r="G65" s="117"/>
      <c r="H65" s="30" t="s">
        <v>652</v>
      </c>
      <c r="I65" s="3"/>
      <c r="J65" s="117"/>
      <c r="K65" s="117"/>
      <c r="L65" s="117"/>
      <c r="M65" s="117"/>
    </row>
    <row r="66" spans="1:13" ht="13">
      <c r="A66" s="2">
        <f t="shared" si="0"/>
        <v>42</v>
      </c>
      <c r="B66" s="251" t="s">
        <v>1387</v>
      </c>
      <c r="C66" s="117"/>
      <c r="D66" s="119">
        <f>'6-PlantInService'!C35</f>
        <v>0</v>
      </c>
      <c r="E66" s="119">
        <f>'6-PlantInService'!D35</f>
        <v>0</v>
      </c>
      <c r="F66" s="119">
        <f>'6-PlantInService'!E35</f>
        <v>0</v>
      </c>
      <c r="G66" s="117"/>
      <c r="H66" s="251" t="s">
        <v>1388</v>
      </c>
      <c r="I66" s="250"/>
      <c r="J66" s="117"/>
      <c r="K66" s="117"/>
      <c r="L66" s="117"/>
      <c r="M66" s="117"/>
    </row>
    <row r="67" spans="1:13" ht="13">
      <c r="A67" s="2">
        <f t="shared" si="0"/>
        <v>43</v>
      </c>
      <c r="B67" s="251" t="s">
        <v>1389</v>
      </c>
      <c r="C67" s="117"/>
      <c r="D67" s="192">
        <f>'6-PlantInService'!C36</f>
        <v>0</v>
      </c>
      <c r="E67" s="192">
        <f>'6-PlantInService'!D36</f>
        <v>0</v>
      </c>
      <c r="F67" s="192">
        <f>'6-PlantInService'!E36</f>
        <v>0</v>
      </c>
      <c r="G67" s="117"/>
      <c r="H67" s="251" t="s">
        <v>1390</v>
      </c>
      <c r="I67" s="117"/>
      <c r="J67" s="117"/>
      <c r="K67" s="117"/>
      <c r="M67" s="117"/>
    </row>
    <row r="68" spans="1:13" ht="13">
      <c r="A68" s="2">
        <f t="shared" si="0"/>
        <v>44</v>
      </c>
      <c r="B68" s="251" t="s">
        <v>1391</v>
      </c>
      <c r="C68" s="117"/>
      <c r="D68" s="119">
        <f>AVERAGE(D66:D67)</f>
        <v>0</v>
      </c>
      <c r="E68" s="119">
        <f>AVERAGE(E66:E67)</f>
        <v>0</v>
      </c>
      <c r="F68" s="119">
        <f>AVERAGE(F66:F67)</f>
        <v>0</v>
      </c>
      <c r="G68" s="117"/>
      <c r="H68" s="127"/>
      <c r="I68" s="250"/>
      <c r="J68" s="117"/>
      <c r="K68" s="117"/>
      <c r="M68" s="117"/>
    </row>
    <row r="69" spans="1:13" ht="13">
      <c r="A69" s="2">
        <f t="shared" si="0"/>
        <v>45</v>
      </c>
      <c r="J69" s="117"/>
      <c r="K69" s="117"/>
      <c r="M69" s="117"/>
    </row>
    <row r="70" spans="1:13" ht="13">
      <c r="A70" s="2">
        <f t="shared" si="0"/>
        <v>46</v>
      </c>
      <c r="B70" s="349" t="s">
        <v>1392</v>
      </c>
      <c r="C70" s="117"/>
      <c r="D70" s="117"/>
      <c r="E70" s="117"/>
      <c r="J70" s="117"/>
      <c r="K70" s="117"/>
      <c r="L70" s="119"/>
      <c r="M70" s="117"/>
    </row>
    <row r="71" spans="1:13" ht="13">
      <c r="A71" s="2">
        <f t="shared" si="0"/>
        <v>47</v>
      </c>
      <c r="B71" s="117"/>
      <c r="D71" s="48">
        <v>360</v>
      </c>
      <c r="E71" s="48">
        <v>361</v>
      </c>
      <c r="F71" s="48">
        <v>362</v>
      </c>
      <c r="J71" s="117"/>
      <c r="K71" s="117"/>
      <c r="L71" s="119"/>
      <c r="M71" s="117"/>
    </row>
    <row r="72" spans="1:13" ht="13">
      <c r="A72" s="2">
        <f t="shared" si="0"/>
        <v>48</v>
      </c>
      <c r="D72" s="124">
        <f>'18-DepRates'!$G20</f>
        <v>1.67E-2</v>
      </c>
      <c r="E72" s="124">
        <f>'18-DepRates'!$G21</f>
        <v>2.0500000000000001E-2</v>
      </c>
      <c r="F72" s="124">
        <f>'18-DepRates'!$G22</f>
        <v>1.8599999999999998E-2</v>
      </c>
      <c r="J72" s="117"/>
      <c r="K72" s="117"/>
      <c r="L72" s="119"/>
      <c r="M72" s="117"/>
    </row>
    <row r="73" spans="1:13" ht="13">
      <c r="A73" s="2">
        <f t="shared" si="0"/>
        <v>49</v>
      </c>
      <c r="J73" s="117"/>
      <c r="K73" s="117"/>
      <c r="L73" s="53"/>
      <c r="M73" s="117"/>
    </row>
    <row r="74" spans="1:13" ht="13">
      <c r="A74" s="2">
        <f t="shared" si="0"/>
        <v>50</v>
      </c>
      <c r="B74" t="s">
        <v>1393</v>
      </c>
      <c r="F74" s="251" t="s">
        <v>1394</v>
      </c>
      <c r="J74" s="117"/>
      <c r="K74" s="117"/>
      <c r="L74" s="124"/>
      <c r="M74" s="117"/>
    </row>
    <row r="75" spans="1:13" ht="13">
      <c r="A75" s="2">
        <f t="shared" si="0"/>
        <v>51</v>
      </c>
      <c r="J75" s="117"/>
      <c r="K75" s="117"/>
      <c r="L75" s="124"/>
      <c r="M75" s="117"/>
    </row>
    <row r="76" spans="1:13" ht="13">
      <c r="A76" s="2">
        <f t="shared" si="0"/>
        <v>52</v>
      </c>
      <c r="D76" s="48">
        <v>360</v>
      </c>
      <c r="E76" s="48">
        <v>361</v>
      </c>
      <c r="F76" s="48">
        <v>362</v>
      </c>
      <c r="G76" s="193" t="s">
        <v>249</v>
      </c>
      <c r="J76" s="117"/>
      <c r="K76" s="117"/>
      <c r="L76" s="124"/>
      <c r="M76" s="117"/>
    </row>
    <row r="77" spans="1:13" ht="13">
      <c r="A77" s="2">
        <f t="shared" ref="A77:A90" si="12">A76+1</f>
        <v>53</v>
      </c>
      <c r="D77" s="6">
        <f xml:space="preserve"> D68*D72</f>
        <v>0</v>
      </c>
      <c r="E77" s="6">
        <f xml:space="preserve"> E68*E72</f>
        <v>0</v>
      </c>
      <c r="F77" s="6">
        <f xml:space="preserve"> F68*F72</f>
        <v>0</v>
      </c>
      <c r="G77" s="6">
        <f>SUM(D77:F77)</f>
        <v>0</v>
      </c>
      <c r="H77" s="12" t="s">
        <v>1395</v>
      </c>
      <c r="J77" s="117"/>
      <c r="K77" s="117"/>
      <c r="L77" s="119"/>
      <c r="M77" s="117"/>
    </row>
    <row r="78" spans="1:13" ht="13">
      <c r="A78" s="2">
        <f t="shared" si="12"/>
        <v>54</v>
      </c>
      <c r="H78" s="12" t="s">
        <v>1396</v>
      </c>
      <c r="J78" s="117"/>
      <c r="K78" s="117"/>
      <c r="L78" s="117"/>
      <c r="M78" s="117"/>
    </row>
    <row r="79" spans="1:13" ht="13">
      <c r="A79" s="2">
        <f t="shared" si="12"/>
        <v>55</v>
      </c>
      <c r="J79" s="117"/>
      <c r="K79" s="117"/>
      <c r="L79" s="117"/>
      <c r="M79" s="117"/>
    </row>
    <row r="80" spans="1:13" ht="13">
      <c r="A80" s="2">
        <f t="shared" si="12"/>
        <v>56</v>
      </c>
      <c r="B80" s="1" t="s">
        <v>1397</v>
      </c>
      <c r="J80" s="117"/>
      <c r="K80" s="117"/>
      <c r="L80" s="117"/>
      <c r="M80" s="117"/>
    </row>
    <row r="81" spans="1:13" ht="13">
      <c r="A81" s="2">
        <f t="shared" si="12"/>
        <v>57</v>
      </c>
      <c r="B81" s="117"/>
      <c r="C81" s="117"/>
      <c r="D81" s="117"/>
      <c r="E81" s="117"/>
      <c r="F81" s="117"/>
      <c r="G81" s="117"/>
      <c r="H81" s="117"/>
      <c r="I81" s="117"/>
      <c r="J81" s="117"/>
      <c r="K81" s="117"/>
      <c r="L81" s="117"/>
      <c r="M81" s="117"/>
    </row>
    <row r="82" spans="1:13" ht="13">
      <c r="A82" s="2">
        <f t="shared" si="12"/>
        <v>58</v>
      </c>
      <c r="B82" s="295" t="s">
        <v>1398</v>
      </c>
      <c r="C82" s="117"/>
      <c r="D82" s="117"/>
      <c r="E82" s="117"/>
      <c r="F82" s="117"/>
      <c r="G82" s="117"/>
      <c r="H82" s="194">
        <v>290417195</v>
      </c>
      <c r="I82" s="250" t="s">
        <v>1399</v>
      </c>
      <c r="J82" s="117"/>
      <c r="K82" s="117"/>
      <c r="L82" s="117"/>
      <c r="M82" s="117"/>
    </row>
    <row r="83" spans="1:13" ht="13">
      <c r="A83" s="2">
        <f t="shared" si="12"/>
        <v>59</v>
      </c>
      <c r="B83" s="251" t="s">
        <v>1400</v>
      </c>
      <c r="C83" s="117"/>
      <c r="D83" s="117"/>
      <c r="E83" s="117"/>
      <c r="F83" s="117"/>
      <c r="G83" s="117"/>
      <c r="H83" s="58">
        <v>321783944</v>
      </c>
      <c r="I83" s="250" t="s">
        <v>1401</v>
      </c>
      <c r="J83" s="117"/>
      <c r="K83" s="117"/>
      <c r="L83" s="117"/>
      <c r="M83" s="117"/>
    </row>
    <row r="84" spans="1:13" ht="13">
      <c r="A84" s="2">
        <f t="shared" si="12"/>
        <v>60</v>
      </c>
      <c r="B84" s="295" t="s">
        <v>1402</v>
      </c>
      <c r="C84" s="117"/>
      <c r="D84" s="117"/>
      <c r="E84" s="117"/>
      <c r="F84" s="117"/>
      <c r="G84" s="117"/>
      <c r="H84" s="119">
        <f>SUM(H82:H83)</f>
        <v>612201139</v>
      </c>
      <c r="I84" s="250" t="str">
        <f>"Line "&amp;A82&amp;" + Line "&amp;A83&amp;""</f>
        <v>Line 58 + Line 59</v>
      </c>
      <c r="J84" s="117"/>
      <c r="K84" s="117"/>
      <c r="L84" s="117"/>
      <c r="M84" s="117"/>
    </row>
    <row r="85" spans="1:13" ht="13">
      <c r="A85" s="2">
        <f t="shared" si="12"/>
        <v>61</v>
      </c>
      <c r="B85" s="295" t="s">
        <v>142</v>
      </c>
      <c r="C85" s="117"/>
      <c r="D85" s="117"/>
      <c r="E85" s="117"/>
      <c r="F85" s="117"/>
      <c r="G85" s="117"/>
      <c r="H85" s="130">
        <f>'27-Allocators'!G15</f>
        <v>6.2174818554839952E-2</v>
      </c>
      <c r="I85" s="12" t="str">
        <f>"27-Allocators, Line "&amp;'27-Allocators'!A15&amp;""</f>
        <v>27-Allocators, Line 9</v>
      </c>
      <c r="J85" s="117"/>
      <c r="K85" s="117"/>
      <c r="L85" s="117"/>
      <c r="M85" s="117"/>
    </row>
    <row r="86" spans="1:13" ht="13">
      <c r="A86" s="2">
        <f t="shared" si="12"/>
        <v>62</v>
      </c>
      <c r="B86" s="295" t="s">
        <v>1403</v>
      </c>
      <c r="C86" s="117"/>
      <c r="D86" s="117"/>
      <c r="E86" s="117"/>
      <c r="F86" s="117"/>
      <c r="G86" s="117"/>
      <c r="H86" s="119">
        <f>H84*H85</f>
        <v>38063494.736391351</v>
      </c>
      <c r="I86" s="250" t="str">
        <f>"Line "&amp;A84&amp;" * Line "&amp;A85&amp;""</f>
        <v>Line 60 * Line 61</v>
      </c>
      <c r="J86" s="117"/>
      <c r="K86" s="117"/>
      <c r="L86" s="117"/>
      <c r="M86" s="117"/>
    </row>
    <row r="87" spans="1:13" ht="13">
      <c r="A87" s="2">
        <f t="shared" si="12"/>
        <v>63</v>
      </c>
      <c r="B87" s="295"/>
      <c r="C87" s="251"/>
      <c r="D87" s="117"/>
      <c r="E87" s="117"/>
      <c r="F87" s="117"/>
      <c r="G87" s="117"/>
      <c r="H87" s="117"/>
      <c r="I87" s="117"/>
      <c r="J87" s="117"/>
      <c r="K87" s="117"/>
      <c r="L87" s="117"/>
      <c r="M87" s="117"/>
    </row>
    <row r="88" spans="1:13" ht="13">
      <c r="A88" s="2">
        <f t="shared" si="12"/>
        <v>64</v>
      </c>
      <c r="B88" s="47" t="s">
        <v>1404</v>
      </c>
      <c r="C88" s="117"/>
      <c r="D88" s="117"/>
      <c r="E88" s="117"/>
      <c r="F88" s="117"/>
      <c r="G88" s="117"/>
      <c r="H88" s="117"/>
      <c r="I88" s="117"/>
      <c r="J88" s="117"/>
      <c r="K88" s="117"/>
      <c r="L88" s="117"/>
      <c r="M88" s="117"/>
    </row>
    <row r="89" spans="1:13" ht="13">
      <c r="A89" s="2">
        <f t="shared" si="12"/>
        <v>65</v>
      </c>
      <c r="B89" s="295"/>
      <c r="C89" s="251"/>
      <c r="D89" s="117"/>
      <c r="E89" s="117"/>
      <c r="F89" s="117"/>
      <c r="G89" s="117"/>
      <c r="H89" s="117"/>
      <c r="I89" s="117"/>
      <c r="J89" s="117"/>
      <c r="K89" s="117"/>
      <c r="L89" s="117"/>
      <c r="M89" s="117"/>
    </row>
    <row r="90" spans="1:13" ht="13">
      <c r="A90" s="2">
        <f t="shared" si="12"/>
        <v>66</v>
      </c>
      <c r="B90" s="295" t="s">
        <v>1405</v>
      </c>
      <c r="C90" s="117"/>
      <c r="D90" s="117"/>
      <c r="E90" s="117"/>
      <c r="F90" s="3" t="s">
        <v>79</v>
      </c>
      <c r="G90" s="3" t="s">
        <v>652</v>
      </c>
      <c r="H90" s="117"/>
      <c r="I90" s="117"/>
    </row>
    <row r="91" spans="1:13" ht="13">
      <c r="A91" s="2">
        <f>A90+1</f>
        <v>67</v>
      </c>
      <c r="B91" s="250" t="s">
        <v>1406</v>
      </c>
      <c r="C91" s="117"/>
      <c r="D91" s="117"/>
      <c r="E91" s="117"/>
      <c r="F91" s="119">
        <f>M61</f>
        <v>257803963.76678562</v>
      </c>
      <c r="G91" s="250" t="str">
        <f>"Line "&amp;A61&amp;", Col 12"</f>
        <v>Line 37, Col 12</v>
      </c>
      <c r="H91" s="117"/>
      <c r="I91" s="117"/>
    </row>
    <row r="92" spans="1:13" ht="13">
      <c r="A92" s="2">
        <f>A91+1</f>
        <v>68</v>
      </c>
      <c r="B92" s="250" t="s">
        <v>1407</v>
      </c>
      <c r="C92" s="117"/>
      <c r="D92" s="117"/>
      <c r="E92" s="117"/>
      <c r="F92" s="119">
        <f>G77</f>
        <v>0</v>
      </c>
      <c r="G92" s="250" t="str">
        <f>"Line "&amp;A77&amp;""</f>
        <v>Line 53</v>
      </c>
      <c r="H92" s="117"/>
      <c r="I92" s="117"/>
    </row>
    <row r="93" spans="1:13" ht="13">
      <c r="A93" s="2">
        <f>A92+1</f>
        <v>69</v>
      </c>
      <c r="B93" s="250" t="s">
        <v>1408</v>
      </c>
      <c r="C93" s="117"/>
      <c r="D93" s="117"/>
      <c r="E93" s="117"/>
      <c r="F93" s="53">
        <f>H86</f>
        <v>38063494.736391351</v>
      </c>
      <c r="G93" s="250" t="str">
        <f>"Line "&amp;A86&amp;""</f>
        <v>Line 62</v>
      </c>
      <c r="H93" s="117"/>
      <c r="I93" s="117"/>
    </row>
    <row r="94" spans="1:13" ht="13">
      <c r="A94" s="2">
        <f>A93+1</f>
        <v>70</v>
      </c>
      <c r="B94" s="117"/>
      <c r="C94" s="117"/>
      <c r="D94" s="117"/>
      <c r="E94" s="118" t="s">
        <v>1409</v>
      </c>
      <c r="F94" s="119">
        <f>SUM(F91:F93)</f>
        <v>295867458.50317699</v>
      </c>
      <c r="G94" s="250" t="str">
        <f>"Line "&amp;A91&amp;" + Line "&amp;A92&amp;" + Line "&amp;A93&amp;""</f>
        <v>Line 67 + Line 68 + Line 69</v>
      </c>
      <c r="H94" s="117"/>
      <c r="I94" s="117"/>
    </row>
    <row r="95" spans="1:13" ht="13">
      <c r="A95" s="117"/>
      <c r="B95" s="1" t="s">
        <v>228</v>
      </c>
      <c r="C95" s="117"/>
      <c r="D95" s="117"/>
      <c r="E95" s="117"/>
      <c r="F95" s="117"/>
      <c r="G95" s="117"/>
      <c r="H95" s="117"/>
      <c r="I95" s="117"/>
    </row>
    <row r="96" spans="1:13">
      <c r="A96" s="117"/>
      <c r="B96" s="251" t="s">
        <v>1410</v>
      </c>
      <c r="C96" s="117"/>
      <c r="D96" s="117"/>
      <c r="E96" s="117"/>
      <c r="F96" s="117"/>
      <c r="G96" s="117"/>
      <c r="H96" s="117"/>
      <c r="I96" s="117"/>
    </row>
    <row r="97" spans="1:9">
      <c r="A97" s="117"/>
      <c r="B97" s="251" t="str">
        <f>"same account, times the Monthly Depreciation Rate for that account.  Monthly rate = annual rates on Line "&amp;A29&amp;" etc. divided by 12."</f>
        <v>same account, times the Monthly Depreciation Rate for that account.  Monthly rate = annual rates on Line 17a etc. divided by 12.</v>
      </c>
      <c r="C97" s="117"/>
      <c r="D97" s="117"/>
      <c r="E97" s="117"/>
      <c r="F97" s="117"/>
      <c r="G97" s="117"/>
      <c r="H97" s="117"/>
      <c r="I97" s="117"/>
    </row>
    <row r="98" spans="1:9">
      <c r="A98" s="117"/>
      <c r="B98" s="251" t="str">
        <f>"2) Depreciation Expense for each account is equal to the Average BOY/EOY value on Line "&amp;A68&amp;" times the"</f>
        <v>2) Depreciation Expense for each account is equal to the Average BOY/EOY value on Line 44 times the</v>
      </c>
      <c r="C98" s="117"/>
      <c r="D98" s="117"/>
      <c r="E98" s="117"/>
      <c r="F98" s="117"/>
      <c r="G98" s="117"/>
      <c r="H98" s="117"/>
      <c r="I98" s="117"/>
    </row>
    <row r="99" spans="1:9">
      <c r="B99" s="251" t="str">
        <f>"Depreciation Rate on Line "&amp;A72&amp;"."</f>
        <v>Depreciation Rate on Line 48.</v>
      </c>
    </row>
    <row r="100" spans="1:9" ht="13">
      <c r="B100" s="1" t="s">
        <v>433</v>
      </c>
    </row>
    <row r="101" spans="1:9">
      <c r="B101" s="251" t="s">
        <v>1411</v>
      </c>
    </row>
    <row r="102" spans="1:9">
      <c r="B102" s="251" t="s">
        <v>1412</v>
      </c>
    </row>
    <row r="103" spans="1:9">
      <c r="B103" s="251" t="s">
        <v>1413</v>
      </c>
    </row>
    <row r="104" spans="1:9">
      <c r="B104" s="251"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row>
  </sheetData>
  <pageMargins left="0.7" right="0.7" top="0.75" bottom="0.75" header="0.3" footer="0.3"/>
  <pageSetup scale="63" orientation="landscape" cellComments="asDisplayed" r:id="rId1"/>
  <headerFooter>
    <oddHeader>&amp;CSchedule 17
Depreciation Expense
&amp;RTO2023 Draft Annual Update 
Attachment 1</oddHeader>
    <oddFooter>&amp;R&amp;A</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7"/>
  <sheetViews>
    <sheetView topLeftCell="C62" zoomScaleNormal="100" workbookViewId="0">
      <selection activeCell="C32" sqref="C32"/>
    </sheetView>
  </sheetViews>
  <sheetFormatPr defaultColWidth="8.54296875" defaultRowHeight="12.5"/>
  <cols>
    <col min="1" max="1" width="4.54296875" customWidth="1"/>
    <col min="2" max="2" width="2.1796875" customWidth="1"/>
    <col min="4" max="4" width="38.54296875" customWidth="1"/>
    <col min="5" max="7" width="8.54296875" style="251"/>
  </cols>
  <sheetData>
    <row r="1" spans="1:11" ht="13">
      <c r="A1" s="209" t="s">
        <v>1414</v>
      </c>
      <c r="B1" s="251"/>
      <c r="C1" s="251"/>
      <c r="D1" s="251"/>
      <c r="K1" t="s">
        <v>1415</v>
      </c>
    </row>
    <row r="2" spans="1:11">
      <c r="A2" s="251"/>
      <c r="B2" s="251"/>
      <c r="C2" s="251"/>
      <c r="D2" s="251"/>
    </row>
    <row r="3" spans="1:11" ht="13">
      <c r="A3" s="251"/>
      <c r="B3" s="209" t="s">
        <v>639</v>
      </c>
      <c r="C3" s="251"/>
      <c r="D3" s="251"/>
      <c r="E3" s="2" t="s">
        <v>660</v>
      </c>
      <c r="F3" s="2"/>
      <c r="G3" s="2"/>
    </row>
    <row r="4" spans="1:11" ht="13">
      <c r="A4" s="251"/>
      <c r="B4" s="251"/>
      <c r="C4" s="120" t="s">
        <v>244</v>
      </c>
      <c r="D4" s="251"/>
      <c r="E4" s="2" t="s">
        <v>1416</v>
      </c>
      <c r="F4" s="4" t="s">
        <v>1325</v>
      </c>
      <c r="G4" s="4"/>
    </row>
    <row r="5" spans="1:11" ht="13">
      <c r="A5" s="30" t="s">
        <v>273</v>
      </c>
      <c r="B5" s="251"/>
      <c r="C5" s="193" t="s">
        <v>706</v>
      </c>
      <c r="D5" s="193" t="s">
        <v>814</v>
      </c>
      <c r="E5" s="3" t="s">
        <v>1417</v>
      </c>
      <c r="F5" s="3" t="s">
        <v>1418</v>
      </c>
      <c r="G5" s="3" t="s">
        <v>249</v>
      </c>
    </row>
    <row r="6" spans="1:11" ht="15" customHeight="1">
      <c r="A6" s="2">
        <v>1</v>
      </c>
      <c r="B6" s="251"/>
      <c r="C6" s="409">
        <v>350.1</v>
      </c>
      <c r="D6" s="250" t="s">
        <v>1419</v>
      </c>
      <c r="E6" s="276">
        <v>0</v>
      </c>
      <c r="F6" s="276">
        <v>0</v>
      </c>
      <c r="G6" s="276">
        <v>0</v>
      </c>
    </row>
    <row r="7" spans="1:11" ht="15" customHeight="1">
      <c r="A7" s="2">
        <f>A6+1</f>
        <v>2</v>
      </c>
      <c r="B7" s="251"/>
      <c r="C7" s="409">
        <v>350.2</v>
      </c>
      <c r="D7" s="250" t="s">
        <v>1420</v>
      </c>
      <c r="E7" s="276">
        <v>1.66E-2</v>
      </c>
      <c r="F7" s="276">
        <v>0</v>
      </c>
      <c r="G7" s="276">
        <v>1.66E-2</v>
      </c>
    </row>
    <row r="8" spans="1:11" ht="13">
      <c r="A8" s="2">
        <f t="shared" ref="A8:A16" si="0">A7+1</f>
        <v>3</v>
      </c>
      <c r="B8" s="251"/>
      <c r="C8" s="409">
        <v>352</v>
      </c>
      <c r="D8" s="250" t="s">
        <v>1421</v>
      </c>
      <c r="E8" s="276">
        <v>1.7999999999999999E-2</v>
      </c>
      <c r="F8" s="276">
        <v>7.7000000000000002E-3</v>
      </c>
      <c r="G8" s="276">
        <v>2.5700000000000001E-2</v>
      </c>
    </row>
    <row r="9" spans="1:11" ht="13">
      <c r="A9" s="2">
        <f t="shared" si="0"/>
        <v>4</v>
      </c>
      <c r="B9" s="251"/>
      <c r="C9" s="409">
        <v>353</v>
      </c>
      <c r="D9" s="250" t="s">
        <v>1422</v>
      </c>
      <c r="E9" s="276">
        <v>2.1999999999999999E-2</v>
      </c>
      <c r="F9" s="276">
        <v>2.7000000000000001E-3</v>
      </c>
      <c r="G9" s="276">
        <v>2.47E-2</v>
      </c>
    </row>
    <row r="10" spans="1:11" ht="13">
      <c r="A10" s="2">
        <f t="shared" si="0"/>
        <v>5</v>
      </c>
      <c r="B10" s="251"/>
      <c r="C10" s="409">
        <v>354</v>
      </c>
      <c r="D10" s="250" t="s">
        <v>1423</v>
      </c>
      <c r="E10" s="276">
        <v>1.35E-2</v>
      </c>
      <c r="F10" s="276">
        <v>1.09E-2</v>
      </c>
      <c r="G10" s="276">
        <v>2.4400000000000002E-2</v>
      </c>
    </row>
    <row r="11" spans="1:11" ht="13">
      <c r="A11" s="2">
        <f t="shared" si="0"/>
        <v>6</v>
      </c>
      <c r="B11" s="251"/>
      <c r="C11" s="409">
        <v>355</v>
      </c>
      <c r="D11" s="250" t="s">
        <v>1424</v>
      </c>
      <c r="E11" s="276">
        <v>0.02</v>
      </c>
      <c r="F11" s="276">
        <v>1.67E-2</v>
      </c>
      <c r="G11" s="276">
        <v>3.6700000000000003E-2</v>
      </c>
    </row>
    <row r="12" spans="1:11" ht="13">
      <c r="A12" s="2">
        <f t="shared" si="0"/>
        <v>7</v>
      </c>
      <c r="B12" s="251"/>
      <c r="C12" s="409">
        <v>356</v>
      </c>
      <c r="D12" s="250" t="s">
        <v>1425</v>
      </c>
      <c r="E12" s="276">
        <v>0.02</v>
      </c>
      <c r="F12" s="276">
        <v>1.0500000000000001E-2</v>
      </c>
      <c r="G12" s="276">
        <v>3.0499999999999999E-2</v>
      </c>
    </row>
    <row r="13" spans="1:11" ht="13">
      <c r="A13" s="2">
        <f t="shared" si="0"/>
        <v>8</v>
      </c>
      <c r="B13" s="251"/>
      <c r="C13" s="409">
        <v>357</v>
      </c>
      <c r="D13" s="250" t="s">
        <v>1426</v>
      </c>
      <c r="E13" s="276">
        <v>1.6500000000000001E-2</v>
      </c>
      <c r="F13" s="276">
        <v>0</v>
      </c>
      <c r="G13" s="276">
        <v>1.6500000000000001E-2</v>
      </c>
    </row>
    <row r="14" spans="1:11" ht="13">
      <c r="A14" s="2">
        <f t="shared" si="0"/>
        <v>9</v>
      </c>
      <c r="B14" s="251"/>
      <c r="C14" s="409">
        <v>358</v>
      </c>
      <c r="D14" s="250" t="s">
        <v>1427</v>
      </c>
      <c r="E14" s="276">
        <v>3.2599999999999997E-2</v>
      </c>
      <c r="F14" s="276">
        <v>6.1000000000000004E-3</v>
      </c>
      <c r="G14" s="276">
        <v>3.8699999999999998E-2</v>
      </c>
    </row>
    <row r="15" spans="1:11" ht="13">
      <c r="A15" s="2">
        <f t="shared" si="0"/>
        <v>10</v>
      </c>
      <c r="B15" s="251"/>
      <c r="C15" s="409">
        <v>359</v>
      </c>
      <c r="D15" s="250" t="s">
        <v>1428</v>
      </c>
      <c r="E15" s="276">
        <v>1.5599999999999999E-2</v>
      </c>
      <c r="F15" s="276">
        <v>0</v>
      </c>
      <c r="G15" s="276">
        <v>1.5599999999999999E-2</v>
      </c>
    </row>
    <row r="16" spans="1:11" ht="13">
      <c r="A16" s="2">
        <f t="shared" si="0"/>
        <v>11</v>
      </c>
      <c r="B16" s="251"/>
      <c r="C16" s="251"/>
      <c r="D16" s="251"/>
    </row>
    <row r="17" spans="1:7" ht="13">
      <c r="A17" s="251"/>
      <c r="B17" s="209" t="s">
        <v>646</v>
      </c>
      <c r="C17" s="251"/>
      <c r="D17" s="251"/>
      <c r="E17" s="2" t="s">
        <v>660</v>
      </c>
      <c r="F17" s="2"/>
      <c r="G17" s="2"/>
    </row>
    <row r="18" spans="1:7" ht="13">
      <c r="A18" s="251"/>
      <c r="B18" s="251"/>
      <c r="C18" s="120" t="s">
        <v>244</v>
      </c>
      <c r="D18" s="251"/>
      <c r="E18" s="2" t="s">
        <v>1416</v>
      </c>
      <c r="F18" s="4" t="s">
        <v>1325</v>
      </c>
      <c r="G18" s="4"/>
    </row>
    <row r="19" spans="1:7" ht="13">
      <c r="A19" s="251"/>
      <c r="B19" s="251"/>
      <c r="C19" s="193" t="s">
        <v>706</v>
      </c>
      <c r="D19" s="193" t="s">
        <v>814</v>
      </c>
      <c r="E19" s="3" t="s">
        <v>1417</v>
      </c>
      <c r="F19" s="3" t="s">
        <v>1418</v>
      </c>
      <c r="G19" s="3" t="s">
        <v>249</v>
      </c>
    </row>
    <row r="20" spans="1:7" ht="13">
      <c r="A20" s="2">
        <f>A16+1</f>
        <v>12</v>
      </c>
      <c r="B20" s="251"/>
      <c r="C20" s="251">
        <v>360</v>
      </c>
      <c r="D20" s="250" t="s">
        <v>1429</v>
      </c>
      <c r="E20" s="276">
        <v>1.67E-2</v>
      </c>
      <c r="F20" s="276">
        <v>0</v>
      </c>
      <c r="G20" s="276">
        <v>1.67E-2</v>
      </c>
    </row>
    <row r="21" spans="1:7" ht="13">
      <c r="A21" s="2">
        <f>A20+1</f>
        <v>13</v>
      </c>
      <c r="B21" s="251"/>
      <c r="C21" s="251">
        <v>361</v>
      </c>
      <c r="D21" s="250" t="s">
        <v>1421</v>
      </c>
      <c r="E21" s="1072">
        <v>1.4200000000000001E-2</v>
      </c>
      <c r="F21" s="505">
        <v>6.3E-3</v>
      </c>
      <c r="G21" s="505">
        <v>2.0500000000000001E-2</v>
      </c>
    </row>
    <row r="22" spans="1:7" ht="13">
      <c r="A22" s="2">
        <f>A21+1</f>
        <v>14</v>
      </c>
      <c r="B22" s="251"/>
      <c r="C22" s="251">
        <v>362</v>
      </c>
      <c r="D22" s="250" t="s">
        <v>1422</v>
      </c>
      <c r="E22" s="1072">
        <v>1.3299999999999999E-2</v>
      </c>
      <c r="F22" s="505">
        <v>5.3E-3</v>
      </c>
      <c r="G22" s="505">
        <v>1.8599999999999998E-2</v>
      </c>
    </row>
    <row r="23" spans="1:7">
      <c r="A23" s="251"/>
      <c r="B23" s="251"/>
      <c r="C23" s="251"/>
      <c r="D23" s="251"/>
    </row>
    <row r="24" spans="1:7" ht="13">
      <c r="A24" s="251"/>
      <c r="B24" s="209" t="s">
        <v>1430</v>
      </c>
      <c r="C24" s="251"/>
      <c r="D24" s="251"/>
      <c r="E24" s="2" t="s">
        <v>660</v>
      </c>
    </row>
    <row r="25" spans="1:7" ht="13">
      <c r="A25" s="251"/>
      <c r="B25" s="251"/>
      <c r="C25" s="120" t="s">
        <v>244</v>
      </c>
      <c r="D25" s="251"/>
      <c r="E25" s="2" t="s">
        <v>1416</v>
      </c>
      <c r="F25" s="4" t="s">
        <v>1325</v>
      </c>
      <c r="G25" s="4"/>
    </row>
    <row r="26" spans="1:7" ht="13">
      <c r="A26" s="251"/>
      <c r="B26" s="251"/>
      <c r="C26" s="193" t="s">
        <v>706</v>
      </c>
      <c r="D26" s="193" t="s">
        <v>814</v>
      </c>
      <c r="E26" s="3" t="s">
        <v>1417</v>
      </c>
      <c r="F26" s="3" t="s">
        <v>1418</v>
      </c>
      <c r="G26" s="3" t="s">
        <v>249</v>
      </c>
    </row>
    <row r="27" spans="1:7" ht="13">
      <c r="A27" s="2">
        <f>A22+1</f>
        <v>15</v>
      </c>
      <c r="B27" s="251"/>
      <c r="C27" s="251">
        <v>389</v>
      </c>
      <c r="D27" s="250" t="s">
        <v>1429</v>
      </c>
      <c r="E27" s="276">
        <v>1.67E-2</v>
      </c>
      <c r="F27" s="276">
        <v>0</v>
      </c>
      <c r="G27" s="276">
        <v>1.67E-2</v>
      </c>
    </row>
    <row r="28" spans="1:7" ht="13">
      <c r="A28" s="2">
        <f t="shared" ref="A28:A42" si="1">A27+1</f>
        <v>16</v>
      </c>
      <c r="B28" s="251"/>
      <c r="C28" s="251">
        <v>390</v>
      </c>
      <c r="D28" s="250" t="s">
        <v>1421</v>
      </c>
      <c r="E28" s="1072">
        <v>1.5900000000000001E-2</v>
      </c>
      <c r="F28" s="276">
        <v>2.3E-3</v>
      </c>
      <c r="G28" s="1072">
        <v>1.8200000000000001E-2</v>
      </c>
    </row>
    <row r="29" spans="1:7" ht="13">
      <c r="A29" s="2">
        <f t="shared" si="1"/>
        <v>17</v>
      </c>
      <c r="B29" s="251"/>
      <c r="C29" s="251">
        <v>391.1</v>
      </c>
      <c r="D29" s="899" t="s">
        <v>1431</v>
      </c>
      <c r="E29" s="276">
        <v>0.05</v>
      </c>
      <c r="F29" s="276">
        <v>0</v>
      </c>
      <c r="G29" s="276">
        <v>0.05</v>
      </c>
    </row>
    <row r="30" spans="1:7" ht="13">
      <c r="A30" s="2">
        <f t="shared" si="1"/>
        <v>18</v>
      </c>
      <c r="B30" s="251"/>
      <c r="C30" s="251">
        <v>391.5</v>
      </c>
      <c r="D30" s="899" t="s">
        <v>1432</v>
      </c>
      <c r="E30" s="276">
        <v>0.2</v>
      </c>
      <c r="F30" s="276">
        <v>0</v>
      </c>
      <c r="G30" s="276">
        <v>0.2</v>
      </c>
    </row>
    <row r="31" spans="1:7" ht="13">
      <c r="A31" s="2">
        <f t="shared" si="1"/>
        <v>19</v>
      </c>
      <c r="B31" s="251"/>
      <c r="C31" s="251">
        <v>391.6</v>
      </c>
      <c r="D31" s="899" t="s">
        <v>1433</v>
      </c>
      <c r="E31" s="276">
        <v>0.2</v>
      </c>
      <c r="F31" s="276">
        <v>0</v>
      </c>
      <c r="G31" s="276">
        <v>0.2</v>
      </c>
    </row>
    <row r="32" spans="1:7" ht="13">
      <c r="A32" s="2">
        <f t="shared" si="1"/>
        <v>20</v>
      </c>
      <c r="B32" s="251"/>
      <c r="C32" s="251">
        <v>391.2</v>
      </c>
      <c r="D32" s="899" t="s">
        <v>1434</v>
      </c>
      <c r="E32" s="505">
        <v>0.19070000000000001</v>
      </c>
      <c r="F32" s="1072">
        <v>0</v>
      </c>
      <c r="G32" s="505">
        <v>0.19070000000000001</v>
      </c>
    </row>
    <row r="33" spans="1:7" ht="13">
      <c r="A33" s="2">
        <f t="shared" si="1"/>
        <v>21</v>
      </c>
      <c r="B33" s="251"/>
      <c r="C33" s="251">
        <v>391.3</v>
      </c>
      <c r="D33" s="899" t="s">
        <v>1435</v>
      </c>
      <c r="E33" s="505">
        <v>0.19070000000000001</v>
      </c>
      <c r="F33" s="1072">
        <v>0</v>
      </c>
      <c r="G33" s="505">
        <v>0.19070000000000001</v>
      </c>
    </row>
    <row r="34" spans="1:7" ht="13">
      <c r="A34" s="2">
        <f t="shared" si="1"/>
        <v>22</v>
      </c>
      <c r="B34" s="251"/>
      <c r="C34" s="249">
        <v>391.7</v>
      </c>
      <c r="D34" s="899" t="s">
        <v>1436</v>
      </c>
      <c r="E34" s="505">
        <v>0.19070000000000001</v>
      </c>
      <c r="F34" s="1072">
        <v>0</v>
      </c>
      <c r="G34" s="505">
        <v>0.19070000000000001</v>
      </c>
    </row>
    <row r="35" spans="1:7" ht="13">
      <c r="A35" s="2">
        <f t="shared" si="1"/>
        <v>23</v>
      </c>
      <c r="B35" s="251"/>
      <c r="C35" s="249">
        <v>391.4</v>
      </c>
      <c r="D35" s="899" t="s">
        <v>1437</v>
      </c>
      <c r="E35" s="505">
        <v>0.11360000000000001</v>
      </c>
      <c r="F35" s="1072">
        <v>0</v>
      </c>
      <c r="G35" s="505">
        <v>0.11360000000000001</v>
      </c>
    </row>
    <row r="36" spans="1:7" ht="13">
      <c r="A36" s="2">
        <f t="shared" si="1"/>
        <v>24</v>
      </c>
      <c r="B36" s="251"/>
      <c r="C36" s="251">
        <v>391.4</v>
      </c>
      <c r="D36" s="899" t="s">
        <v>1438</v>
      </c>
      <c r="E36" s="505">
        <v>0.11360000000000001</v>
      </c>
      <c r="F36" s="1072">
        <v>0</v>
      </c>
      <c r="G36" s="505">
        <v>0.11360000000000001</v>
      </c>
    </row>
    <row r="37" spans="1:7" ht="13">
      <c r="A37" s="2">
        <f t="shared" si="1"/>
        <v>25</v>
      </c>
      <c r="B37" s="251"/>
      <c r="C37" s="249">
        <v>391.4</v>
      </c>
      <c r="D37" s="899" t="s">
        <v>1439</v>
      </c>
      <c r="E37" s="505">
        <v>0.11360000000000001</v>
      </c>
      <c r="F37" s="1072">
        <v>0</v>
      </c>
      <c r="G37" s="505">
        <v>0.11360000000000001</v>
      </c>
    </row>
    <row r="38" spans="1:7" ht="13">
      <c r="A38" s="2">
        <f t="shared" si="1"/>
        <v>26</v>
      </c>
      <c r="B38" s="251"/>
      <c r="C38" s="249">
        <v>391.4</v>
      </c>
      <c r="D38" s="899" t="s">
        <v>1440</v>
      </c>
      <c r="E38" s="505">
        <v>0.11360000000000001</v>
      </c>
      <c r="F38" s="1072">
        <v>0</v>
      </c>
      <c r="G38" s="505">
        <v>0.11360000000000001</v>
      </c>
    </row>
    <row r="39" spans="1:7" ht="13">
      <c r="A39" s="2">
        <f t="shared" si="1"/>
        <v>27</v>
      </c>
      <c r="B39" s="251"/>
      <c r="C39" s="249">
        <v>391.4</v>
      </c>
      <c r="D39" s="899" t="s">
        <v>1441</v>
      </c>
      <c r="E39" s="505">
        <v>0.11360000000000001</v>
      </c>
      <c r="F39" s="1072">
        <v>0</v>
      </c>
      <c r="G39" s="505">
        <v>0.11360000000000001</v>
      </c>
    </row>
    <row r="40" spans="1:7" ht="13">
      <c r="A40" s="2">
        <f t="shared" si="1"/>
        <v>28</v>
      </c>
      <c r="B40" s="251"/>
      <c r="C40" s="249">
        <v>393</v>
      </c>
      <c r="D40" s="250" t="s">
        <v>1442</v>
      </c>
      <c r="E40" s="276">
        <v>0.05</v>
      </c>
      <c r="F40" s="276">
        <v>0</v>
      </c>
      <c r="G40" s="276">
        <v>0.05</v>
      </c>
    </row>
    <row r="41" spans="1:7" ht="13">
      <c r="A41" s="2">
        <f t="shared" si="1"/>
        <v>29</v>
      </c>
      <c r="B41" s="251"/>
      <c r="C41" s="249">
        <v>395</v>
      </c>
      <c r="D41" s="250" t="s">
        <v>1443</v>
      </c>
      <c r="E41" s="276">
        <v>6.6699999999999995E-2</v>
      </c>
      <c r="F41" s="276">
        <v>0</v>
      </c>
      <c r="G41" s="276">
        <v>6.6699999999999995E-2</v>
      </c>
    </row>
    <row r="42" spans="1:7" ht="13">
      <c r="A42" s="2">
        <f t="shared" si="1"/>
        <v>30</v>
      </c>
      <c r="B42" s="251"/>
      <c r="C42" s="249">
        <v>398</v>
      </c>
      <c r="D42" s="250" t="s">
        <v>1444</v>
      </c>
      <c r="E42" s="276">
        <v>0.05</v>
      </c>
      <c r="F42" s="276">
        <v>0</v>
      </c>
      <c r="G42" s="276">
        <v>0.05</v>
      </c>
    </row>
    <row r="43" spans="1:7" ht="13">
      <c r="A43" s="2">
        <f>A42+1</f>
        <v>31</v>
      </c>
      <c r="B43" s="251"/>
      <c r="C43" s="249">
        <v>397</v>
      </c>
      <c r="D43" s="250" t="s">
        <v>1445</v>
      </c>
      <c r="E43" s="276">
        <v>0.2</v>
      </c>
      <c r="F43" s="276">
        <v>0</v>
      </c>
      <c r="G43" s="276">
        <v>0.2</v>
      </c>
    </row>
    <row r="44" spans="1:7" ht="13">
      <c r="A44" s="2">
        <f t="shared" ref="A44:A53" si="2">A43+1</f>
        <v>32</v>
      </c>
      <c r="B44" s="251"/>
      <c r="C44" s="249">
        <v>397</v>
      </c>
      <c r="D44" s="250" t="s">
        <v>1446</v>
      </c>
      <c r="E44" s="276">
        <v>0.1429</v>
      </c>
      <c r="F44" s="276">
        <v>0</v>
      </c>
      <c r="G44" s="276">
        <v>0.1429</v>
      </c>
    </row>
    <row r="45" spans="1:7" ht="13">
      <c r="A45" s="2">
        <f t="shared" si="2"/>
        <v>33</v>
      </c>
      <c r="B45" s="251"/>
      <c r="C45" s="249">
        <v>397</v>
      </c>
      <c r="D45" s="250" t="s">
        <v>1447</v>
      </c>
      <c r="E45" s="276">
        <v>0.1</v>
      </c>
      <c r="F45" s="276">
        <v>0</v>
      </c>
      <c r="G45" s="276">
        <v>0.1</v>
      </c>
    </row>
    <row r="46" spans="1:7" ht="13">
      <c r="A46" s="2">
        <f t="shared" si="2"/>
        <v>34</v>
      </c>
      <c r="B46" s="251"/>
      <c r="C46" s="249">
        <v>397</v>
      </c>
      <c r="D46" s="250" t="s">
        <v>1448</v>
      </c>
      <c r="E46" s="276">
        <v>6.6699999999999995E-2</v>
      </c>
      <c r="F46" s="276">
        <v>0</v>
      </c>
      <c r="G46" s="276">
        <v>6.6699999999999995E-2</v>
      </c>
    </row>
    <row r="47" spans="1:7" ht="13">
      <c r="A47" s="2">
        <f t="shared" si="2"/>
        <v>35</v>
      </c>
      <c r="B47" s="251"/>
      <c r="C47" s="249">
        <v>397</v>
      </c>
      <c r="D47" s="250" t="s">
        <v>1449</v>
      </c>
      <c r="E47" s="562">
        <v>0.05</v>
      </c>
      <c r="F47" s="276">
        <v>0</v>
      </c>
      <c r="G47" s="562">
        <v>0.05</v>
      </c>
    </row>
    <row r="48" spans="1:7" ht="13">
      <c r="A48" s="2">
        <f t="shared" si="2"/>
        <v>36</v>
      </c>
      <c r="B48" s="251"/>
      <c r="C48" s="249">
        <v>397</v>
      </c>
      <c r="D48" s="250" t="s">
        <v>1450</v>
      </c>
      <c r="E48" s="276">
        <v>0.04</v>
      </c>
      <c r="F48" s="276">
        <v>0</v>
      </c>
      <c r="G48" s="276">
        <v>0.04</v>
      </c>
    </row>
    <row r="49" spans="1:7" ht="13">
      <c r="A49" s="2">
        <f t="shared" si="2"/>
        <v>37</v>
      </c>
      <c r="B49" s="251"/>
      <c r="C49" s="249">
        <v>397</v>
      </c>
      <c r="D49" s="250" t="s">
        <v>1451</v>
      </c>
      <c r="E49" s="276">
        <v>2.5000000000000001E-2</v>
      </c>
      <c r="F49" s="276">
        <v>0</v>
      </c>
      <c r="G49" s="276">
        <v>2.5000000000000001E-2</v>
      </c>
    </row>
    <row r="50" spans="1:7" ht="13">
      <c r="A50" s="2">
        <f t="shared" si="2"/>
        <v>38</v>
      </c>
      <c r="B50" s="251"/>
      <c r="C50" s="249">
        <v>392</v>
      </c>
      <c r="D50" s="250" t="s">
        <v>1452</v>
      </c>
      <c r="E50" s="276">
        <v>0.1429</v>
      </c>
      <c r="F50" s="276">
        <v>0</v>
      </c>
      <c r="G50" s="276">
        <v>0.1429</v>
      </c>
    </row>
    <row r="51" spans="1:7" ht="13">
      <c r="A51" s="2">
        <f t="shared" si="2"/>
        <v>39</v>
      </c>
      <c r="B51" s="251"/>
      <c r="C51" s="249">
        <v>394.4</v>
      </c>
      <c r="D51" s="250" t="s">
        <v>1453</v>
      </c>
      <c r="E51" s="276">
        <v>0.1</v>
      </c>
      <c r="F51" s="276">
        <v>0</v>
      </c>
      <c r="G51" s="276">
        <v>0.1</v>
      </c>
    </row>
    <row r="52" spans="1:7" ht="13">
      <c r="A52" s="2">
        <f t="shared" si="2"/>
        <v>40</v>
      </c>
      <c r="B52" s="251"/>
      <c r="C52" s="249">
        <v>394.5</v>
      </c>
      <c r="D52" s="250" t="s">
        <v>1454</v>
      </c>
      <c r="E52" s="276">
        <v>0.1</v>
      </c>
      <c r="F52" s="276">
        <v>0</v>
      </c>
      <c r="G52" s="276">
        <v>0.1</v>
      </c>
    </row>
    <row r="53" spans="1:7" ht="13">
      <c r="A53" s="2">
        <f t="shared" si="2"/>
        <v>41</v>
      </c>
      <c r="B53" s="251"/>
      <c r="C53" s="249">
        <v>396</v>
      </c>
      <c r="D53" s="250" t="s">
        <v>1455</v>
      </c>
      <c r="E53" s="276">
        <v>6.6699999999999995E-2</v>
      </c>
      <c r="F53" s="276">
        <v>0</v>
      </c>
      <c r="G53" s="276">
        <v>6.6699999999999995E-2</v>
      </c>
    </row>
    <row r="54" spans="1:7">
      <c r="A54" s="251"/>
      <c r="B54" s="251"/>
      <c r="C54" s="251"/>
      <c r="D54" s="251"/>
    </row>
    <row r="55" spans="1:7" ht="13">
      <c r="A55" s="251"/>
      <c r="B55" s="209" t="s">
        <v>1456</v>
      </c>
      <c r="C55" s="251"/>
      <c r="D55" s="251"/>
      <c r="E55" s="2" t="s">
        <v>660</v>
      </c>
    </row>
    <row r="56" spans="1:7" ht="13">
      <c r="A56" s="251"/>
      <c r="B56" s="251"/>
      <c r="C56" s="120" t="s">
        <v>244</v>
      </c>
      <c r="D56" s="251"/>
      <c r="E56" s="2" t="s">
        <v>1416</v>
      </c>
      <c r="F56" s="4" t="s">
        <v>1325</v>
      </c>
      <c r="G56" s="4"/>
    </row>
    <row r="57" spans="1:7" ht="13">
      <c r="A57" s="251"/>
      <c r="B57" s="251"/>
      <c r="C57" s="193" t="s">
        <v>706</v>
      </c>
      <c r="D57" s="193" t="s">
        <v>814</v>
      </c>
      <c r="E57" s="3" t="s">
        <v>1417</v>
      </c>
      <c r="F57" s="3" t="s">
        <v>1418</v>
      </c>
      <c r="G57" s="3" t="s">
        <v>249</v>
      </c>
    </row>
    <row r="58" spans="1:7" ht="13">
      <c r="A58" s="2">
        <f>A53+1</f>
        <v>42</v>
      </c>
      <c r="B58" s="251"/>
      <c r="C58" s="249">
        <v>302</v>
      </c>
      <c r="D58" s="250" t="s">
        <v>1457</v>
      </c>
      <c r="E58" s="505">
        <v>2.06E-2</v>
      </c>
      <c r="F58" s="276">
        <v>0</v>
      </c>
      <c r="G58" s="505">
        <v>2.06E-2</v>
      </c>
    </row>
    <row r="59" spans="1:7" ht="13">
      <c r="A59" s="2">
        <f t="shared" ref="A59:A64" si="3">A58+1</f>
        <v>43</v>
      </c>
      <c r="B59" s="251"/>
      <c r="C59" s="249">
        <v>303</v>
      </c>
      <c r="D59" s="250" t="s">
        <v>1458</v>
      </c>
      <c r="E59" s="276">
        <v>2.5000000000000001E-2</v>
      </c>
      <c r="F59" s="276">
        <v>0</v>
      </c>
      <c r="G59" s="276">
        <v>2.5000000000000001E-2</v>
      </c>
    </row>
    <row r="60" spans="1:7" ht="13">
      <c r="A60" s="2">
        <f t="shared" si="3"/>
        <v>44</v>
      </c>
      <c r="B60" s="251"/>
      <c r="C60" s="249">
        <v>301</v>
      </c>
      <c r="D60" s="250" t="s">
        <v>1459</v>
      </c>
      <c r="E60" s="276">
        <v>0.05</v>
      </c>
      <c r="F60" s="276">
        <v>0</v>
      </c>
      <c r="G60" s="276">
        <v>0.05</v>
      </c>
    </row>
    <row r="61" spans="1:7" ht="13">
      <c r="A61" s="2">
        <f t="shared" si="3"/>
        <v>45</v>
      </c>
      <c r="B61" s="251"/>
      <c r="C61" s="249">
        <v>303</v>
      </c>
      <c r="D61" s="250" t="s">
        <v>1460</v>
      </c>
      <c r="E61" s="505">
        <v>0.21479999999999999</v>
      </c>
      <c r="F61" s="276">
        <v>0</v>
      </c>
      <c r="G61" s="505">
        <v>0.21479999999999999</v>
      </c>
    </row>
    <row r="62" spans="1:7" ht="13">
      <c r="A62" s="2">
        <f t="shared" si="3"/>
        <v>46</v>
      </c>
      <c r="B62" s="251"/>
      <c r="C62" s="249">
        <v>303</v>
      </c>
      <c r="D62" s="250" t="s">
        <v>1461</v>
      </c>
      <c r="E62" s="1072">
        <v>0.1429</v>
      </c>
      <c r="F62" s="276">
        <v>0</v>
      </c>
      <c r="G62" s="276">
        <v>0.1429</v>
      </c>
    </row>
    <row r="63" spans="1:7" ht="13">
      <c r="A63" s="2">
        <f t="shared" si="3"/>
        <v>47</v>
      </c>
      <c r="B63" s="251"/>
      <c r="C63" s="249">
        <v>303</v>
      </c>
      <c r="D63" s="250" t="s">
        <v>1462</v>
      </c>
      <c r="E63" s="505">
        <v>0.1</v>
      </c>
      <c r="F63" s="276">
        <v>0</v>
      </c>
      <c r="G63" s="505">
        <v>0.1</v>
      </c>
    </row>
    <row r="64" spans="1:7" ht="13">
      <c r="A64" s="2">
        <f t="shared" si="3"/>
        <v>48</v>
      </c>
      <c r="B64" s="251"/>
      <c r="C64" s="249">
        <v>303</v>
      </c>
      <c r="D64" s="250" t="s">
        <v>1463</v>
      </c>
      <c r="E64" s="505">
        <v>6.6699999999999995E-2</v>
      </c>
      <c r="F64" s="276">
        <v>0</v>
      </c>
      <c r="G64" s="505">
        <v>6.6699999999999995E-2</v>
      </c>
    </row>
    <row r="65" spans="1:7" ht="13">
      <c r="A65" s="2"/>
      <c r="B65" s="251"/>
      <c r="C65" s="249"/>
      <c r="D65" s="250"/>
      <c r="E65" s="505"/>
      <c r="F65" s="276"/>
      <c r="G65" s="505"/>
    </row>
    <row r="66" spans="1:7" ht="13">
      <c r="A66" s="251"/>
      <c r="B66" s="251" t="s">
        <v>1464</v>
      </c>
      <c r="C66" s="251"/>
      <c r="D66" s="251"/>
    </row>
    <row r="67" spans="1:7">
      <c r="A67" s="251"/>
      <c r="B67" s="251" t="s">
        <v>1465</v>
      </c>
      <c r="C67" s="251"/>
      <c r="D67" s="251"/>
    </row>
  </sheetData>
  <pageMargins left="0.7" right="0.7" top="0.75" bottom="0.75" header="0.3" footer="0.3"/>
  <pageSetup scale="75" orientation="portrait" cellComments="asDisplayed" r:id="rId1"/>
  <headerFooter>
    <oddHeader>&amp;CSchedule 18
Depreciation Rates
&amp;RTO2023 Draft Annual Update 
Attachment 1</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55"/>
  <sheetViews>
    <sheetView topLeftCell="A70" zoomScaleNormal="100" zoomScaleSheetLayoutView="40" zoomScalePageLayoutView="40" workbookViewId="0">
      <selection activeCell="F74" sqref="F74"/>
    </sheetView>
  </sheetViews>
  <sheetFormatPr defaultColWidth="9.453125" defaultRowHeight="12.5"/>
  <cols>
    <col min="1" max="1" width="5.54296875" style="259" customWidth="1"/>
    <col min="2" max="2" width="50.54296875" style="259" customWidth="1"/>
    <col min="3" max="3" width="18.1796875" style="259" customWidth="1"/>
    <col min="4" max="4" width="13.7265625" style="259" customWidth="1"/>
    <col min="5" max="5" width="15.26953125" style="259" customWidth="1"/>
    <col min="6" max="6" width="8.7265625" style="259" customWidth="1"/>
    <col min="7" max="7" width="13.7265625" style="465" customWidth="1"/>
    <col min="8" max="9" width="13.7265625" style="466" customWidth="1"/>
    <col min="10" max="10" width="15" style="259" customWidth="1"/>
    <col min="11" max="12" width="14.54296875" style="259" customWidth="1"/>
    <col min="13" max="13" width="14.7265625" style="251" customWidth="1"/>
    <col min="14" max="14" width="10.54296875" style="251" bestFit="1" customWidth="1"/>
    <col min="15" max="16384" width="9.453125" style="251"/>
  </cols>
  <sheetData>
    <row r="1" spans="1:13" ht="12.75" customHeight="1">
      <c r="A1" s="135" t="s">
        <v>1466</v>
      </c>
      <c r="C1" s="219"/>
      <c r="D1" s="220"/>
      <c r="E1" s="220"/>
      <c r="F1" s="220"/>
      <c r="G1" s="220"/>
      <c r="H1" s="220"/>
      <c r="I1" s="220"/>
      <c r="J1" s="220"/>
      <c r="K1" s="251"/>
      <c r="L1" s="251"/>
    </row>
    <row r="2" spans="1:13" ht="12.75" customHeight="1">
      <c r="A2" s="15"/>
      <c r="B2" s="720" t="s">
        <v>195</v>
      </c>
      <c r="C2" s="283" t="s">
        <v>1467</v>
      </c>
      <c r="D2" s="221"/>
      <c r="E2" s="220"/>
      <c r="F2" s="221"/>
      <c r="G2" s="387" t="s">
        <v>96</v>
      </c>
      <c r="H2" s="258"/>
      <c r="I2" s="220"/>
      <c r="J2" s="220"/>
      <c r="K2" s="220"/>
      <c r="L2" s="220"/>
    </row>
    <row r="3" spans="1:13" ht="12.75" customHeight="1">
      <c r="A3" s="222"/>
      <c r="B3" s="223" t="s">
        <v>1468</v>
      </c>
      <c r="C3" s="224"/>
      <c r="D3" s="224"/>
      <c r="E3" s="224"/>
      <c r="F3" s="224"/>
      <c r="G3" s="224"/>
      <c r="H3" s="224"/>
      <c r="I3" s="224"/>
      <c r="J3" s="224"/>
      <c r="K3" s="224"/>
      <c r="L3" s="225"/>
    </row>
    <row r="4" spans="1:13" ht="12.75" customHeight="1">
      <c r="A4" s="133"/>
      <c r="B4" s="15"/>
      <c r="C4" s="19"/>
      <c r="D4" s="19"/>
      <c r="E4" s="19"/>
      <c r="F4" s="19"/>
      <c r="G4" s="19"/>
      <c r="H4" s="19"/>
      <c r="I4" s="19"/>
      <c r="J4" s="19"/>
      <c r="K4" s="19"/>
      <c r="L4" s="220"/>
    </row>
    <row r="5" spans="1:13" ht="12.75" customHeight="1">
      <c r="A5" s="224"/>
      <c r="B5" s="226" t="s">
        <v>336</v>
      </c>
      <c r="C5" s="226" t="s">
        <v>337</v>
      </c>
      <c r="D5" s="226" t="s">
        <v>338</v>
      </c>
      <c r="E5" s="226" t="s">
        <v>339</v>
      </c>
      <c r="F5" s="226" t="s">
        <v>340</v>
      </c>
      <c r="G5" s="226" t="s">
        <v>341</v>
      </c>
      <c r="H5" s="226" t="s">
        <v>342</v>
      </c>
      <c r="I5" s="226" t="s">
        <v>343</v>
      </c>
      <c r="J5" s="226" t="s">
        <v>1469</v>
      </c>
      <c r="K5" s="226" t="s">
        <v>344</v>
      </c>
      <c r="L5" s="226" t="s">
        <v>589</v>
      </c>
      <c r="M5" s="226" t="s">
        <v>590</v>
      </c>
    </row>
    <row r="6" spans="1:13" ht="12.75" customHeight="1">
      <c r="A6" s="133"/>
      <c r="B6" s="15"/>
      <c r="C6" s="665" t="s">
        <v>1470</v>
      </c>
      <c r="D6" s="19"/>
      <c r="E6" s="19"/>
      <c r="F6" s="463" t="s">
        <v>165</v>
      </c>
      <c r="G6" s="665" t="s">
        <v>1471</v>
      </c>
      <c r="H6" s="137"/>
      <c r="I6" s="137"/>
      <c r="J6" s="666" t="s">
        <v>1472</v>
      </c>
      <c r="K6" s="665" t="s">
        <v>1473</v>
      </c>
      <c r="L6" s="665" t="s">
        <v>1474</v>
      </c>
      <c r="M6" s="666" t="s">
        <v>2926</v>
      </c>
    </row>
    <row r="7" spans="1:13" ht="12.75" customHeight="1">
      <c r="C7" s="928"/>
      <c r="D7" s="464"/>
      <c r="E7" s="464"/>
      <c r="F7" s="251"/>
      <c r="J7" s="479" t="s">
        <v>1475</v>
      </c>
    </row>
    <row r="8" spans="1:13" ht="13">
      <c r="A8" s="133"/>
      <c r="B8" s="1122" t="s">
        <v>1476</v>
      </c>
      <c r="C8" s="1124" t="s">
        <v>1477</v>
      </c>
      <c r="D8" s="1124"/>
      <c r="E8" s="1124"/>
      <c r="F8" s="227"/>
      <c r="G8" s="1119" t="s">
        <v>1478</v>
      </c>
      <c r="H8" s="1119"/>
      <c r="I8" s="1119"/>
      <c r="J8" s="920"/>
      <c r="K8" s="917"/>
      <c r="L8" s="918" t="s">
        <v>1479</v>
      </c>
      <c r="M8" s="919"/>
    </row>
    <row r="9" spans="1:13" ht="28.5" customHeight="1">
      <c r="A9" s="30"/>
      <c r="B9" s="1123"/>
      <c r="C9" s="228" t="s">
        <v>249</v>
      </c>
      <c r="D9" s="228" t="s">
        <v>805</v>
      </c>
      <c r="E9" s="228" t="s">
        <v>1480</v>
      </c>
      <c r="F9" s="228" t="s">
        <v>1481</v>
      </c>
      <c r="G9" s="228" t="s">
        <v>249</v>
      </c>
      <c r="H9" s="228" t="s">
        <v>805</v>
      </c>
      <c r="I9" s="228" t="s">
        <v>1480</v>
      </c>
      <c r="J9" s="1048" t="s">
        <v>1482</v>
      </c>
      <c r="K9" s="228" t="s">
        <v>249</v>
      </c>
      <c r="L9" s="228" t="s">
        <v>805</v>
      </c>
      <c r="M9" s="228" t="s">
        <v>1480</v>
      </c>
    </row>
    <row r="10" spans="1:13" ht="13">
      <c r="A10" s="30" t="s">
        <v>273</v>
      </c>
      <c r="B10" s="154" t="s">
        <v>1483</v>
      </c>
      <c r="C10" s="19"/>
      <c r="D10" s="19"/>
      <c r="E10" s="19"/>
      <c r="F10" s="19"/>
      <c r="G10" s="19"/>
      <c r="H10" s="19"/>
      <c r="I10" s="19"/>
      <c r="K10" s="19"/>
      <c r="L10" s="19"/>
      <c r="M10" s="19"/>
    </row>
    <row r="11" spans="1:13" ht="13">
      <c r="A11" s="2">
        <v>1</v>
      </c>
      <c r="B11" s="261" t="s">
        <v>1484</v>
      </c>
      <c r="C11" s="467">
        <f>SUM(D11:E11)</f>
        <v>5592036.509999997</v>
      </c>
      <c r="D11" s="1106">
        <v>1704296.25</v>
      </c>
      <c r="E11" s="1106">
        <v>3887740.259999997</v>
      </c>
      <c r="F11" s="1107"/>
      <c r="G11" s="468">
        <f t="shared" ref="G11:G42" si="0">SUM(H11:I11)</f>
        <v>0</v>
      </c>
      <c r="H11" s="1106"/>
      <c r="I11" s="1106"/>
      <c r="J11" s="467">
        <f>'35-Other Formula Revenue'!G17</f>
        <v>0</v>
      </c>
      <c r="K11" s="467">
        <f>SUM(L11:M11)</f>
        <v>5592036.509999997</v>
      </c>
      <c r="L11" s="467">
        <f>D11+H11</f>
        <v>1704296.25</v>
      </c>
      <c r="M11" s="467">
        <f t="shared" ref="M11:M40" si="1">E11+I11+J11</f>
        <v>3887740.259999997</v>
      </c>
    </row>
    <row r="12" spans="1:13" ht="13">
      <c r="A12" s="2">
        <f>A11+1</f>
        <v>2</v>
      </c>
      <c r="B12" s="261" t="s">
        <v>1485</v>
      </c>
      <c r="C12" s="467">
        <f>SUM(D12:E12)</f>
        <v>327014.34999999998</v>
      </c>
      <c r="D12" s="1106">
        <v>0</v>
      </c>
      <c r="E12" s="1106">
        <v>327014.34999999998</v>
      </c>
      <c r="F12" s="1107"/>
      <c r="G12" s="468">
        <f t="shared" si="0"/>
        <v>0</v>
      </c>
      <c r="H12" s="1106"/>
      <c r="I12" s="1106"/>
      <c r="J12" s="467">
        <f>'35-Other Formula Revenue'!G18</f>
        <v>0</v>
      </c>
      <c r="K12" s="467">
        <f t="shared" ref="K12:K42" si="2">SUM(L12:M12)</f>
        <v>327014.34999999998</v>
      </c>
      <c r="L12" s="467">
        <f t="shared" ref="L12:L40" si="3">D12+H12</f>
        <v>0</v>
      </c>
      <c r="M12" s="467">
        <f t="shared" si="1"/>
        <v>327014.34999999998</v>
      </c>
    </row>
    <row r="13" spans="1:13" ht="13">
      <c r="A13" s="2">
        <f t="shared" ref="A13:A44" si="4">A12+1</f>
        <v>3</v>
      </c>
      <c r="B13" s="261" t="s">
        <v>1486</v>
      </c>
      <c r="C13" s="467">
        <f t="shared" ref="C13:C40" si="5">SUM(D13:E13)</f>
        <v>11204661.449999999</v>
      </c>
      <c r="D13" s="1106">
        <v>8783127.2899999991</v>
      </c>
      <c r="E13" s="1106">
        <v>2421534.16</v>
      </c>
      <c r="F13" s="1107"/>
      <c r="G13" s="468">
        <f t="shared" si="0"/>
        <v>0</v>
      </c>
      <c r="H13" s="1106"/>
      <c r="I13" s="1106"/>
      <c r="J13" s="467">
        <f>'35-Other Formula Revenue'!G19</f>
        <v>0</v>
      </c>
      <c r="K13" s="467">
        <f t="shared" si="2"/>
        <v>11204661.449999999</v>
      </c>
      <c r="L13" s="467">
        <f t="shared" si="3"/>
        <v>8783127.2899999991</v>
      </c>
      <c r="M13" s="467">
        <f t="shared" si="1"/>
        <v>2421534.16</v>
      </c>
    </row>
    <row r="14" spans="1:13" ht="13">
      <c r="A14" s="2">
        <f t="shared" si="4"/>
        <v>4</v>
      </c>
      <c r="B14" s="261" t="s">
        <v>1487</v>
      </c>
      <c r="C14" s="467">
        <f t="shared" si="5"/>
        <v>28371656.870000001</v>
      </c>
      <c r="D14" s="1106">
        <v>0</v>
      </c>
      <c r="E14" s="1106">
        <v>28371656.870000001</v>
      </c>
      <c r="F14" s="1107" t="s">
        <v>1488</v>
      </c>
      <c r="G14" s="468">
        <f t="shared" si="0"/>
        <v>-28371656.869999997</v>
      </c>
      <c r="H14" s="1106">
        <v>0</v>
      </c>
      <c r="I14" s="1106">
        <v>-28371656.869999997</v>
      </c>
      <c r="J14" s="467">
        <f>'35-Other Formula Revenue'!G20</f>
        <v>0</v>
      </c>
      <c r="K14" s="467">
        <f t="shared" si="2"/>
        <v>3.7252902984619141E-9</v>
      </c>
      <c r="L14" s="467">
        <f t="shared" si="3"/>
        <v>0</v>
      </c>
      <c r="M14" s="467">
        <f t="shared" si="1"/>
        <v>3.7252902984619141E-9</v>
      </c>
    </row>
    <row r="15" spans="1:13" ht="13">
      <c r="A15" s="2">
        <f t="shared" si="4"/>
        <v>5</v>
      </c>
      <c r="B15" s="261" t="s">
        <v>1489</v>
      </c>
      <c r="C15" s="467">
        <f t="shared" si="5"/>
        <v>4387896.2600000007</v>
      </c>
      <c r="D15" s="1106">
        <v>3850591.4300000011</v>
      </c>
      <c r="E15" s="1106">
        <v>537304.82999999973</v>
      </c>
      <c r="F15" s="1107"/>
      <c r="G15" s="468">
        <f t="shared" si="0"/>
        <v>0</v>
      </c>
      <c r="H15" s="1106"/>
      <c r="I15" s="1106"/>
      <c r="J15" s="467">
        <f>'35-Other Formula Revenue'!G21</f>
        <v>0</v>
      </c>
      <c r="K15" s="467">
        <f t="shared" si="2"/>
        <v>4387896.2600000007</v>
      </c>
      <c r="L15" s="467">
        <f t="shared" si="3"/>
        <v>3850591.4300000011</v>
      </c>
      <c r="M15" s="467">
        <f t="shared" si="1"/>
        <v>537304.82999999973</v>
      </c>
    </row>
    <row r="16" spans="1:13" ht="13">
      <c r="A16" s="2">
        <f t="shared" si="4"/>
        <v>6</v>
      </c>
      <c r="B16" s="261" t="s">
        <v>1490</v>
      </c>
      <c r="C16" s="467">
        <f t="shared" si="5"/>
        <v>21913564.879999995</v>
      </c>
      <c r="D16" s="1106">
        <v>17709529.429999996</v>
      </c>
      <c r="E16" s="1106">
        <v>4204035.4499999983</v>
      </c>
      <c r="F16" s="1107"/>
      <c r="G16" s="468">
        <f t="shared" si="0"/>
        <v>0</v>
      </c>
      <c r="H16" s="1106"/>
      <c r="I16" s="1106"/>
      <c r="J16" s="467">
        <f>'35-Other Formula Revenue'!G22</f>
        <v>0</v>
      </c>
      <c r="K16" s="467">
        <f t="shared" si="2"/>
        <v>21913564.879999995</v>
      </c>
      <c r="L16" s="467">
        <f t="shared" si="3"/>
        <v>17709529.429999996</v>
      </c>
      <c r="M16" s="467">
        <f t="shared" si="1"/>
        <v>4204035.4499999983</v>
      </c>
    </row>
    <row r="17" spans="1:13" ht="13">
      <c r="A17" s="2">
        <f t="shared" si="4"/>
        <v>7</v>
      </c>
      <c r="B17" s="261" t="s">
        <v>1491</v>
      </c>
      <c r="C17" s="467">
        <f t="shared" si="5"/>
        <v>0</v>
      </c>
      <c r="D17" s="1106">
        <v>0</v>
      </c>
      <c r="E17" s="1106">
        <v>0</v>
      </c>
      <c r="F17" s="1107" t="s">
        <v>1492</v>
      </c>
      <c r="G17" s="468">
        <f t="shared" si="0"/>
        <v>0</v>
      </c>
      <c r="H17" s="1106">
        <v>0</v>
      </c>
      <c r="I17" s="1106">
        <v>0</v>
      </c>
      <c r="J17" s="467">
        <f>'35-Other Formula Revenue'!G23</f>
        <v>0</v>
      </c>
      <c r="K17" s="467">
        <f t="shared" si="2"/>
        <v>0</v>
      </c>
      <c r="L17" s="467">
        <f t="shared" si="3"/>
        <v>0</v>
      </c>
      <c r="M17" s="467">
        <f t="shared" si="1"/>
        <v>0</v>
      </c>
    </row>
    <row r="18" spans="1:13" ht="13">
      <c r="A18" s="2">
        <f t="shared" si="4"/>
        <v>8</v>
      </c>
      <c r="B18" s="261" t="s">
        <v>1493</v>
      </c>
      <c r="C18" s="467">
        <f t="shared" si="5"/>
        <v>897733.07000000007</v>
      </c>
      <c r="D18" s="1106">
        <v>0</v>
      </c>
      <c r="E18" s="1106">
        <v>897733.07000000007</v>
      </c>
      <c r="F18" s="1107"/>
      <c r="G18" s="468">
        <f t="shared" si="0"/>
        <v>0</v>
      </c>
      <c r="H18" s="1106"/>
      <c r="I18" s="1106"/>
      <c r="J18" s="467">
        <f>'35-Other Formula Revenue'!G24</f>
        <v>0</v>
      </c>
      <c r="K18" s="467">
        <f t="shared" si="2"/>
        <v>897733.07000000007</v>
      </c>
      <c r="L18" s="467">
        <f t="shared" si="3"/>
        <v>0</v>
      </c>
      <c r="M18" s="467">
        <f t="shared" si="1"/>
        <v>897733.07000000007</v>
      </c>
    </row>
    <row r="19" spans="1:13" ht="13">
      <c r="A19" s="2">
        <f t="shared" si="4"/>
        <v>9</v>
      </c>
      <c r="B19" s="261" t="s">
        <v>1494</v>
      </c>
      <c r="C19" s="467">
        <f t="shared" si="5"/>
        <v>28018134.260000002</v>
      </c>
      <c r="D19" s="1106">
        <v>9283875.8000000007</v>
      </c>
      <c r="E19" s="1106">
        <v>18734258.460000001</v>
      </c>
      <c r="F19" s="1107"/>
      <c r="G19" s="468">
        <f t="shared" si="0"/>
        <v>0</v>
      </c>
      <c r="H19" s="1106"/>
      <c r="I19" s="1106"/>
      <c r="J19" s="467">
        <f>'35-Other Formula Revenue'!G25</f>
        <v>0</v>
      </c>
      <c r="K19" s="467">
        <f t="shared" si="2"/>
        <v>28018134.260000002</v>
      </c>
      <c r="L19" s="467">
        <f t="shared" si="3"/>
        <v>9283875.8000000007</v>
      </c>
      <c r="M19" s="467">
        <f t="shared" si="1"/>
        <v>18734258.460000001</v>
      </c>
    </row>
    <row r="20" spans="1:13" ht="13">
      <c r="A20" s="2">
        <f t="shared" si="4"/>
        <v>10</v>
      </c>
      <c r="B20" s="261" t="s">
        <v>1495</v>
      </c>
      <c r="C20" s="467">
        <f t="shared" si="5"/>
        <v>2464409.13</v>
      </c>
      <c r="D20" s="1106">
        <v>2034244.9299999997</v>
      </c>
      <c r="E20" s="1106">
        <v>430164.2</v>
      </c>
      <c r="F20" s="1107"/>
      <c r="G20" s="468">
        <f t="shared" si="0"/>
        <v>0</v>
      </c>
      <c r="H20" s="1106"/>
      <c r="I20" s="1106"/>
      <c r="J20" s="467">
        <f>'35-Other Formula Revenue'!G26</f>
        <v>0</v>
      </c>
      <c r="K20" s="467">
        <f t="shared" si="2"/>
        <v>2464409.13</v>
      </c>
      <c r="L20" s="467">
        <f t="shared" si="3"/>
        <v>2034244.9299999997</v>
      </c>
      <c r="M20" s="467">
        <f t="shared" si="1"/>
        <v>430164.2</v>
      </c>
    </row>
    <row r="21" spans="1:13" ht="13">
      <c r="A21" s="2">
        <f t="shared" si="4"/>
        <v>11</v>
      </c>
      <c r="B21" s="261" t="s">
        <v>1496</v>
      </c>
      <c r="C21" s="467">
        <f t="shared" si="5"/>
        <v>0</v>
      </c>
      <c r="D21" s="1106">
        <v>0</v>
      </c>
      <c r="E21" s="1106">
        <v>0</v>
      </c>
      <c r="F21" s="1107"/>
      <c r="G21" s="468">
        <f t="shared" si="0"/>
        <v>0</v>
      </c>
      <c r="H21" s="1106"/>
      <c r="I21" s="1106"/>
      <c r="J21" s="467">
        <f>'35-Other Formula Revenue'!G27</f>
        <v>0</v>
      </c>
      <c r="K21" s="467">
        <f t="shared" si="2"/>
        <v>0</v>
      </c>
      <c r="L21" s="467">
        <f t="shared" si="3"/>
        <v>0</v>
      </c>
      <c r="M21" s="467">
        <f t="shared" si="1"/>
        <v>0</v>
      </c>
    </row>
    <row r="22" spans="1:13" ht="13">
      <c r="A22" s="2">
        <f t="shared" si="4"/>
        <v>12</v>
      </c>
      <c r="B22" s="261" t="s">
        <v>1497</v>
      </c>
      <c r="C22" s="467">
        <f t="shared" si="5"/>
        <v>21106578.41</v>
      </c>
      <c r="D22" s="1106">
        <v>0</v>
      </c>
      <c r="E22" s="1106">
        <v>21106578.41</v>
      </c>
      <c r="F22" s="1107" t="s">
        <v>1498</v>
      </c>
      <c r="G22" s="468">
        <f t="shared" si="0"/>
        <v>-21106578.41</v>
      </c>
      <c r="H22" s="1106">
        <v>0</v>
      </c>
      <c r="I22" s="1106">
        <v>-21106578.41</v>
      </c>
      <c r="J22" s="467">
        <f>'35-Other Formula Revenue'!G28</f>
        <v>0</v>
      </c>
      <c r="K22" s="467">
        <f t="shared" si="2"/>
        <v>0</v>
      </c>
      <c r="L22" s="467">
        <f t="shared" si="3"/>
        <v>0</v>
      </c>
      <c r="M22" s="467">
        <f t="shared" si="1"/>
        <v>0</v>
      </c>
    </row>
    <row r="23" spans="1:13" ht="13">
      <c r="A23" s="2">
        <f t="shared" si="4"/>
        <v>13</v>
      </c>
      <c r="B23" s="261" t="s">
        <v>1499</v>
      </c>
      <c r="C23" s="467">
        <f t="shared" si="5"/>
        <v>328194.69</v>
      </c>
      <c r="D23" s="1106">
        <v>0</v>
      </c>
      <c r="E23" s="1106">
        <v>328194.69</v>
      </c>
      <c r="F23" s="1107"/>
      <c r="G23" s="468">
        <f t="shared" si="0"/>
        <v>0</v>
      </c>
      <c r="H23" s="1106"/>
      <c r="I23" s="1106"/>
      <c r="J23" s="467">
        <f>'35-Other Formula Revenue'!G29</f>
        <v>0</v>
      </c>
      <c r="K23" s="467">
        <f t="shared" si="2"/>
        <v>328194.69</v>
      </c>
      <c r="L23" s="467">
        <f t="shared" si="3"/>
        <v>0</v>
      </c>
      <c r="M23" s="467">
        <f t="shared" si="1"/>
        <v>328194.69</v>
      </c>
    </row>
    <row r="24" spans="1:13" ht="13">
      <c r="A24" s="2">
        <f t="shared" si="4"/>
        <v>14</v>
      </c>
      <c r="B24" s="261" t="s">
        <v>1500</v>
      </c>
      <c r="C24" s="467">
        <f t="shared" si="5"/>
        <v>89876953.949999958</v>
      </c>
      <c r="D24" s="1106">
        <v>25535125.229999989</v>
      </c>
      <c r="E24" s="1106">
        <v>64341828.719999976</v>
      </c>
      <c r="F24" s="1107" t="s">
        <v>1501</v>
      </c>
      <c r="G24" s="468">
        <f>SUM(H24:I24)</f>
        <v>-50362215.5</v>
      </c>
      <c r="H24" s="1106">
        <v>-297311.73</v>
      </c>
      <c r="I24" s="1106">
        <v>-50064903.770000003</v>
      </c>
      <c r="J24" s="467">
        <f>'35-Other Formula Revenue'!G30</f>
        <v>0</v>
      </c>
      <c r="K24" s="467">
        <f>SUM(L24:M24)</f>
        <v>39514738.449999958</v>
      </c>
      <c r="L24" s="467">
        <f t="shared" si="3"/>
        <v>25237813.499999989</v>
      </c>
      <c r="M24" s="467">
        <f t="shared" si="1"/>
        <v>14276924.949999973</v>
      </c>
    </row>
    <row r="25" spans="1:13" ht="13">
      <c r="A25" s="2">
        <f t="shared" si="4"/>
        <v>15</v>
      </c>
      <c r="B25" s="261" t="s">
        <v>1502</v>
      </c>
      <c r="C25" s="467">
        <f t="shared" si="5"/>
        <v>195907469.35000002</v>
      </c>
      <c r="D25" s="1106">
        <v>1.93</v>
      </c>
      <c r="E25" s="1106">
        <v>195907467.42000002</v>
      </c>
      <c r="F25" s="1107" t="s">
        <v>1503</v>
      </c>
      <c r="G25" s="468">
        <f>SUM(H25:I25)</f>
        <v>-195901528.90000001</v>
      </c>
      <c r="H25" s="1106">
        <v>0</v>
      </c>
      <c r="I25" s="1106">
        <v>-195901528.90000001</v>
      </c>
      <c r="J25" s="467">
        <f>'35-Other Formula Revenue'!G31</f>
        <v>0</v>
      </c>
      <c r="K25" s="467">
        <f t="shared" si="2"/>
        <v>5940.4500000107291</v>
      </c>
      <c r="L25" s="467">
        <f t="shared" si="3"/>
        <v>1.93</v>
      </c>
      <c r="M25" s="467">
        <f t="shared" si="1"/>
        <v>5938.5200000107288</v>
      </c>
    </row>
    <row r="26" spans="1:13" ht="13">
      <c r="A26" s="2">
        <f t="shared" si="4"/>
        <v>16</v>
      </c>
      <c r="B26" s="261" t="s">
        <v>1504</v>
      </c>
      <c r="C26" s="467">
        <f t="shared" si="5"/>
        <v>-277792.21999999986</v>
      </c>
      <c r="D26" s="1106">
        <v>1357.1</v>
      </c>
      <c r="E26" s="1106">
        <v>-279149.31999999983</v>
      </c>
      <c r="F26" s="1107"/>
      <c r="G26" s="468">
        <f t="shared" si="0"/>
        <v>0</v>
      </c>
      <c r="H26" s="1106"/>
      <c r="I26" s="1106"/>
      <c r="J26" s="467">
        <f>'35-Other Formula Revenue'!G32</f>
        <v>0</v>
      </c>
      <c r="K26" s="467">
        <f t="shared" si="2"/>
        <v>-277792.21999999986</v>
      </c>
      <c r="L26" s="467">
        <f t="shared" si="3"/>
        <v>1357.1</v>
      </c>
      <c r="M26" s="467">
        <f t="shared" si="1"/>
        <v>-279149.31999999983</v>
      </c>
    </row>
    <row r="27" spans="1:13" ht="13">
      <c r="A27" s="2">
        <f t="shared" si="4"/>
        <v>17</v>
      </c>
      <c r="B27" s="261" t="s">
        <v>1505</v>
      </c>
      <c r="C27" s="467">
        <f t="shared" si="5"/>
        <v>18078216.079999998</v>
      </c>
      <c r="D27" s="1106">
        <v>56956.160000000018</v>
      </c>
      <c r="E27" s="1106">
        <v>18021259.919999998</v>
      </c>
      <c r="F27" s="1107"/>
      <c r="G27" s="468">
        <f t="shared" si="0"/>
        <v>0</v>
      </c>
      <c r="H27" s="1106"/>
      <c r="I27" s="1106"/>
      <c r="J27" s="467">
        <f>'35-Other Formula Revenue'!G33</f>
        <v>0</v>
      </c>
      <c r="K27" s="467">
        <f t="shared" si="2"/>
        <v>18078216.079999998</v>
      </c>
      <c r="L27" s="467">
        <f t="shared" si="3"/>
        <v>56956.160000000018</v>
      </c>
      <c r="M27" s="467">
        <f t="shared" si="1"/>
        <v>18021259.919999998</v>
      </c>
    </row>
    <row r="28" spans="1:13" ht="13">
      <c r="A28" s="2">
        <f t="shared" si="4"/>
        <v>18</v>
      </c>
      <c r="B28" s="261" t="s">
        <v>1506</v>
      </c>
      <c r="C28" s="467">
        <f t="shared" si="5"/>
        <v>90937.450000000012</v>
      </c>
      <c r="D28" s="1106">
        <v>0</v>
      </c>
      <c r="E28" s="1106">
        <v>90937.450000000012</v>
      </c>
      <c r="F28" s="1107"/>
      <c r="G28" s="468">
        <f t="shared" si="0"/>
        <v>0</v>
      </c>
      <c r="H28" s="1106"/>
      <c r="I28" s="1106"/>
      <c r="J28" s="467">
        <f>'35-Other Formula Revenue'!G34</f>
        <v>0</v>
      </c>
      <c r="K28" s="467">
        <f t="shared" si="2"/>
        <v>90937.450000000012</v>
      </c>
      <c r="L28" s="467">
        <f t="shared" si="3"/>
        <v>0</v>
      </c>
      <c r="M28" s="467">
        <f t="shared" si="1"/>
        <v>90937.450000000012</v>
      </c>
    </row>
    <row r="29" spans="1:13" ht="13">
      <c r="A29" s="2">
        <f t="shared" si="4"/>
        <v>19</v>
      </c>
      <c r="B29" s="261" t="s">
        <v>1507</v>
      </c>
      <c r="C29" s="467">
        <f t="shared" si="5"/>
        <v>272401.53000000003</v>
      </c>
      <c r="D29" s="1106">
        <v>0</v>
      </c>
      <c r="E29" s="1106">
        <v>272401.53000000003</v>
      </c>
      <c r="F29" s="1107"/>
      <c r="G29" s="468">
        <f t="shared" si="0"/>
        <v>0</v>
      </c>
      <c r="H29" s="1106"/>
      <c r="I29" s="1106"/>
      <c r="J29" s="467">
        <f>'35-Other Formula Revenue'!G35</f>
        <v>0</v>
      </c>
      <c r="K29" s="467">
        <f t="shared" ref="K29" si="6">SUM(L29:M29)</f>
        <v>272401.53000000003</v>
      </c>
      <c r="L29" s="467">
        <f t="shared" si="3"/>
        <v>0</v>
      </c>
      <c r="M29" s="467">
        <f t="shared" si="1"/>
        <v>272401.53000000003</v>
      </c>
    </row>
    <row r="30" spans="1:13" ht="13">
      <c r="A30" s="2">
        <f t="shared" si="4"/>
        <v>20</v>
      </c>
      <c r="B30" s="261" t="s">
        <v>1508</v>
      </c>
      <c r="C30" s="467">
        <f t="shared" si="5"/>
        <v>1458163.1499999997</v>
      </c>
      <c r="D30" s="1106">
        <v>1254264.2799999996</v>
      </c>
      <c r="E30" s="1106">
        <v>203898.87000000008</v>
      </c>
      <c r="F30" s="1107"/>
      <c r="G30" s="468">
        <f t="shared" si="0"/>
        <v>0</v>
      </c>
      <c r="H30" s="1106"/>
      <c r="I30" s="1106"/>
      <c r="J30" s="467">
        <f>'35-Other Formula Revenue'!G36</f>
        <v>0</v>
      </c>
      <c r="K30" s="467">
        <f t="shared" si="2"/>
        <v>1458163.1499999997</v>
      </c>
      <c r="L30" s="467">
        <f t="shared" si="3"/>
        <v>1254264.2799999996</v>
      </c>
      <c r="M30" s="467">
        <f t="shared" si="1"/>
        <v>203898.87000000008</v>
      </c>
    </row>
    <row r="31" spans="1:13" ht="13">
      <c r="A31" s="2">
        <f t="shared" si="4"/>
        <v>21</v>
      </c>
      <c r="B31" s="261" t="s">
        <v>1509</v>
      </c>
      <c r="C31" s="467">
        <f t="shared" si="5"/>
        <v>385256.73</v>
      </c>
      <c r="D31" s="1106">
        <v>0</v>
      </c>
      <c r="E31" s="1106">
        <v>385256.73</v>
      </c>
      <c r="F31" s="1107"/>
      <c r="G31" s="468">
        <f t="shared" si="0"/>
        <v>0</v>
      </c>
      <c r="H31" s="1106"/>
      <c r="I31" s="1106"/>
      <c r="J31" s="467">
        <f>'35-Other Formula Revenue'!G37</f>
        <v>0</v>
      </c>
      <c r="K31" s="467">
        <f t="shared" si="2"/>
        <v>385256.73</v>
      </c>
      <c r="L31" s="467">
        <f t="shared" si="3"/>
        <v>0</v>
      </c>
      <c r="M31" s="467">
        <f t="shared" si="1"/>
        <v>385256.73</v>
      </c>
    </row>
    <row r="32" spans="1:13" ht="13">
      <c r="A32" s="2">
        <f t="shared" si="4"/>
        <v>22</v>
      </c>
      <c r="B32" s="261" t="s">
        <v>1510</v>
      </c>
      <c r="C32" s="467">
        <f t="shared" si="5"/>
        <v>39698016.160000004</v>
      </c>
      <c r="D32" s="1106">
        <v>5125.880000000001</v>
      </c>
      <c r="E32" s="1106">
        <v>39692890.280000001</v>
      </c>
      <c r="F32" s="1107" t="s">
        <v>1511</v>
      </c>
      <c r="G32" s="468">
        <f t="shared" si="0"/>
        <v>-37437029</v>
      </c>
      <c r="H32" s="1106">
        <v>0</v>
      </c>
      <c r="I32" s="1106">
        <v>-37437029</v>
      </c>
      <c r="J32" s="467">
        <f>'35-Other Formula Revenue'!G38</f>
        <v>0</v>
      </c>
      <c r="K32" s="467">
        <f t="shared" si="2"/>
        <v>2260987.1600000011</v>
      </c>
      <c r="L32" s="467">
        <f t="shared" si="3"/>
        <v>5125.880000000001</v>
      </c>
      <c r="M32" s="467">
        <f t="shared" si="1"/>
        <v>2255861.2800000012</v>
      </c>
    </row>
    <row r="33" spans="1:13" ht="13">
      <c r="A33" s="2">
        <f t="shared" si="4"/>
        <v>23</v>
      </c>
      <c r="B33" s="261" t="s">
        <v>1512</v>
      </c>
      <c r="C33" s="467">
        <f t="shared" si="5"/>
        <v>381983.22</v>
      </c>
      <c r="D33" s="1106">
        <v>0</v>
      </c>
      <c r="E33" s="1106">
        <v>381983.22</v>
      </c>
      <c r="F33" s="1107"/>
      <c r="G33" s="468">
        <f t="shared" si="0"/>
        <v>0</v>
      </c>
      <c r="H33" s="1106"/>
      <c r="I33" s="1106"/>
      <c r="J33" s="467">
        <f>'35-Other Formula Revenue'!G39</f>
        <v>0</v>
      </c>
      <c r="K33" s="467">
        <f t="shared" si="2"/>
        <v>381983.22</v>
      </c>
      <c r="L33" s="467">
        <f t="shared" si="3"/>
        <v>0</v>
      </c>
      <c r="M33" s="467">
        <f t="shared" si="1"/>
        <v>381983.22</v>
      </c>
    </row>
    <row r="34" spans="1:13" ht="13">
      <c r="A34" s="2">
        <f t="shared" si="4"/>
        <v>24</v>
      </c>
      <c r="B34" s="261" t="s">
        <v>1513</v>
      </c>
      <c r="C34" s="467">
        <f t="shared" si="5"/>
        <v>7733142.4699999988</v>
      </c>
      <c r="D34" s="1106">
        <v>3743306.7</v>
      </c>
      <c r="E34" s="1106">
        <v>3989835.7699999986</v>
      </c>
      <c r="F34" s="1107"/>
      <c r="G34" s="468">
        <f t="shared" si="0"/>
        <v>0</v>
      </c>
      <c r="H34" s="1106"/>
      <c r="I34" s="1106"/>
      <c r="J34" s="467">
        <f>'35-Other Formula Revenue'!G40</f>
        <v>0</v>
      </c>
      <c r="K34" s="467">
        <f t="shared" si="2"/>
        <v>7733142.4699999988</v>
      </c>
      <c r="L34" s="467">
        <f t="shared" si="3"/>
        <v>3743306.7</v>
      </c>
      <c r="M34" s="467">
        <f t="shared" si="1"/>
        <v>3989835.7699999986</v>
      </c>
    </row>
    <row r="35" spans="1:13" ht="13">
      <c r="A35" s="2">
        <f t="shared" si="4"/>
        <v>25</v>
      </c>
      <c r="B35" s="261" t="s">
        <v>1514</v>
      </c>
      <c r="C35" s="467">
        <f t="shared" si="5"/>
        <v>1857443.9600000002</v>
      </c>
      <c r="D35" s="1106">
        <v>0</v>
      </c>
      <c r="E35" s="1106">
        <v>1857443.9600000002</v>
      </c>
      <c r="F35" s="1107"/>
      <c r="G35" s="468">
        <f t="shared" si="0"/>
        <v>0</v>
      </c>
      <c r="H35" s="1106"/>
      <c r="I35" s="1106"/>
      <c r="J35" s="467">
        <f>'35-Other Formula Revenue'!G41</f>
        <v>0</v>
      </c>
      <c r="K35" s="467">
        <f t="shared" si="2"/>
        <v>1857443.9600000002</v>
      </c>
      <c r="L35" s="467">
        <f t="shared" si="3"/>
        <v>0</v>
      </c>
      <c r="M35" s="467">
        <f t="shared" si="1"/>
        <v>1857443.9600000002</v>
      </c>
    </row>
    <row r="36" spans="1:13" ht="13">
      <c r="A36" s="2">
        <f t="shared" si="4"/>
        <v>26</v>
      </c>
      <c r="B36" s="261" t="s">
        <v>1515</v>
      </c>
      <c r="C36" s="467">
        <f t="shared" si="5"/>
        <v>69151434.650000036</v>
      </c>
      <c r="D36" s="1106">
        <v>12193526.199999996</v>
      </c>
      <c r="E36" s="1106">
        <v>56957908.45000004</v>
      </c>
      <c r="F36" s="1107"/>
      <c r="G36" s="468">
        <f t="shared" si="0"/>
        <v>0</v>
      </c>
      <c r="H36" s="1106"/>
      <c r="I36" s="1106"/>
      <c r="J36" s="467">
        <f>'35-Other Formula Revenue'!G42</f>
        <v>0</v>
      </c>
      <c r="K36" s="467">
        <f t="shared" si="2"/>
        <v>69151434.650000036</v>
      </c>
      <c r="L36" s="467">
        <f t="shared" si="3"/>
        <v>12193526.199999996</v>
      </c>
      <c r="M36" s="467">
        <f t="shared" si="1"/>
        <v>56957908.45000004</v>
      </c>
    </row>
    <row r="37" spans="1:13" ht="13">
      <c r="A37" s="2">
        <f t="shared" si="4"/>
        <v>27</v>
      </c>
      <c r="B37" s="261" t="s">
        <v>1516</v>
      </c>
      <c r="C37" s="467">
        <f t="shared" si="5"/>
        <v>555768.00999999989</v>
      </c>
      <c r="D37" s="1106">
        <v>0</v>
      </c>
      <c r="E37" s="1106">
        <v>555768.00999999989</v>
      </c>
      <c r="F37" s="1107"/>
      <c r="G37" s="468">
        <f t="shared" si="0"/>
        <v>0</v>
      </c>
      <c r="H37" s="1106"/>
      <c r="I37" s="1106"/>
      <c r="J37" s="467">
        <f>'35-Other Formula Revenue'!G43</f>
        <v>0</v>
      </c>
      <c r="K37" s="467">
        <f t="shared" si="2"/>
        <v>555768.00999999989</v>
      </c>
      <c r="L37" s="467">
        <f t="shared" si="3"/>
        <v>0</v>
      </c>
      <c r="M37" s="467">
        <f t="shared" si="1"/>
        <v>555768.00999999989</v>
      </c>
    </row>
    <row r="38" spans="1:13" ht="13">
      <c r="A38" s="2">
        <f t="shared" si="4"/>
        <v>28</v>
      </c>
      <c r="B38" s="261" t="s">
        <v>1517</v>
      </c>
      <c r="C38" s="467">
        <f t="shared" si="5"/>
        <v>374848.77</v>
      </c>
      <c r="D38" s="1106">
        <v>165668.56999999998</v>
      </c>
      <c r="E38" s="1106">
        <v>209180.2</v>
      </c>
      <c r="F38" s="1107"/>
      <c r="G38" s="468">
        <f t="shared" si="0"/>
        <v>0</v>
      </c>
      <c r="H38" s="1106"/>
      <c r="I38" s="1106"/>
      <c r="J38" s="467">
        <f>'35-Other Formula Revenue'!G44</f>
        <v>0</v>
      </c>
      <c r="K38" s="467">
        <f t="shared" si="2"/>
        <v>374848.77</v>
      </c>
      <c r="L38" s="467">
        <f t="shared" si="3"/>
        <v>165668.56999999998</v>
      </c>
      <c r="M38" s="467">
        <f t="shared" si="1"/>
        <v>209180.2</v>
      </c>
    </row>
    <row r="39" spans="1:13" ht="13">
      <c r="A39" s="2">
        <f t="shared" si="4"/>
        <v>29</v>
      </c>
      <c r="B39" s="261" t="s">
        <v>1518</v>
      </c>
      <c r="C39" s="467">
        <f t="shared" si="5"/>
        <v>5003.33</v>
      </c>
      <c r="D39" s="1106"/>
      <c r="E39" s="1106">
        <v>5003.33</v>
      </c>
      <c r="F39" s="1107"/>
      <c r="G39" s="468">
        <f t="shared" si="0"/>
        <v>0</v>
      </c>
      <c r="H39" s="1106"/>
      <c r="I39" s="1106"/>
      <c r="J39" s="467">
        <f>'35-Other Formula Revenue'!G45</f>
        <v>0</v>
      </c>
      <c r="K39" s="467">
        <f t="shared" si="2"/>
        <v>5003.33</v>
      </c>
      <c r="L39" s="467">
        <f t="shared" si="3"/>
        <v>0</v>
      </c>
      <c r="M39" s="467">
        <f t="shared" si="1"/>
        <v>5003.33</v>
      </c>
    </row>
    <row r="40" spans="1:13" ht="13">
      <c r="A40" s="2">
        <f t="shared" si="4"/>
        <v>30</v>
      </c>
      <c r="B40" s="261" t="s">
        <v>1519</v>
      </c>
      <c r="C40" s="467">
        <f t="shared" si="5"/>
        <v>1259173.3900000001</v>
      </c>
      <c r="D40" s="1106">
        <v>933258.49000000011</v>
      </c>
      <c r="E40" s="1106">
        <v>325914.90000000002</v>
      </c>
      <c r="F40" s="1107"/>
      <c r="G40" s="468">
        <f t="shared" si="0"/>
        <v>0</v>
      </c>
      <c r="H40" s="1106"/>
      <c r="I40" s="1106"/>
      <c r="J40" s="467">
        <f>'35-Other Formula Revenue'!G46</f>
        <v>0</v>
      </c>
      <c r="K40" s="467">
        <f t="shared" si="2"/>
        <v>1259173.3900000001</v>
      </c>
      <c r="L40" s="467">
        <f t="shared" si="3"/>
        <v>933258.49000000011</v>
      </c>
      <c r="M40" s="467">
        <f t="shared" si="1"/>
        <v>325914.90000000002</v>
      </c>
    </row>
    <row r="41" spans="1:13" ht="13">
      <c r="A41" s="2">
        <f t="shared" si="4"/>
        <v>31</v>
      </c>
      <c r="B41" s="285" t="s">
        <v>823</v>
      </c>
      <c r="C41" s="470" t="s">
        <v>380</v>
      </c>
      <c r="D41" s="470" t="s">
        <v>380</v>
      </c>
      <c r="E41" s="470" t="s">
        <v>380</v>
      </c>
      <c r="F41" s="470" t="s">
        <v>380</v>
      </c>
      <c r="G41" s="468">
        <f t="shared" si="0"/>
        <v>0</v>
      </c>
      <c r="H41" s="470" t="s">
        <v>380</v>
      </c>
      <c r="I41" s="470" t="s">
        <v>380</v>
      </c>
      <c r="J41" s="1049">
        <v>0</v>
      </c>
      <c r="K41" s="1049">
        <v>0</v>
      </c>
      <c r="L41" s="1049">
        <v>0</v>
      </c>
      <c r="M41" s="1049">
        <v>0</v>
      </c>
    </row>
    <row r="42" spans="1:13" ht="13">
      <c r="A42" s="2">
        <f t="shared" si="4"/>
        <v>32</v>
      </c>
      <c r="B42" s="261" t="s">
        <v>1520</v>
      </c>
      <c r="C42" s="471">
        <v>0</v>
      </c>
      <c r="D42" s="471">
        <v>0</v>
      </c>
      <c r="E42" s="471">
        <v>0</v>
      </c>
      <c r="F42" s="482"/>
      <c r="G42" s="472">
        <f t="shared" si="0"/>
        <v>-2224263.1941172266</v>
      </c>
      <c r="H42" s="473">
        <f>+C64*C144</f>
        <v>-2224263.1941172266</v>
      </c>
      <c r="I42" s="473">
        <v>0</v>
      </c>
      <c r="J42" s="922">
        <f>'35-Other Formula Revenue'!G47</f>
        <v>0</v>
      </c>
      <c r="K42" s="922">
        <f t="shared" si="2"/>
        <v>-2224263.1941172266</v>
      </c>
      <c r="L42" s="922">
        <f>D42+H42</f>
        <v>-2224263.1941172266</v>
      </c>
      <c r="M42" s="922">
        <f>E42+I42+J42</f>
        <v>0</v>
      </c>
    </row>
    <row r="43" spans="1:13" ht="13">
      <c r="A43" s="2">
        <f t="shared" si="4"/>
        <v>33</v>
      </c>
      <c r="B43" s="133" t="s">
        <v>1521</v>
      </c>
      <c r="C43" s="467">
        <f>SUM(C11:C42)</f>
        <v>551420299.8599999</v>
      </c>
      <c r="D43" s="474">
        <f>SUM(D11:D42)</f>
        <v>87254255.669999972</v>
      </c>
      <c r="E43" s="474">
        <f>SUM(E11:E42)</f>
        <v>464166044.19</v>
      </c>
      <c r="F43" s="475"/>
      <c r="G43" s="475">
        <f t="shared" ref="G43:I43" si="7">SUM(G11:G42)</f>
        <v>-335403271.87411726</v>
      </c>
      <c r="H43" s="476">
        <f t="shared" si="7"/>
        <v>-2521574.9241172266</v>
      </c>
      <c r="I43" s="476">
        <f t="shared" si="7"/>
        <v>-332881696.95000005</v>
      </c>
      <c r="J43" s="476">
        <f>SUM(J11:J42)</f>
        <v>0</v>
      </c>
      <c r="K43" s="476">
        <f>SUM(K11:K42)</f>
        <v>216017027.98588279</v>
      </c>
      <c r="L43" s="476">
        <f>SUM(L11:L42)</f>
        <v>84732680.74588275</v>
      </c>
      <c r="M43" s="476">
        <f>SUM(M11:M42)</f>
        <v>131284347.24000002</v>
      </c>
    </row>
    <row r="44" spans="1:13" ht="13">
      <c r="A44" s="2">
        <f t="shared" si="4"/>
        <v>34</v>
      </c>
      <c r="D44" s="477"/>
      <c r="E44" s="477"/>
      <c r="F44" s="478"/>
      <c r="G44" s="479"/>
      <c r="H44" s="480"/>
      <c r="I44" s="480"/>
      <c r="J44" s="320"/>
      <c r="K44" s="320"/>
      <c r="L44" s="320"/>
    </row>
    <row r="45" spans="1:13" ht="13">
      <c r="A45" s="2"/>
      <c r="B45" s="133"/>
      <c r="C45" s="477"/>
      <c r="D45" s="477"/>
      <c r="E45" s="477"/>
      <c r="F45" s="478"/>
      <c r="G45" s="481"/>
      <c r="H45" s="477"/>
      <c r="I45" s="477"/>
      <c r="J45" s="477"/>
      <c r="K45" s="477"/>
      <c r="L45" s="477"/>
    </row>
    <row r="46" spans="1:13" ht="13">
      <c r="A46" s="2"/>
      <c r="B46" s="226" t="s">
        <v>336</v>
      </c>
      <c r="C46" s="226" t="s">
        <v>337</v>
      </c>
      <c r="D46" s="226" t="s">
        <v>338</v>
      </c>
      <c r="E46" s="226" t="s">
        <v>339</v>
      </c>
      <c r="F46" s="226" t="s">
        <v>340</v>
      </c>
      <c r="G46" s="226" t="s">
        <v>341</v>
      </c>
      <c r="H46" s="226" t="s">
        <v>342</v>
      </c>
      <c r="I46" s="226" t="s">
        <v>343</v>
      </c>
      <c r="J46" s="226" t="s">
        <v>344</v>
      </c>
      <c r="K46" s="226" t="s">
        <v>589</v>
      </c>
      <c r="L46" s="226" t="s">
        <v>590</v>
      </c>
    </row>
    <row r="47" spans="1:13" ht="13">
      <c r="A47" s="2"/>
      <c r="B47" s="133"/>
      <c r="C47" s="665" t="s">
        <v>1470</v>
      </c>
      <c r="D47" s="19"/>
      <c r="E47" s="19"/>
      <c r="F47" s="463" t="s">
        <v>165</v>
      </c>
      <c r="G47" s="665" t="s">
        <v>1471</v>
      </c>
      <c r="H47" s="137"/>
      <c r="I47" s="137"/>
      <c r="J47" s="665" t="s">
        <v>1473</v>
      </c>
      <c r="K47" s="665" t="s">
        <v>1474</v>
      </c>
      <c r="L47" s="666" t="s">
        <v>1522</v>
      </c>
    </row>
    <row r="48" spans="1:13" ht="13">
      <c r="A48" s="2"/>
      <c r="D48" s="477"/>
      <c r="E48" s="477"/>
      <c r="F48" s="478"/>
      <c r="G48" s="479"/>
      <c r="H48" s="477"/>
      <c r="I48" s="477"/>
      <c r="J48" s="320"/>
      <c r="K48" s="320"/>
      <c r="L48" s="320"/>
    </row>
    <row r="49" spans="1:12" ht="13">
      <c r="A49" s="2"/>
      <c r="B49" s="1122" t="s">
        <v>1476</v>
      </c>
      <c r="C49" s="1124" t="s">
        <v>1477</v>
      </c>
      <c r="D49" s="1124"/>
      <c r="E49" s="1124"/>
      <c r="F49" s="227"/>
      <c r="G49" s="1119" t="s">
        <v>1478</v>
      </c>
      <c r="H49" s="1119"/>
      <c r="I49" s="1120"/>
      <c r="J49" s="1118" t="s">
        <v>1479</v>
      </c>
      <c r="K49" s="1119"/>
      <c r="L49" s="1120"/>
    </row>
    <row r="50" spans="1:12" ht="13">
      <c r="A50" s="2"/>
      <c r="B50" s="1123"/>
      <c r="C50" s="228" t="s">
        <v>249</v>
      </c>
      <c r="D50" s="228" t="s">
        <v>805</v>
      </c>
      <c r="E50" s="228" t="s">
        <v>1480</v>
      </c>
      <c r="F50" s="228" t="s">
        <v>1481</v>
      </c>
      <c r="G50" s="228" t="s">
        <v>249</v>
      </c>
      <c r="H50" s="228" t="s">
        <v>805</v>
      </c>
      <c r="I50" s="228" t="s">
        <v>1480</v>
      </c>
      <c r="J50" s="228" t="s">
        <v>249</v>
      </c>
      <c r="K50" s="228" t="s">
        <v>805</v>
      </c>
      <c r="L50" s="228" t="s">
        <v>1480</v>
      </c>
    </row>
    <row r="51" spans="1:12" ht="13">
      <c r="A51" s="2"/>
      <c r="B51" s="154" t="s">
        <v>1523</v>
      </c>
      <c r="C51" s="19"/>
      <c r="D51" s="19"/>
      <c r="E51" s="19"/>
      <c r="F51" s="19"/>
      <c r="G51" s="19"/>
      <c r="H51" s="19"/>
      <c r="I51" s="19"/>
      <c r="J51" s="19"/>
      <c r="K51" s="19"/>
      <c r="L51" s="19"/>
    </row>
    <row r="52" spans="1:12" ht="13">
      <c r="A52" s="2">
        <f>A44+1</f>
        <v>35</v>
      </c>
      <c r="B52" s="261" t="s">
        <v>1524</v>
      </c>
      <c r="C52" s="320">
        <f t="shared" ref="C52:C56" si="8">SUM(D52:E52)</f>
        <v>33503824.949999996</v>
      </c>
      <c r="D52" s="1106">
        <v>26319020.369999997</v>
      </c>
      <c r="E52" s="1106">
        <v>7184804.5799999963</v>
      </c>
      <c r="F52" s="1107"/>
      <c r="G52" s="479">
        <f t="shared" ref="G52:G56" si="9">SUM(H52:I52)</f>
        <v>0</v>
      </c>
      <c r="H52" s="547"/>
      <c r="I52" s="547"/>
      <c r="J52" s="320">
        <f t="shared" ref="J52:J56" si="10">SUM(K52:L52)</f>
        <v>33503824.949999996</v>
      </c>
      <c r="K52" s="320">
        <f t="shared" ref="K52:L57" si="11">D52+H52</f>
        <v>26319020.369999997</v>
      </c>
      <c r="L52" s="320">
        <f t="shared" si="11"/>
        <v>7184804.5799999963</v>
      </c>
    </row>
    <row r="53" spans="1:12" ht="13">
      <c r="A53" s="2">
        <f t="shared" ref="A53:A62" si="12">A52+1</f>
        <v>36</v>
      </c>
      <c r="B53" s="261" t="s">
        <v>1525</v>
      </c>
      <c r="C53" s="320">
        <f t="shared" si="8"/>
        <v>1448907.4299999997</v>
      </c>
      <c r="D53" s="1106">
        <v>1253042.4299999997</v>
      </c>
      <c r="E53" s="1106">
        <v>195865.00000000012</v>
      </c>
      <c r="F53" s="1107"/>
      <c r="G53" s="479">
        <f t="shared" si="9"/>
        <v>0</v>
      </c>
      <c r="H53" s="547"/>
      <c r="I53" s="547"/>
      <c r="J53" s="320">
        <f t="shared" si="10"/>
        <v>1448907.4299999997</v>
      </c>
      <c r="K53" s="320">
        <f t="shared" si="11"/>
        <v>1253042.4299999997</v>
      </c>
      <c r="L53" s="320">
        <f t="shared" si="11"/>
        <v>195865.00000000012</v>
      </c>
    </row>
    <row r="54" spans="1:12" ht="13">
      <c r="A54" s="2">
        <f t="shared" si="12"/>
        <v>37</v>
      </c>
      <c r="B54" s="261" t="s">
        <v>1526</v>
      </c>
      <c r="C54" s="320">
        <f t="shared" si="8"/>
        <v>96984.790000000008</v>
      </c>
      <c r="D54" s="1106">
        <v>25892.579999999994</v>
      </c>
      <c r="E54" s="1106">
        <v>71092.210000000006</v>
      </c>
      <c r="F54" s="1107"/>
      <c r="G54" s="479">
        <f t="shared" si="9"/>
        <v>0</v>
      </c>
      <c r="H54" s="547"/>
      <c r="I54" s="547"/>
      <c r="J54" s="320">
        <f t="shared" si="10"/>
        <v>96984.790000000008</v>
      </c>
      <c r="K54" s="320">
        <f t="shared" si="11"/>
        <v>25892.579999999994</v>
      </c>
      <c r="L54" s="320">
        <f t="shared" si="11"/>
        <v>71092.210000000006</v>
      </c>
    </row>
    <row r="55" spans="1:12" ht="13">
      <c r="A55" s="2">
        <f t="shared" si="12"/>
        <v>38</v>
      </c>
      <c r="B55" s="261" t="s">
        <v>1527</v>
      </c>
      <c r="C55" s="320">
        <f t="shared" si="8"/>
        <v>5796388.1300000018</v>
      </c>
      <c r="D55" s="1106">
        <v>4323216.540000001</v>
      </c>
      <c r="E55" s="1106">
        <v>1473171.5900000008</v>
      </c>
      <c r="F55" s="1107"/>
      <c r="G55" s="479">
        <f t="shared" si="9"/>
        <v>0</v>
      </c>
      <c r="H55" s="547"/>
      <c r="I55" s="547"/>
      <c r="J55" s="320">
        <f t="shared" si="10"/>
        <v>5796388.1300000018</v>
      </c>
      <c r="K55" s="320">
        <f t="shared" si="11"/>
        <v>4323216.540000001</v>
      </c>
      <c r="L55" s="320">
        <f t="shared" si="11"/>
        <v>1473171.5900000008</v>
      </c>
    </row>
    <row r="56" spans="1:12" ht="13">
      <c r="A56" s="2">
        <f t="shared" si="12"/>
        <v>39</v>
      </c>
      <c r="B56" s="261" t="s">
        <v>1528</v>
      </c>
      <c r="C56" s="320">
        <f t="shared" si="8"/>
        <v>864468628.1099993</v>
      </c>
      <c r="D56" s="1106">
        <v>248089229.63000059</v>
      </c>
      <c r="E56" s="1106">
        <v>616379398.47999871</v>
      </c>
      <c r="F56" s="1107" t="s">
        <v>1501</v>
      </c>
      <c r="G56" s="479">
        <f t="shared" si="9"/>
        <v>-1616662.3800000001</v>
      </c>
      <c r="H56" s="1106">
        <v>-127764.99</v>
      </c>
      <c r="I56" s="1106">
        <v>-1488897.3900000001</v>
      </c>
      <c r="J56" s="320">
        <f t="shared" si="10"/>
        <v>862851965.7299993</v>
      </c>
      <c r="K56" s="320">
        <f t="shared" si="11"/>
        <v>247961464.64000058</v>
      </c>
      <c r="L56" s="320">
        <f t="shared" si="11"/>
        <v>614890501.08999872</v>
      </c>
    </row>
    <row r="57" spans="1:12" ht="13">
      <c r="A57" s="2">
        <f>A56+1</f>
        <v>40</v>
      </c>
      <c r="B57" s="261" t="s">
        <v>1529</v>
      </c>
      <c r="C57" s="471">
        <v>0</v>
      </c>
      <c r="D57" s="471">
        <v>0</v>
      </c>
      <c r="E57" s="471">
        <v>0</v>
      </c>
      <c r="F57" s="482"/>
      <c r="G57" s="471">
        <f>SUM(H57:I57)</f>
        <v>-7137953.6202013632</v>
      </c>
      <c r="H57" s="482">
        <f>+C64*C145</f>
        <v>-7137953.6202013632</v>
      </c>
      <c r="I57" s="482">
        <v>0</v>
      </c>
      <c r="J57" s="483">
        <f>SUM(K57:L57)</f>
        <v>-7137953.6202013632</v>
      </c>
      <c r="K57" s="483">
        <f t="shared" si="11"/>
        <v>-7137953.6202013632</v>
      </c>
      <c r="L57" s="483">
        <f t="shared" si="11"/>
        <v>0</v>
      </c>
    </row>
    <row r="58" spans="1:12" ht="13">
      <c r="A58" s="2">
        <f t="shared" si="12"/>
        <v>41</v>
      </c>
      <c r="B58" s="133" t="s">
        <v>1530</v>
      </c>
      <c r="C58" s="477">
        <f>SUM(C52:C57)</f>
        <v>905314733.40999925</v>
      </c>
      <c r="D58" s="477">
        <f>SUM(D52:D57)</f>
        <v>280010401.55000061</v>
      </c>
      <c r="E58" s="477">
        <f>SUM(E52:E57)</f>
        <v>625304331.8599987</v>
      </c>
      <c r="F58" s="478"/>
      <c r="G58" s="481">
        <f t="shared" ref="G58:L58" si="13">SUM(G52:G57)</f>
        <v>-8754616.0002013631</v>
      </c>
      <c r="H58" s="477">
        <f t="shared" si="13"/>
        <v>-7265718.6102013635</v>
      </c>
      <c r="I58" s="477">
        <f t="shared" si="13"/>
        <v>-1488897.3900000001</v>
      </c>
      <c r="J58" s="477">
        <f>SUM(J52:J57)</f>
        <v>896560117.40979791</v>
      </c>
      <c r="K58" s="477">
        <f t="shared" si="13"/>
        <v>272744682.93979925</v>
      </c>
      <c r="L58" s="477">
        <f t="shared" si="13"/>
        <v>623815434.46999872</v>
      </c>
    </row>
    <row r="59" spans="1:12" ht="13">
      <c r="A59" s="2">
        <f t="shared" si="12"/>
        <v>42</v>
      </c>
      <c r="C59" s="320"/>
      <c r="D59" s="477"/>
      <c r="E59" s="477"/>
      <c r="F59" s="484"/>
      <c r="G59" s="479"/>
      <c r="H59" s="480"/>
      <c r="I59" s="480"/>
      <c r="J59" s="320"/>
      <c r="K59" s="320"/>
      <c r="L59" s="320"/>
    </row>
    <row r="60" spans="1:12" ht="13">
      <c r="A60" s="2">
        <f t="shared" si="12"/>
        <v>43</v>
      </c>
      <c r="B60" s="133" t="s">
        <v>1531</v>
      </c>
      <c r="C60" s="320">
        <f>+C43+C58</f>
        <v>1456735033.269999</v>
      </c>
      <c r="D60" s="320">
        <f>D58+D43</f>
        <v>367264657.22000057</v>
      </c>
      <c r="E60" s="320">
        <f>E58+E43</f>
        <v>1089470376.0499988</v>
      </c>
      <c r="G60" s="479">
        <f>+G43+G58</f>
        <v>-344157887.8743186</v>
      </c>
      <c r="H60" s="320">
        <f>H58+H43</f>
        <v>-9787293.5343185905</v>
      </c>
      <c r="I60" s="320">
        <f>I58+I43</f>
        <v>-334370594.34000003</v>
      </c>
      <c r="J60" s="320">
        <f>J58+K43</f>
        <v>1112577145.3956807</v>
      </c>
      <c r="K60" s="320">
        <f>K58+L43</f>
        <v>357477363.685682</v>
      </c>
      <c r="L60" s="320">
        <f>L58+M43</f>
        <v>755099781.70999873</v>
      </c>
    </row>
    <row r="61" spans="1:12" ht="13">
      <c r="A61" s="2">
        <f t="shared" si="12"/>
        <v>44</v>
      </c>
      <c r="H61" s="480"/>
      <c r="I61" s="480"/>
    </row>
    <row r="62" spans="1:12" ht="13">
      <c r="A62" s="2">
        <f t="shared" si="12"/>
        <v>45</v>
      </c>
      <c r="B62" s="261" t="s">
        <v>1532</v>
      </c>
      <c r="C62" s="590">
        <v>551420299</v>
      </c>
      <c r="D62" s="320" t="s">
        <v>1533</v>
      </c>
      <c r="E62" s="320" t="str">
        <f>"Must equal Line "&amp;A43&amp;", Column 2."</f>
        <v>Must equal Line 33, Column 2.</v>
      </c>
      <c r="G62" s="229"/>
      <c r="H62" s="230"/>
      <c r="I62" s="230"/>
      <c r="J62" s="230"/>
      <c r="K62" s="230"/>
      <c r="L62" s="230"/>
    </row>
    <row r="63" spans="1:12" ht="13">
      <c r="A63" s="2">
        <f>A62+1</f>
        <v>46</v>
      </c>
      <c r="B63" s="261" t="s">
        <v>1534</v>
      </c>
      <c r="C63" s="590">
        <v>905314734</v>
      </c>
      <c r="D63" s="320" t="s">
        <v>1535</v>
      </c>
      <c r="E63" s="320" t="str">
        <f>"Must equal Line "&amp;A58&amp;", Column 2."</f>
        <v>Must equal Line 41, Column 2.</v>
      </c>
      <c r="G63" s="479"/>
      <c r="H63" s="320"/>
      <c r="I63" s="320"/>
      <c r="J63" s="320"/>
      <c r="K63" s="320"/>
      <c r="L63" s="320"/>
    </row>
    <row r="64" spans="1:12" ht="13">
      <c r="A64" s="2">
        <f>A63+1</f>
        <v>47</v>
      </c>
      <c r="B64" s="261" t="s">
        <v>1536</v>
      </c>
      <c r="C64" s="485">
        <f>'20-AandG'!E63</f>
        <v>-9362216.8143185899</v>
      </c>
      <c r="D64" s="320" t="str">
        <f>"20-AandG, Note 2, "&amp;'20-AandG'!B63&amp;""</f>
        <v>20-AandG, Note 2, f</v>
      </c>
      <c r="E64" s="320"/>
      <c r="F64" s="2"/>
      <c r="G64" s="479"/>
      <c r="H64" s="320"/>
      <c r="I64" s="320"/>
      <c r="J64" s="320"/>
      <c r="K64" s="320"/>
      <c r="L64" s="320"/>
    </row>
    <row r="65" spans="1:12" ht="13">
      <c r="A65" s="231"/>
      <c r="C65" s="231"/>
      <c r="D65" s="320"/>
      <c r="E65" s="320"/>
      <c r="G65" s="479"/>
      <c r="H65" s="320"/>
      <c r="I65" s="320"/>
      <c r="J65" s="320"/>
      <c r="K65" s="320"/>
      <c r="L65" s="320"/>
    </row>
    <row r="66" spans="1:12" ht="13">
      <c r="B66" s="15" t="s">
        <v>1537</v>
      </c>
      <c r="H66" s="259"/>
      <c r="I66" s="259"/>
    </row>
    <row r="67" spans="1:12">
      <c r="H67" s="259"/>
      <c r="I67" s="259"/>
    </row>
    <row r="68" spans="1:12" ht="13">
      <c r="B68" s="48" t="s">
        <v>336</v>
      </c>
      <c r="C68" s="226" t="s">
        <v>337</v>
      </c>
      <c r="D68" s="226" t="s">
        <v>338</v>
      </c>
      <c r="E68" s="226" t="s">
        <v>339</v>
      </c>
      <c r="F68" s="226" t="s">
        <v>340</v>
      </c>
      <c r="G68" s="226" t="s">
        <v>341</v>
      </c>
      <c r="H68" s="226" t="s">
        <v>342</v>
      </c>
      <c r="I68" s="226" t="s">
        <v>343</v>
      </c>
      <c r="J68" s="226" t="s">
        <v>344</v>
      </c>
      <c r="K68" s="48"/>
      <c r="L68" s="48"/>
    </row>
    <row r="69" spans="1:12">
      <c r="C69" s="259" t="s">
        <v>1538</v>
      </c>
      <c r="D69" s="259" t="s">
        <v>1539</v>
      </c>
      <c r="E69" s="259" t="s">
        <v>1540</v>
      </c>
      <c r="F69" s="465" t="s">
        <v>126</v>
      </c>
      <c r="G69" s="666" t="s">
        <v>1471</v>
      </c>
      <c r="H69" s="666" t="s">
        <v>1541</v>
      </c>
      <c r="I69" s="666" t="s">
        <v>1542</v>
      </c>
    </row>
    <row r="70" spans="1:12">
      <c r="H70" s="259"/>
      <c r="I70" s="259"/>
    </row>
    <row r="71" spans="1:12" ht="13">
      <c r="A71" s="133"/>
      <c r="B71" s="1121" t="s">
        <v>1476</v>
      </c>
      <c r="C71" s="1118" t="s">
        <v>1479</v>
      </c>
      <c r="D71" s="1119"/>
      <c r="E71" s="1120"/>
      <c r="F71" s="232" t="s">
        <v>1543</v>
      </c>
      <c r="G71" s="1118" t="s">
        <v>1544</v>
      </c>
      <c r="H71" s="1119"/>
      <c r="I71" s="1120"/>
      <c r="J71" s="513" t="s">
        <v>1545</v>
      </c>
    </row>
    <row r="72" spans="1:12" ht="13">
      <c r="B72" s="1121"/>
      <c r="C72" s="228" t="s">
        <v>249</v>
      </c>
      <c r="D72" s="228" t="s">
        <v>805</v>
      </c>
      <c r="E72" s="228" t="s">
        <v>1480</v>
      </c>
      <c r="F72" s="232" t="s">
        <v>1546</v>
      </c>
      <c r="G72" s="228" t="s">
        <v>249</v>
      </c>
      <c r="H72" s="228" t="s">
        <v>805</v>
      </c>
      <c r="I72" s="228" t="s">
        <v>1480</v>
      </c>
      <c r="J72" s="228" t="s">
        <v>251</v>
      </c>
    </row>
    <row r="73" spans="1:12" ht="13">
      <c r="A73" s="30" t="s">
        <v>273</v>
      </c>
      <c r="B73" s="154" t="s">
        <v>1483</v>
      </c>
      <c r="C73" s="19"/>
      <c r="D73" s="19"/>
      <c r="E73" s="19"/>
      <c r="F73" s="233"/>
      <c r="G73" s="19"/>
      <c r="H73" s="19"/>
      <c r="I73" s="19"/>
    </row>
    <row r="74" spans="1:12" ht="13">
      <c r="A74" s="2">
        <f>A64+1</f>
        <v>48</v>
      </c>
      <c r="B74" s="261" t="s">
        <v>1484</v>
      </c>
      <c r="C74" s="320">
        <f t="shared" ref="C74:C103" si="14">K11</f>
        <v>5592036.509999997</v>
      </c>
      <c r="D74" s="320">
        <f t="shared" ref="D74:D103" si="15">L11</f>
        <v>1704296.25</v>
      </c>
      <c r="E74" s="320">
        <f t="shared" ref="E74:E103" si="16">M11</f>
        <v>3887740.259999997</v>
      </c>
      <c r="F74" s="491">
        <f>'27-Allocators'!$D$48</f>
        <v>0.39150090415913202</v>
      </c>
      <c r="G74" s="486">
        <f>SUM(H74:I74)</f>
        <v>2189287.3497558758</v>
      </c>
      <c r="H74" s="486">
        <f>D74*F74</f>
        <v>667233.52283001808</v>
      </c>
      <c r="I74" s="486">
        <f>E74*F74</f>
        <v>1522053.8269258579</v>
      </c>
      <c r="J74" s="323" t="s">
        <v>1547</v>
      </c>
    </row>
    <row r="75" spans="1:12" ht="13">
      <c r="A75" s="2">
        <f t="shared" ref="A75:A107" si="17">A74+1</f>
        <v>49</v>
      </c>
      <c r="B75" s="261" t="s">
        <v>1485</v>
      </c>
      <c r="C75" s="320">
        <f t="shared" si="14"/>
        <v>327014.34999999998</v>
      </c>
      <c r="D75" s="320">
        <f t="shared" si="15"/>
        <v>0</v>
      </c>
      <c r="E75" s="320">
        <f t="shared" si="16"/>
        <v>327014.34999999998</v>
      </c>
      <c r="F75" s="491">
        <v>1</v>
      </c>
      <c r="G75" s="486">
        <f t="shared" ref="G75:G103" si="18">SUM(H75:I75)</f>
        <v>327014.34999999998</v>
      </c>
      <c r="H75" s="486">
        <f t="shared" ref="H75:H103" si="19">D75*F75</f>
        <v>0</v>
      </c>
      <c r="I75" s="486">
        <f t="shared" ref="I75:I103" si="20">E75*F75</f>
        <v>327014.34999999998</v>
      </c>
      <c r="J75" s="657" t="s">
        <v>1548</v>
      </c>
    </row>
    <row r="76" spans="1:12" ht="13">
      <c r="A76" s="2">
        <f t="shared" si="17"/>
        <v>50</v>
      </c>
      <c r="B76" s="261" t="s">
        <v>1486</v>
      </c>
      <c r="C76" s="320">
        <f t="shared" si="14"/>
        <v>11204661.449999999</v>
      </c>
      <c r="D76" s="320">
        <f t="shared" si="15"/>
        <v>8783127.2899999991</v>
      </c>
      <c r="E76" s="320">
        <f t="shared" si="16"/>
        <v>2421534.16</v>
      </c>
      <c r="F76" s="491">
        <f>'27-Allocators'!$D$48</f>
        <v>0.39150090415913202</v>
      </c>
      <c r="G76" s="486">
        <f t="shared" si="18"/>
        <v>4386635.0884719715</v>
      </c>
      <c r="H76" s="486">
        <f t="shared" si="19"/>
        <v>3438602.2753797467</v>
      </c>
      <c r="I76" s="486">
        <f t="shared" si="20"/>
        <v>948032.8130922243</v>
      </c>
      <c r="J76" s="323" t="s">
        <v>1547</v>
      </c>
    </row>
    <row r="77" spans="1:12" ht="13">
      <c r="A77" s="2">
        <f t="shared" si="17"/>
        <v>51</v>
      </c>
      <c r="B77" s="261" t="s">
        <v>1487</v>
      </c>
      <c r="C77" s="320">
        <f t="shared" si="14"/>
        <v>3.7252902984619141E-9</v>
      </c>
      <c r="D77" s="320">
        <f t="shared" si="15"/>
        <v>0</v>
      </c>
      <c r="E77" s="320">
        <f t="shared" si="16"/>
        <v>3.7252902984619141E-9</v>
      </c>
      <c r="F77" s="491">
        <v>0</v>
      </c>
      <c r="G77" s="486">
        <f t="shared" si="18"/>
        <v>0</v>
      </c>
      <c r="H77" s="486">
        <f t="shared" si="19"/>
        <v>0</v>
      </c>
      <c r="I77" s="486">
        <f t="shared" si="20"/>
        <v>0</v>
      </c>
      <c r="J77" s="657" t="s">
        <v>1549</v>
      </c>
    </row>
    <row r="78" spans="1:12" ht="13">
      <c r="A78" s="2">
        <f t="shared" si="17"/>
        <v>52</v>
      </c>
      <c r="B78" s="261" t="s">
        <v>1489</v>
      </c>
      <c r="C78" s="320">
        <f t="shared" si="14"/>
        <v>4387896.2600000007</v>
      </c>
      <c r="D78" s="320">
        <f t="shared" si="15"/>
        <v>3850591.4300000011</v>
      </c>
      <c r="E78" s="320">
        <f t="shared" si="16"/>
        <v>537304.82999999973</v>
      </c>
      <c r="F78" s="491">
        <v>1</v>
      </c>
      <c r="G78" s="486">
        <f t="shared" si="18"/>
        <v>4387896.2600000007</v>
      </c>
      <c r="H78" s="486">
        <f t="shared" si="19"/>
        <v>3850591.4300000011</v>
      </c>
      <c r="I78" s="486">
        <f t="shared" si="20"/>
        <v>537304.82999999973</v>
      </c>
      <c r="J78" s="657" t="s">
        <v>1548</v>
      </c>
    </row>
    <row r="79" spans="1:12" ht="13">
      <c r="A79" s="2">
        <f t="shared" si="17"/>
        <v>53</v>
      </c>
      <c r="B79" s="261" t="s">
        <v>1490</v>
      </c>
      <c r="C79" s="320">
        <f t="shared" si="14"/>
        <v>21913564.879999995</v>
      </c>
      <c r="D79" s="320">
        <f t="shared" si="15"/>
        <v>17709529.429999996</v>
      </c>
      <c r="E79" s="320">
        <f t="shared" si="16"/>
        <v>4204035.4499999983</v>
      </c>
      <c r="F79" s="491">
        <f>'27-Allocators'!$D$48</f>
        <v>0.39150090415913202</v>
      </c>
      <c r="G79" s="486">
        <f t="shared" si="18"/>
        <v>8579180.4638697989</v>
      </c>
      <c r="H79" s="486">
        <f t="shared" si="19"/>
        <v>6933296.7840777561</v>
      </c>
      <c r="I79" s="486">
        <f t="shared" si="20"/>
        <v>1645883.6797920428</v>
      </c>
      <c r="J79" s="323" t="s">
        <v>1547</v>
      </c>
    </row>
    <row r="80" spans="1:12" ht="13">
      <c r="A80" s="2">
        <f t="shared" si="17"/>
        <v>54</v>
      </c>
      <c r="B80" s="261" t="s">
        <v>1491</v>
      </c>
      <c r="C80" s="320">
        <f t="shared" si="14"/>
        <v>0</v>
      </c>
      <c r="D80" s="320">
        <f t="shared" si="15"/>
        <v>0</v>
      </c>
      <c r="E80" s="320">
        <f t="shared" si="16"/>
        <v>0</v>
      </c>
      <c r="F80" s="491">
        <v>0</v>
      </c>
      <c r="G80" s="486">
        <f t="shared" si="18"/>
        <v>0</v>
      </c>
      <c r="H80" s="486">
        <f t="shared" si="19"/>
        <v>0</v>
      </c>
      <c r="I80" s="486">
        <f t="shared" si="20"/>
        <v>0</v>
      </c>
      <c r="J80" s="657" t="s">
        <v>1549</v>
      </c>
    </row>
    <row r="81" spans="1:11" ht="13">
      <c r="A81" s="2">
        <f t="shared" si="17"/>
        <v>55</v>
      </c>
      <c r="B81" s="261" t="s">
        <v>1493</v>
      </c>
      <c r="C81" s="320">
        <f t="shared" si="14"/>
        <v>897733.07000000007</v>
      </c>
      <c r="D81" s="320">
        <f t="shared" si="15"/>
        <v>0</v>
      </c>
      <c r="E81" s="320">
        <f t="shared" si="16"/>
        <v>897733.07000000007</v>
      </c>
      <c r="F81" s="491">
        <v>1</v>
      </c>
      <c r="G81" s="486">
        <f t="shared" si="18"/>
        <v>897733.07000000007</v>
      </c>
      <c r="H81" s="486">
        <f t="shared" si="19"/>
        <v>0</v>
      </c>
      <c r="I81" s="486">
        <f t="shared" si="20"/>
        <v>897733.07000000007</v>
      </c>
      <c r="J81" s="657" t="s">
        <v>1548</v>
      </c>
      <c r="K81" s="320"/>
    </row>
    <row r="82" spans="1:11" ht="13">
      <c r="A82" s="2">
        <f t="shared" si="17"/>
        <v>56</v>
      </c>
      <c r="B82" s="261" t="s">
        <v>1494</v>
      </c>
      <c r="C82" s="320">
        <f t="shared" si="14"/>
        <v>28018134.260000002</v>
      </c>
      <c r="D82" s="320">
        <f t="shared" si="15"/>
        <v>9283875.8000000007</v>
      </c>
      <c r="E82" s="320">
        <f t="shared" si="16"/>
        <v>18734258.460000001</v>
      </c>
      <c r="F82" s="491">
        <f>'27-Allocators'!$D$36</f>
        <v>0.48527192615206538</v>
      </c>
      <c r="G82" s="486">
        <f t="shared" si="18"/>
        <v>13596413.979537373</v>
      </c>
      <c r="H82" s="486">
        <f t="shared" si="19"/>
        <v>4505204.2916225474</v>
      </c>
      <c r="I82" s="486">
        <f t="shared" si="20"/>
        <v>9091209.687914826</v>
      </c>
      <c r="J82" s="323" t="s">
        <v>1550</v>
      </c>
    </row>
    <row r="83" spans="1:11" ht="12.75" customHeight="1">
      <c r="A83" s="2">
        <f t="shared" si="17"/>
        <v>57</v>
      </c>
      <c r="B83" s="261" t="s">
        <v>1495</v>
      </c>
      <c r="C83" s="320">
        <f t="shared" si="14"/>
        <v>2464409.13</v>
      </c>
      <c r="D83" s="320">
        <f t="shared" si="15"/>
        <v>2034244.9299999997</v>
      </c>
      <c r="E83" s="320">
        <f t="shared" si="16"/>
        <v>430164.2</v>
      </c>
      <c r="F83" s="491">
        <f>'27-Allocators'!$D$42</f>
        <v>2.0251381649915513E-2</v>
      </c>
      <c r="G83" s="487">
        <f t="shared" si="18"/>
        <v>49907.689833166245</v>
      </c>
      <c r="H83" s="487">
        <f t="shared" si="19"/>
        <v>41196.270446835661</v>
      </c>
      <c r="I83" s="487">
        <f t="shared" si="20"/>
        <v>8711.4193863305863</v>
      </c>
      <c r="J83" s="323" t="s">
        <v>1551</v>
      </c>
      <c r="K83" s="320"/>
    </row>
    <row r="84" spans="1:11" ht="13">
      <c r="A84" s="2">
        <f t="shared" si="17"/>
        <v>58</v>
      </c>
      <c r="B84" s="261" t="s">
        <v>1496</v>
      </c>
      <c r="C84" s="320">
        <f t="shared" si="14"/>
        <v>0</v>
      </c>
      <c r="D84" s="320">
        <f t="shared" si="15"/>
        <v>0</v>
      </c>
      <c r="E84" s="320">
        <f t="shared" si="16"/>
        <v>0</v>
      </c>
      <c r="F84" s="491">
        <v>1</v>
      </c>
      <c r="G84" s="486">
        <f t="shared" si="18"/>
        <v>0</v>
      </c>
      <c r="H84" s="486">
        <f t="shared" si="19"/>
        <v>0</v>
      </c>
      <c r="I84" s="486">
        <f t="shared" si="20"/>
        <v>0</v>
      </c>
      <c r="J84" s="657" t="s">
        <v>1548</v>
      </c>
    </row>
    <row r="85" spans="1:11" ht="13">
      <c r="A85" s="2">
        <f t="shared" si="17"/>
        <v>59</v>
      </c>
      <c r="B85" s="261" t="s">
        <v>1497</v>
      </c>
      <c r="C85" s="320">
        <f t="shared" si="14"/>
        <v>0</v>
      </c>
      <c r="D85" s="320">
        <f t="shared" si="15"/>
        <v>0</v>
      </c>
      <c r="E85" s="320">
        <f t="shared" si="16"/>
        <v>0</v>
      </c>
      <c r="F85" s="491">
        <v>0</v>
      </c>
      <c r="G85" s="486">
        <f t="shared" si="18"/>
        <v>0</v>
      </c>
      <c r="H85" s="486">
        <f t="shared" si="19"/>
        <v>0</v>
      </c>
      <c r="I85" s="486">
        <f t="shared" si="20"/>
        <v>0</v>
      </c>
      <c r="J85" s="657" t="s">
        <v>1549</v>
      </c>
    </row>
    <row r="86" spans="1:11" ht="13">
      <c r="A86" s="2">
        <f t="shared" si="17"/>
        <v>60</v>
      </c>
      <c r="B86" s="261" t="s">
        <v>1499</v>
      </c>
      <c r="C86" s="320">
        <f t="shared" si="14"/>
        <v>328194.69</v>
      </c>
      <c r="D86" s="320">
        <f t="shared" si="15"/>
        <v>0</v>
      </c>
      <c r="E86" s="320">
        <f t="shared" si="16"/>
        <v>328194.69</v>
      </c>
      <c r="F86" s="491">
        <v>0</v>
      </c>
      <c r="G86" s="486">
        <f t="shared" si="18"/>
        <v>0</v>
      </c>
      <c r="H86" s="486">
        <f t="shared" si="19"/>
        <v>0</v>
      </c>
      <c r="I86" s="486">
        <f t="shared" si="20"/>
        <v>0</v>
      </c>
      <c r="J86" s="657" t="s">
        <v>1549</v>
      </c>
    </row>
    <row r="87" spans="1:11" ht="13">
      <c r="A87" s="2">
        <f t="shared" si="17"/>
        <v>61</v>
      </c>
      <c r="B87" s="261" t="s">
        <v>1500</v>
      </c>
      <c r="C87" s="320">
        <f t="shared" si="14"/>
        <v>39514738.449999958</v>
      </c>
      <c r="D87" s="320">
        <f t="shared" si="15"/>
        <v>25237813.499999989</v>
      </c>
      <c r="E87" s="320">
        <f t="shared" si="16"/>
        <v>14276924.949999973</v>
      </c>
      <c r="F87" s="491">
        <f>'27-Allocators'!$D$48</f>
        <v>0.39150090415913202</v>
      </c>
      <c r="G87" s="486">
        <f t="shared" si="18"/>
        <v>15470055.830786604</v>
      </c>
      <c r="H87" s="486">
        <f t="shared" si="19"/>
        <v>9880626.8042495437</v>
      </c>
      <c r="I87" s="486">
        <f t="shared" si="20"/>
        <v>5589429.0265370598</v>
      </c>
      <c r="J87" s="323" t="s">
        <v>1547</v>
      </c>
      <c r="K87" s="320"/>
    </row>
    <row r="88" spans="1:11" ht="13">
      <c r="A88" s="2">
        <f t="shared" si="17"/>
        <v>62</v>
      </c>
      <c r="B88" s="261" t="s">
        <v>1502</v>
      </c>
      <c r="C88" s="320">
        <f t="shared" si="14"/>
        <v>5940.4500000107291</v>
      </c>
      <c r="D88" s="320">
        <f t="shared" si="15"/>
        <v>1.93</v>
      </c>
      <c r="E88" s="320">
        <f t="shared" si="16"/>
        <v>5938.5200000107288</v>
      </c>
      <c r="F88" s="491">
        <v>0</v>
      </c>
      <c r="G88" s="486">
        <f t="shared" si="18"/>
        <v>0</v>
      </c>
      <c r="H88" s="486">
        <f t="shared" si="19"/>
        <v>0</v>
      </c>
      <c r="I88" s="486">
        <f t="shared" si="20"/>
        <v>0</v>
      </c>
      <c r="J88" s="657" t="s">
        <v>1549</v>
      </c>
    </row>
    <row r="89" spans="1:11" ht="13">
      <c r="A89" s="2">
        <f t="shared" si="17"/>
        <v>63</v>
      </c>
      <c r="B89" s="261" t="s">
        <v>1504</v>
      </c>
      <c r="C89" s="320">
        <f t="shared" si="14"/>
        <v>-277792.21999999986</v>
      </c>
      <c r="D89" s="320">
        <f t="shared" si="15"/>
        <v>1357.1</v>
      </c>
      <c r="E89" s="320">
        <f t="shared" si="16"/>
        <v>-279149.31999999983</v>
      </c>
      <c r="F89" s="491">
        <v>1</v>
      </c>
      <c r="G89" s="486">
        <f t="shared" si="18"/>
        <v>-277792.21999999986</v>
      </c>
      <c r="H89" s="486">
        <f t="shared" si="19"/>
        <v>1357.1</v>
      </c>
      <c r="I89" s="486">
        <f t="shared" si="20"/>
        <v>-279149.31999999983</v>
      </c>
      <c r="J89" s="657" t="s">
        <v>1548</v>
      </c>
    </row>
    <row r="90" spans="1:11" ht="13">
      <c r="A90" s="2">
        <f t="shared" si="17"/>
        <v>64</v>
      </c>
      <c r="B90" s="261" t="s">
        <v>1505</v>
      </c>
      <c r="C90" s="320">
        <f t="shared" si="14"/>
        <v>18078216.079999998</v>
      </c>
      <c r="D90" s="320">
        <f t="shared" si="15"/>
        <v>56956.160000000018</v>
      </c>
      <c r="E90" s="320">
        <f t="shared" si="16"/>
        <v>18021259.919999998</v>
      </c>
      <c r="F90" s="491">
        <f>'27-Allocators'!$D$36</f>
        <v>0.48527192615206538</v>
      </c>
      <c r="G90" s="486">
        <f t="shared" si="18"/>
        <v>8772850.7385348398</v>
      </c>
      <c r="H90" s="486">
        <f t="shared" si="19"/>
        <v>27639.22546942523</v>
      </c>
      <c r="I90" s="486">
        <f t="shared" si="20"/>
        <v>8745211.5130654145</v>
      </c>
      <c r="J90" s="323" t="s">
        <v>1550</v>
      </c>
      <c r="K90" s="320"/>
    </row>
    <row r="91" spans="1:11" ht="13">
      <c r="A91" s="2">
        <f t="shared" si="17"/>
        <v>65</v>
      </c>
      <c r="B91" s="261" t="s">
        <v>1506</v>
      </c>
      <c r="C91" s="320">
        <f t="shared" si="14"/>
        <v>90937.450000000012</v>
      </c>
      <c r="D91" s="320">
        <f t="shared" si="15"/>
        <v>0</v>
      </c>
      <c r="E91" s="320">
        <f t="shared" si="16"/>
        <v>90937.450000000012</v>
      </c>
      <c r="F91" s="491">
        <v>1</v>
      </c>
      <c r="G91" s="486">
        <f t="shared" si="18"/>
        <v>90937.450000000012</v>
      </c>
      <c r="H91" s="486">
        <f t="shared" si="19"/>
        <v>0</v>
      </c>
      <c r="I91" s="486">
        <f t="shared" si="20"/>
        <v>90937.450000000012</v>
      </c>
      <c r="J91" s="657" t="s">
        <v>1548</v>
      </c>
    </row>
    <row r="92" spans="1:11" ht="13">
      <c r="A92" s="2">
        <f t="shared" si="17"/>
        <v>66</v>
      </c>
      <c r="B92" s="261" t="s">
        <v>1507</v>
      </c>
      <c r="C92" s="320">
        <f t="shared" si="14"/>
        <v>272401.53000000003</v>
      </c>
      <c r="D92" s="320">
        <f t="shared" si="15"/>
        <v>0</v>
      </c>
      <c r="E92" s="320">
        <f t="shared" si="16"/>
        <v>272401.53000000003</v>
      </c>
      <c r="F92" s="491">
        <v>1</v>
      </c>
      <c r="G92" s="486">
        <f t="shared" ref="G92" si="21">SUM(H92:I92)</f>
        <v>272401.53000000003</v>
      </c>
      <c r="H92" s="486">
        <f t="shared" ref="H92" si="22">D92*F92</f>
        <v>0</v>
      </c>
      <c r="I92" s="486">
        <f t="shared" ref="I92" si="23">E92*F92</f>
        <v>272401.53000000003</v>
      </c>
      <c r="J92" s="657" t="s">
        <v>1548</v>
      </c>
    </row>
    <row r="93" spans="1:11" ht="13">
      <c r="A93" s="2">
        <f t="shared" si="17"/>
        <v>67</v>
      </c>
      <c r="B93" s="261" t="s">
        <v>1508</v>
      </c>
      <c r="C93" s="320">
        <f t="shared" si="14"/>
        <v>1458163.1499999997</v>
      </c>
      <c r="D93" s="320">
        <f t="shared" si="15"/>
        <v>1254264.2799999996</v>
      </c>
      <c r="E93" s="320">
        <f t="shared" si="16"/>
        <v>203898.87000000008</v>
      </c>
      <c r="F93" s="491">
        <f>'27-Allocators'!$D$48</f>
        <v>0.39150090415913202</v>
      </c>
      <c r="G93" s="486">
        <f t="shared" si="18"/>
        <v>570872.19163652789</v>
      </c>
      <c r="H93" s="486">
        <f t="shared" si="19"/>
        <v>491045.59967450256</v>
      </c>
      <c r="I93" s="486">
        <f t="shared" si="20"/>
        <v>79826.591962025355</v>
      </c>
      <c r="J93" s="323" t="s">
        <v>1547</v>
      </c>
    </row>
    <row r="94" spans="1:11" ht="13">
      <c r="A94" s="2">
        <f t="shared" si="17"/>
        <v>68</v>
      </c>
      <c r="B94" s="261" t="s">
        <v>1509</v>
      </c>
      <c r="C94" s="320">
        <f t="shared" si="14"/>
        <v>385256.73</v>
      </c>
      <c r="D94" s="320">
        <f t="shared" si="15"/>
        <v>0</v>
      </c>
      <c r="E94" s="320">
        <f t="shared" si="16"/>
        <v>385256.73</v>
      </c>
      <c r="F94" s="491">
        <v>1</v>
      </c>
      <c r="G94" s="486">
        <f t="shared" si="18"/>
        <v>385256.73</v>
      </c>
      <c r="H94" s="486">
        <f t="shared" si="19"/>
        <v>0</v>
      </c>
      <c r="I94" s="486">
        <f t="shared" si="20"/>
        <v>385256.73</v>
      </c>
      <c r="J94" s="657" t="s">
        <v>1548</v>
      </c>
      <c r="K94" s="320"/>
    </row>
    <row r="95" spans="1:11" ht="13">
      <c r="A95" s="2">
        <f t="shared" si="17"/>
        <v>69</v>
      </c>
      <c r="B95" s="261" t="s">
        <v>1510</v>
      </c>
      <c r="C95" s="320">
        <f t="shared" si="14"/>
        <v>2260987.1600000011</v>
      </c>
      <c r="D95" s="320">
        <f t="shared" si="15"/>
        <v>5125.880000000001</v>
      </c>
      <c r="E95" s="320">
        <f t="shared" si="16"/>
        <v>2255861.2800000012</v>
      </c>
      <c r="F95" s="491">
        <f>'27-Allocators'!$D$48</f>
        <v>0.39150090415913202</v>
      </c>
      <c r="G95" s="486">
        <f t="shared" si="18"/>
        <v>885178.51743218862</v>
      </c>
      <c r="H95" s="486">
        <f t="shared" si="19"/>
        <v>2006.786654611212</v>
      </c>
      <c r="I95" s="486">
        <f t="shared" si="20"/>
        <v>883171.73077757738</v>
      </c>
      <c r="J95" s="323" t="s">
        <v>1547</v>
      </c>
    </row>
    <row r="96" spans="1:11" ht="13">
      <c r="A96" s="2">
        <f t="shared" si="17"/>
        <v>70</v>
      </c>
      <c r="B96" s="261" t="s">
        <v>1512</v>
      </c>
      <c r="C96" s="320">
        <f t="shared" si="14"/>
        <v>381983.22</v>
      </c>
      <c r="D96" s="320">
        <f t="shared" si="15"/>
        <v>0</v>
      </c>
      <c r="E96" s="320">
        <f t="shared" si="16"/>
        <v>381983.22</v>
      </c>
      <c r="F96" s="491">
        <v>1</v>
      </c>
      <c r="G96" s="486">
        <f t="shared" si="18"/>
        <v>381983.22</v>
      </c>
      <c r="H96" s="486">
        <f t="shared" si="19"/>
        <v>0</v>
      </c>
      <c r="I96" s="486">
        <f t="shared" si="20"/>
        <v>381983.22</v>
      </c>
      <c r="J96" s="657" t="s">
        <v>1548</v>
      </c>
    </row>
    <row r="97" spans="1:11" ht="13">
      <c r="A97" s="2">
        <f t="shared" si="17"/>
        <v>71</v>
      </c>
      <c r="B97" s="261" t="s">
        <v>1513</v>
      </c>
      <c r="C97" s="320">
        <f t="shared" si="14"/>
        <v>7733142.4699999988</v>
      </c>
      <c r="D97" s="320">
        <f t="shared" si="15"/>
        <v>3743306.7</v>
      </c>
      <c r="E97" s="320">
        <f t="shared" si="16"/>
        <v>3989835.7699999986</v>
      </c>
      <c r="F97" s="491">
        <f>'27-Allocators'!$D$48</f>
        <v>0.39150090415913202</v>
      </c>
      <c r="G97" s="486">
        <f t="shared" si="18"/>
        <v>3027532.2689963831</v>
      </c>
      <c r="H97" s="486">
        <f t="shared" si="19"/>
        <v>1465507.9575949369</v>
      </c>
      <c r="I97" s="486">
        <f t="shared" si="20"/>
        <v>1562024.3114014461</v>
      </c>
      <c r="J97" s="323" t="s">
        <v>1547</v>
      </c>
    </row>
    <row r="98" spans="1:11" ht="13">
      <c r="A98" s="2">
        <f t="shared" si="17"/>
        <v>72</v>
      </c>
      <c r="B98" s="261" t="s">
        <v>1514</v>
      </c>
      <c r="C98" s="320">
        <f t="shared" si="14"/>
        <v>1857443.9600000002</v>
      </c>
      <c r="D98" s="320">
        <f t="shared" si="15"/>
        <v>0</v>
      </c>
      <c r="E98" s="320">
        <f t="shared" si="16"/>
        <v>1857443.9600000002</v>
      </c>
      <c r="F98" s="491">
        <v>1</v>
      </c>
      <c r="G98" s="486">
        <f t="shared" si="18"/>
        <v>1857443.9600000002</v>
      </c>
      <c r="H98" s="486">
        <f t="shared" si="19"/>
        <v>0</v>
      </c>
      <c r="I98" s="486">
        <f t="shared" si="20"/>
        <v>1857443.9600000002</v>
      </c>
      <c r="J98" s="657" t="s">
        <v>1548</v>
      </c>
    </row>
    <row r="99" spans="1:11" ht="13">
      <c r="A99" s="2">
        <f t="shared" si="17"/>
        <v>73</v>
      </c>
      <c r="B99" s="261" t="s">
        <v>1515</v>
      </c>
      <c r="C99" s="320">
        <f t="shared" si="14"/>
        <v>69151434.650000036</v>
      </c>
      <c r="D99" s="320">
        <f t="shared" si="15"/>
        <v>12193526.199999996</v>
      </c>
      <c r="E99" s="320">
        <f t="shared" si="16"/>
        <v>56957908.45000004</v>
      </c>
      <c r="F99" s="491">
        <f>'27-Allocators'!$D$36</f>
        <v>0.48527192615206538</v>
      </c>
      <c r="G99" s="486">
        <f t="shared" si="18"/>
        <v>33557249.888784193</v>
      </c>
      <c r="H99" s="486">
        <f t="shared" si="19"/>
        <v>5917175.9456596719</v>
      </c>
      <c r="I99" s="486">
        <f t="shared" si="20"/>
        <v>27640073.943124522</v>
      </c>
      <c r="J99" s="323" t="s">
        <v>1550</v>
      </c>
    </row>
    <row r="100" spans="1:11" ht="13">
      <c r="A100" s="2">
        <f t="shared" si="17"/>
        <v>74</v>
      </c>
      <c r="B100" s="261" t="s">
        <v>1516</v>
      </c>
      <c r="C100" s="320">
        <f t="shared" si="14"/>
        <v>555768.00999999989</v>
      </c>
      <c r="D100" s="320">
        <f t="shared" si="15"/>
        <v>0</v>
      </c>
      <c r="E100" s="320">
        <f t="shared" si="16"/>
        <v>555768.00999999989</v>
      </c>
      <c r="F100" s="491">
        <v>1</v>
      </c>
      <c r="G100" s="486">
        <f t="shared" si="18"/>
        <v>555768.00999999989</v>
      </c>
      <c r="H100" s="486">
        <f t="shared" si="19"/>
        <v>0</v>
      </c>
      <c r="I100" s="486">
        <f t="shared" si="20"/>
        <v>555768.00999999989</v>
      </c>
      <c r="J100" s="657" t="s">
        <v>1548</v>
      </c>
    </row>
    <row r="101" spans="1:11" ht="13">
      <c r="A101" s="2">
        <f t="shared" si="17"/>
        <v>75</v>
      </c>
      <c r="B101" s="261" t="s">
        <v>1517</v>
      </c>
      <c r="C101" s="320">
        <f t="shared" si="14"/>
        <v>374848.77</v>
      </c>
      <c r="D101" s="320">
        <f t="shared" si="15"/>
        <v>165668.56999999998</v>
      </c>
      <c r="E101" s="320">
        <f t="shared" si="16"/>
        <v>209180.2</v>
      </c>
      <c r="F101" s="491">
        <f>'27-Allocators'!$D$42</f>
        <v>2.0251381649915513E-2</v>
      </c>
      <c r="G101" s="486">
        <f t="shared" si="18"/>
        <v>7591.2055022714003</v>
      </c>
      <c r="H101" s="486">
        <f t="shared" si="19"/>
        <v>3355.017438465743</v>
      </c>
      <c r="I101" s="486">
        <f t="shared" si="20"/>
        <v>4236.1880638056573</v>
      </c>
      <c r="J101" s="323" t="s">
        <v>1551</v>
      </c>
    </row>
    <row r="102" spans="1:11" ht="13">
      <c r="A102" s="2">
        <f t="shared" si="17"/>
        <v>76</v>
      </c>
      <c r="B102" s="261" t="s">
        <v>1518</v>
      </c>
      <c r="C102" s="320">
        <f t="shared" si="14"/>
        <v>5003.33</v>
      </c>
      <c r="D102" s="320">
        <f t="shared" si="15"/>
        <v>0</v>
      </c>
      <c r="E102" s="320">
        <f t="shared" si="16"/>
        <v>5003.33</v>
      </c>
      <c r="F102" s="491">
        <v>1</v>
      </c>
      <c r="G102" s="486">
        <f t="shared" si="18"/>
        <v>5003.33</v>
      </c>
      <c r="H102" s="486">
        <f t="shared" si="19"/>
        <v>0</v>
      </c>
      <c r="I102" s="486">
        <f t="shared" si="20"/>
        <v>5003.33</v>
      </c>
      <c r="J102" s="657" t="s">
        <v>1548</v>
      </c>
    </row>
    <row r="103" spans="1:11" ht="13">
      <c r="A103" s="2">
        <f t="shared" si="17"/>
        <v>77</v>
      </c>
      <c r="B103" s="261" t="s">
        <v>1519</v>
      </c>
      <c r="C103" s="320">
        <f t="shared" si="14"/>
        <v>1259173.3900000001</v>
      </c>
      <c r="D103" s="320">
        <f t="shared" si="15"/>
        <v>933258.49000000011</v>
      </c>
      <c r="E103" s="320">
        <f t="shared" si="16"/>
        <v>325914.90000000002</v>
      </c>
      <c r="F103" s="491">
        <f>'27-Allocators'!$D$48</f>
        <v>0.39150090415913202</v>
      </c>
      <c r="G103" s="486">
        <f t="shared" si="18"/>
        <v>492967.52067811944</v>
      </c>
      <c r="H103" s="486">
        <f t="shared" si="19"/>
        <v>365371.54264918633</v>
      </c>
      <c r="I103" s="486">
        <f t="shared" si="20"/>
        <v>127595.97802893311</v>
      </c>
      <c r="J103" s="323" t="s">
        <v>1547</v>
      </c>
    </row>
    <row r="104" spans="1:11" ht="13">
      <c r="A104" s="2">
        <f t="shared" si="17"/>
        <v>78</v>
      </c>
      <c r="B104" s="261" t="s">
        <v>823</v>
      </c>
      <c r="C104" s="667" t="s">
        <v>380</v>
      </c>
      <c r="D104" s="667" t="s">
        <v>380</v>
      </c>
      <c r="E104" s="667" t="s">
        <v>380</v>
      </c>
      <c r="F104" s="667" t="s">
        <v>380</v>
      </c>
      <c r="G104" s="667" t="s">
        <v>380</v>
      </c>
      <c r="H104" s="667" t="s">
        <v>380</v>
      </c>
      <c r="I104" s="667" t="s">
        <v>380</v>
      </c>
    </row>
    <row r="105" spans="1:11" ht="13">
      <c r="A105" s="2">
        <f t="shared" si="17"/>
        <v>79</v>
      </c>
      <c r="B105" s="261" t="s">
        <v>1552</v>
      </c>
      <c r="C105" s="483">
        <f>K42</f>
        <v>-2224263.1941172266</v>
      </c>
      <c r="D105" s="483">
        <f>L42</f>
        <v>-2224263.1941172266</v>
      </c>
      <c r="E105" s="483">
        <f>M42</f>
        <v>0</v>
      </c>
      <c r="F105" s="488"/>
      <c r="G105" s="489">
        <f>SUM(H105:I105)</f>
        <v>-961516.33216903231</v>
      </c>
      <c r="H105" s="489">
        <f>D105*C149</f>
        <v>-961516.33216903231</v>
      </c>
      <c r="I105" s="489">
        <v>0</v>
      </c>
    </row>
    <row r="106" spans="1:11" ht="13">
      <c r="A106" s="2">
        <f t="shared" si="17"/>
        <v>80</v>
      </c>
      <c r="B106" s="133" t="s">
        <v>1553</v>
      </c>
      <c r="C106" s="480">
        <f>SUM(C74:C105)</f>
        <v>216017027.98588279</v>
      </c>
      <c r="D106" s="480">
        <f>SUM(D74:D105)</f>
        <v>84732680.74588275</v>
      </c>
      <c r="E106" s="480">
        <f>SUM(E74:E105)</f>
        <v>131284347.24000002</v>
      </c>
      <c r="F106" s="490"/>
      <c r="G106" s="480">
        <f>SUM(G74:G105)</f>
        <v>99507852.091650277</v>
      </c>
      <c r="H106" s="480">
        <f>SUM(H74:H105)</f>
        <v>36628694.221578218</v>
      </c>
      <c r="I106" s="480">
        <f>SUM(I74:I105)</f>
        <v>62879157.870072059</v>
      </c>
      <c r="K106" s="320"/>
    </row>
    <row r="107" spans="1:11" ht="13">
      <c r="A107" s="2">
        <f t="shared" si="17"/>
        <v>81</v>
      </c>
      <c r="C107" s="320"/>
      <c r="D107" s="320"/>
      <c r="E107" s="320"/>
      <c r="F107" s="490"/>
      <c r="G107" s="491"/>
      <c r="H107" s="486"/>
      <c r="I107" s="486"/>
      <c r="J107" s="486"/>
      <c r="K107" s="320"/>
    </row>
    <row r="108" spans="1:11" ht="13">
      <c r="A108" s="2"/>
      <c r="B108" s="133"/>
      <c r="C108" s="234"/>
      <c r="D108" s="234"/>
      <c r="E108" s="234"/>
      <c r="F108" s="235"/>
      <c r="G108" s="236"/>
      <c r="H108" s="234"/>
      <c r="I108" s="234"/>
      <c r="J108" s="234"/>
    </row>
    <row r="109" spans="1:11" ht="13">
      <c r="A109" s="2"/>
      <c r="B109" s="48" t="s">
        <v>336</v>
      </c>
      <c r="C109" s="226" t="s">
        <v>337</v>
      </c>
      <c r="D109" s="226" t="s">
        <v>338</v>
      </c>
      <c r="E109" s="226" t="s">
        <v>339</v>
      </c>
      <c r="F109" s="226" t="s">
        <v>340</v>
      </c>
      <c r="G109" s="226" t="s">
        <v>341</v>
      </c>
      <c r="H109" s="226" t="s">
        <v>342</v>
      </c>
      <c r="I109" s="226" t="s">
        <v>343</v>
      </c>
      <c r="J109" s="226" t="s">
        <v>344</v>
      </c>
    </row>
    <row r="110" spans="1:11" ht="13">
      <c r="A110" s="2"/>
      <c r="C110" s="259" t="s">
        <v>1538</v>
      </c>
      <c r="D110" s="259" t="s">
        <v>1539</v>
      </c>
      <c r="E110" s="259" t="s">
        <v>1540</v>
      </c>
      <c r="F110" s="465" t="s">
        <v>126</v>
      </c>
      <c r="G110" s="666" t="s">
        <v>1471</v>
      </c>
      <c r="H110" s="666" t="s">
        <v>1541</v>
      </c>
      <c r="I110" s="666" t="s">
        <v>1542</v>
      </c>
    </row>
    <row r="111" spans="1:11" ht="13">
      <c r="A111" s="2"/>
      <c r="H111" s="259"/>
      <c r="I111" s="259"/>
    </row>
    <row r="112" spans="1:11" ht="13">
      <c r="A112" s="2"/>
      <c r="B112" s="1121" t="s">
        <v>1476</v>
      </c>
      <c r="C112" s="1118" t="s">
        <v>1479</v>
      </c>
      <c r="D112" s="1119"/>
      <c r="E112" s="1120"/>
      <c r="F112" s="232" t="s">
        <v>1543</v>
      </c>
      <c r="G112" s="1118" t="s">
        <v>1544</v>
      </c>
      <c r="H112" s="1119"/>
      <c r="I112" s="1120"/>
      <c r="J112" s="513" t="s">
        <v>1545</v>
      </c>
    </row>
    <row r="113" spans="1:10" ht="13">
      <c r="A113" s="2"/>
      <c r="B113" s="1121"/>
      <c r="C113" s="228" t="s">
        <v>249</v>
      </c>
      <c r="D113" s="228" t="s">
        <v>805</v>
      </c>
      <c r="E113" s="228" t="s">
        <v>1480</v>
      </c>
      <c r="F113" s="232" t="s">
        <v>1546</v>
      </c>
      <c r="G113" s="228" t="s">
        <v>249</v>
      </c>
      <c r="H113" s="228" t="s">
        <v>805</v>
      </c>
      <c r="I113" s="228" t="s">
        <v>1480</v>
      </c>
      <c r="J113" s="228" t="s">
        <v>251</v>
      </c>
    </row>
    <row r="114" spans="1:10" ht="12.75" customHeight="1">
      <c r="A114" s="2"/>
      <c r="B114" s="154" t="s">
        <v>1523</v>
      </c>
      <c r="C114" s="320"/>
      <c r="D114" s="320"/>
      <c r="E114" s="320"/>
      <c r="F114" s="490"/>
      <c r="G114" s="491"/>
      <c r="H114" s="486"/>
      <c r="I114" s="486"/>
      <c r="J114" s="486"/>
    </row>
    <row r="115" spans="1:10" ht="12.75" customHeight="1">
      <c r="A115" s="2">
        <f>A107+1</f>
        <v>82</v>
      </c>
      <c r="B115" s="261" t="s">
        <v>1524</v>
      </c>
      <c r="C115" s="320">
        <f t="shared" ref="C115:E118" si="24">J52</f>
        <v>33503824.949999996</v>
      </c>
      <c r="D115" s="320">
        <f t="shared" si="24"/>
        <v>26319020.369999997</v>
      </c>
      <c r="E115" s="320">
        <f t="shared" si="24"/>
        <v>7184804.5799999963</v>
      </c>
      <c r="F115" s="491">
        <f>'27-Allocators'!$D$54</f>
        <v>0</v>
      </c>
      <c r="G115" s="486">
        <f>SUM(H115:I115)</f>
        <v>0</v>
      </c>
      <c r="H115" s="486">
        <f>D115*F115</f>
        <v>0</v>
      </c>
      <c r="I115" s="486">
        <f>E115*F115</f>
        <v>0</v>
      </c>
      <c r="J115" s="323" t="s">
        <v>1554</v>
      </c>
    </row>
    <row r="116" spans="1:10" ht="12.75" customHeight="1">
      <c r="A116" s="2">
        <f t="shared" ref="A116:A124" si="25">A115+1</f>
        <v>83</v>
      </c>
      <c r="B116" s="261" t="s">
        <v>1525</v>
      </c>
      <c r="C116" s="320">
        <f t="shared" si="24"/>
        <v>1448907.4299999997</v>
      </c>
      <c r="D116" s="320">
        <f t="shared" si="24"/>
        <v>1253042.4299999997</v>
      </c>
      <c r="E116" s="320">
        <f t="shared" si="24"/>
        <v>195865.00000000012</v>
      </c>
      <c r="F116" s="491">
        <f>'27-Allocators'!$D$54</f>
        <v>0</v>
      </c>
      <c r="G116" s="486">
        <f>SUM(H116:I116)</f>
        <v>0</v>
      </c>
      <c r="H116" s="486">
        <f t="shared" ref="H116:H119" si="26">D116*F116</f>
        <v>0</v>
      </c>
      <c r="I116" s="486">
        <f t="shared" ref="I116:I119" si="27">E116*F116</f>
        <v>0</v>
      </c>
      <c r="J116" s="323" t="s">
        <v>1554</v>
      </c>
    </row>
    <row r="117" spans="1:10" ht="12.75" customHeight="1">
      <c r="A117" s="2">
        <f t="shared" si="25"/>
        <v>84</v>
      </c>
      <c r="B117" s="261" t="s">
        <v>1526</v>
      </c>
      <c r="C117" s="320">
        <f t="shared" si="24"/>
        <v>96984.790000000008</v>
      </c>
      <c r="D117" s="320">
        <f t="shared" si="24"/>
        <v>25892.579999999994</v>
      </c>
      <c r="E117" s="320">
        <f t="shared" si="24"/>
        <v>71092.210000000006</v>
      </c>
      <c r="F117" s="491">
        <f>'27-Allocators'!$D$54</f>
        <v>0</v>
      </c>
      <c r="G117" s="486">
        <f t="shared" ref="G117:G119" si="28">SUM(H117:I117)</f>
        <v>0</v>
      </c>
      <c r="H117" s="486">
        <f t="shared" si="26"/>
        <v>0</v>
      </c>
      <c r="I117" s="486">
        <f t="shared" si="27"/>
        <v>0</v>
      </c>
      <c r="J117" s="323" t="s">
        <v>1554</v>
      </c>
    </row>
    <row r="118" spans="1:10" ht="12.75" customHeight="1">
      <c r="A118" s="2">
        <f t="shared" si="25"/>
        <v>85</v>
      </c>
      <c r="B118" s="261" t="s">
        <v>1527</v>
      </c>
      <c r="C118" s="320">
        <f t="shared" si="24"/>
        <v>5796388.1300000018</v>
      </c>
      <c r="D118" s="320">
        <f t="shared" si="24"/>
        <v>4323216.540000001</v>
      </c>
      <c r="E118" s="320">
        <f t="shared" si="24"/>
        <v>1473171.5900000008</v>
      </c>
      <c r="F118" s="491">
        <f>'27-Allocators'!$D$54</f>
        <v>0</v>
      </c>
      <c r="G118" s="486">
        <f t="shared" si="28"/>
        <v>0</v>
      </c>
      <c r="H118" s="486">
        <f t="shared" si="26"/>
        <v>0</v>
      </c>
      <c r="I118" s="486">
        <f t="shared" si="27"/>
        <v>0</v>
      </c>
      <c r="J118" s="323" t="s">
        <v>1554</v>
      </c>
    </row>
    <row r="119" spans="1:10" ht="12.75" customHeight="1">
      <c r="A119" s="654">
        <f t="shared" si="25"/>
        <v>86</v>
      </c>
      <c r="B119" s="492" t="s">
        <v>1528</v>
      </c>
      <c r="C119" s="493">
        <f t="shared" ref="C119:E120" si="29">J56</f>
        <v>862851965.7299993</v>
      </c>
      <c r="D119" s="653">
        <f t="shared" si="29"/>
        <v>247961464.64000058</v>
      </c>
      <c r="E119" s="653">
        <f t="shared" si="29"/>
        <v>614890501.08999872</v>
      </c>
      <c r="F119" s="655">
        <v>0</v>
      </c>
      <c r="G119" s="486">
        <f t="shared" si="28"/>
        <v>0</v>
      </c>
      <c r="H119" s="486">
        <f t="shared" si="26"/>
        <v>0</v>
      </c>
      <c r="I119" s="486">
        <f t="shared" si="27"/>
        <v>0</v>
      </c>
      <c r="J119" s="668" t="s">
        <v>1549</v>
      </c>
    </row>
    <row r="120" spans="1:10" ht="12.75" customHeight="1">
      <c r="A120" s="2">
        <f t="shared" si="25"/>
        <v>87</v>
      </c>
      <c r="B120" s="261" t="s">
        <v>1555</v>
      </c>
      <c r="C120" s="483">
        <f t="shared" si="29"/>
        <v>-7137953.6202013632</v>
      </c>
      <c r="D120" s="483">
        <f t="shared" si="29"/>
        <v>-7137953.6202013632</v>
      </c>
      <c r="E120" s="483">
        <f t="shared" si="29"/>
        <v>0</v>
      </c>
      <c r="F120" s="656">
        <v>0</v>
      </c>
      <c r="G120" s="489">
        <f>SUM(H120:I120)</f>
        <v>0</v>
      </c>
      <c r="H120" s="489">
        <f>D120*F120</f>
        <v>0</v>
      </c>
      <c r="I120" s="489">
        <f>E120*F120</f>
        <v>0</v>
      </c>
      <c r="J120" s="514" t="s">
        <v>1549</v>
      </c>
    </row>
    <row r="121" spans="1:10" ht="13">
      <c r="A121" s="2">
        <f t="shared" si="25"/>
        <v>88</v>
      </c>
      <c r="B121" s="133" t="s">
        <v>1556</v>
      </c>
      <c r="C121" s="320">
        <f>SUM(C115:C120)</f>
        <v>896560117.40979791</v>
      </c>
      <c r="D121" s="320">
        <f>SUM(D115:D120)</f>
        <v>272744682.93979925</v>
      </c>
      <c r="E121" s="320">
        <f>SUM(E115:E120)</f>
        <v>623815434.46999872</v>
      </c>
      <c r="F121" s="235"/>
      <c r="G121" s="480">
        <f>SUM(G115:G120)</f>
        <v>0</v>
      </c>
      <c r="H121" s="480">
        <f>SUM(H115:H120)</f>
        <v>0</v>
      </c>
      <c r="I121" s="480">
        <f>SUM(I115:I120)</f>
        <v>0</v>
      </c>
    </row>
    <row r="122" spans="1:10" ht="13">
      <c r="A122" s="2">
        <f t="shared" si="25"/>
        <v>89</v>
      </c>
      <c r="B122" s="909"/>
      <c r="C122" s="910"/>
      <c r="D122" s="910"/>
      <c r="E122" s="910"/>
      <c r="F122" s="911"/>
      <c r="G122" s="912"/>
      <c r="H122" s="913"/>
      <c r="I122" s="912"/>
      <c r="J122" s="914"/>
    </row>
    <row r="123" spans="1:10" ht="13">
      <c r="A123" s="2">
        <f t="shared" si="25"/>
        <v>90</v>
      </c>
      <c r="C123" s="320"/>
      <c r="D123" s="320"/>
      <c r="E123" s="320"/>
      <c r="F123" s="490"/>
      <c r="G123" s="486"/>
      <c r="H123" s="486"/>
      <c r="I123" s="486"/>
    </row>
    <row r="124" spans="1:10" ht="13">
      <c r="A124" s="2">
        <f t="shared" si="25"/>
        <v>91</v>
      </c>
      <c r="B124" s="133" t="s">
        <v>1557</v>
      </c>
      <c r="C124" s="320">
        <f>+C106+C121</f>
        <v>1112577145.3956807</v>
      </c>
      <c r="D124" s="320">
        <f>+D106+D121</f>
        <v>357477363.685682</v>
      </c>
      <c r="E124" s="320">
        <f>+E106+E121</f>
        <v>755099781.70999873</v>
      </c>
      <c r="F124" s="19"/>
      <c r="G124" s="486">
        <f>+G106+G121</f>
        <v>99507852.091650277</v>
      </c>
      <c r="H124" s="320">
        <f>+H106+H121</f>
        <v>36628694.221578218</v>
      </c>
      <c r="I124" s="320">
        <f>+I106+I121</f>
        <v>62879157.870072059</v>
      </c>
    </row>
    <row r="125" spans="1:10" ht="13">
      <c r="A125" s="2">
        <f>A124+1</f>
        <v>92</v>
      </c>
      <c r="B125" s="259" t="str">
        <f>"Line "&amp;A106&amp;" + Line "&amp;A121&amp;""</f>
        <v>Line 80 + Line 88</v>
      </c>
      <c r="C125" s="910"/>
      <c r="D125" s="910"/>
      <c r="E125" s="910"/>
      <c r="F125" s="910"/>
      <c r="G125" s="910"/>
      <c r="H125" s="910"/>
      <c r="I125" s="910"/>
    </row>
    <row r="127" spans="1:10" ht="13">
      <c r="B127" s="237" t="s">
        <v>228</v>
      </c>
    </row>
    <row r="128" spans="1:10">
      <c r="B128" s="494" t="s">
        <v>1558</v>
      </c>
      <c r="H128" s="495"/>
      <c r="I128" s="495"/>
    </row>
    <row r="129" spans="2:10">
      <c r="B129" s="496" t="s">
        <v>1559</v>
      </c>
      <c r="H129" s="495"/>
      <c r="I129" s="495"/>
    </row>
    <row r="130" spans="2:10">
      <c r="B130" s="497" t="s">
        <v>1560</v>
      </c>
      <c r="H130" s="495"/>
      <c r="I130" s="495"/>
    </row>
    <row r="131" spans="2:10">
      <c r="B131" s="322" t="s">
        <v>1561</v>
      </c>
      <c r="H131" s="495"/>
      <c r="I131" s="495"/>
    </row>
    <row r="132" spans="2:10">
      <c r="B132" s="322" t="s">
        <v>1562</v>
      </c>
      <c r="H132" s="495"/>
      <c r="I132" s="495"/>
    </row>
    <row r="133" spans="2:10">
      <c r="B133" s="322" t="s">
        <v>1563</v>
      </c>
      <c r="H133" s="495"/>
      <c r="I133" s="495"/>
    </row>
    <row r="134" spans="2:10">
      <c r="B134" s="515" t="s">
        <v>1564</v>
      </c>
      <c r="H134" s="495"/>
      <c r="I134" s="495"/>
    </row>
    <row r="135" spans="2:10">
      <c r="B135" s="322" t="s">
        <v>1565</v>
      </c>
      <c r="H135" s="495"/>
      <c r="I135" s="495"/>
    </row>
    <row r="136" spans="2:10">
      <c r="B136" s="322" t="s">
        <v>1566</v>
      </c>
      <c r="H136" s="495"/>
      <c r="I136" s="495"/>
    </row>
    <row r="137" spans="2:10">
      <c r="B137" s="850"/>
      <c r="C137" s="334"/>
      <c r="D137" s="334"/>
      <c r="E137" s="469"/>
      <c r="F137" s="469"/>
      <c r="G137" s="851"/>
      <c r="H137" s="852"/>
      <c r="I137" s="852"/>
      <c r="J137" s="469"/>
    </row>
    <row r="138" spans="2:10">
      <c r="B138" s="259" t="s">
        <v>1567</v>
      </c>
      <c r="H138" s="495"/>
      <c r="I138" s="495"/>
    </row>
    <row r="139" spans="2:10">
      <c r="B139" s="259" t="s">
        <v>1568</v>
      </c>
      <c r="H139" s="495"/>
      <c r="I139" s="495"/>
    </row>
    <row r="140" spans="2:10">
      <c r="H140" s="495"/>
      <c r="I140" s="495"/>
    </row>
    <row r="141" spans="2:10">
      <c r="B141" s="272" t="s">
        <v>1569</v>
      </c>
      <c r="C141" s="900">
        <v>47</v>
      </c>
      <c r="H141" s="495"/>
      <c r="I141" s="495"/>
    </row>
    <row r="142" spans="2:10">
      <c r="H142" s="495"/>
      <c r="I142" s="495"/>
    </row>
    <row r="143" spans="2:10" ht="13">
      <c r="B143" s="498"/>
      <c r="C143" s="18" t="s">
        <v>511</v>
      </c>
      <c r="D143" s="18" t="s">
        <v>470</v>
      </c>
      <c r="H143" s="495"/>
      <c r="I143" s="495"/>
    </row>
    <row r="144" spans="2:10">
      <c r="B144" s="498" t="s">
        <v>1570</v>
      </c>
      <c r="C144" s="499">
        <f>D43/D60</f>
        <v>0.23757868870494805</v>
      </c>
      <c r="D144" s="498" t="str">
        <f>"Line "&amp;A43&amp;", Col 3 / Line "&amp;A60&amp;", Col 3"</f>
        <v>Line 33, Col 3 / Line 43, Col 3</v>
      </c>
      <c r="H144" s="495"/>
      <c r="I144" s="495"/>
    </row>
    <row r="145" spans="2:11">
      <c r="B145" s="498" t="s">
        <v>1571</v>
      </c>
      <c r="C145" s="499">
        <f>D58/D60</f>
        <v>0.76242131129505197</v>
      </c>
      <c r="D145" s="498" t="str">
        <f>"Line "&amp;A58&amp;", Col 3 / Line "&amp;A60&amp;", Col 3"</f>
        <v>Line 41, Col 3 / Line 43, Col 3</v>
      </c>
      <c r="H145" s="495"/>
      <c r="I145" s="495"/>
    </row>
    <row r="146" spans="2:11">
      <c r="H146" s="495"/>
      <c r="I146" s="495"/>
    </row>
    <row r="147" spans="2:11">
      <c r="B147" s="259" t="s">
        <v>1572</v>
      </c>
      <c r="H147" s="495"/>
      <c r="I147" s="495"/>
    </row>
    <row r="148" spans="2:11">
      <c r="B148" s="259" t="s">
        <v>1573</v>
      </c>
      <c r="H148" s="495"/>
      <c r="I148" s="495"/>
    </row>
    <row r="149" spans="2:11">
      <c r="B149" s="259" t="s">
        <v>1574</v>
      </c>
      <c r="C149" s="516">
        <f>(SUM(H74:H103)/SUM(D74:D103))</f>
        <v>0.43228532248884433</v>
      </c>
      <c r="H149" s="495"/>
      <c r="I149" s="495"/>
    </row>
    <row r="150" spans="2:11">
      <c r="B150" s="259" t="s">
        <v>1575</v>
      </c>
      <c r="H150" s="495"/>
      <c r="I150" s="495"/>
    </row>
    <row r="151" spans="2:11">
      <c r="B151" s="259" t="s">
        <v>1576</v>
      </c>
      <c r="H151" s="495"/>
      <c r="I151" s="495"/>
    </row>
    <row r="152" spans="2:11">
      <c r="B152" s="259" t="s">
        <v>1577</v>
      </c>
      <c r="H152" s="495"/>
      <c r="I152" s="495"/>
    </row>
    <row r="153" spans="2:11">
      <c r="B153" s="1050" t="s">
        <v>1578</v>
      </c>
      <c r="C153" s="1050"/>
      <c r="D153" s="1050"/>
      <c r="E153" s="1050"/>
      <c r="F153" s="1050"/>
      <c r="G153" s="1051"/>
      <c r="H153" s="903"/>
      <c r="I153" s="903"/>
      <c r="J153" s="323"/>
      <c r="K153" s="323"/>
    </row>
    <row r="154" spans="2:11">
      <c r="B154" s="259" t="s">
        <v>1579</v>
      </c>
    </row>
    <row r="155" spans="2:11">
      <c r="B155" s="259" t="s">
        <v>1580</v>
      </c>
    </row>
  </sheetData>
  <mergeCells count="13">
    <mergeCell ref="B8:B9"/>
    <mergeCell ref="C8:E8"/>
    <mergeCell ref="G8:I8"/>
    <mergeCell ref="B71:B72"/>
    <mergeCell ref="C71:E71"/>
    <mergeCell ref="B49:B50"/>
    <mergeCell ref="C49:E49"/>
    <mergeCell ref="G49:I49"/>
    <mergeCell ref="J49:L49"/>
    <mergeCell ref="G112:I112"/>
    <mergeCell ref="G71:I71"/>
    <mergeCell ref="B112:B113"/>
    <mergeCell ref="C112:E112"/>
  </mergeCells>
  <pageMargins left="0.7" right="0.7" top="0.75" bottom="0.75" header="0.3" footer="0.3"/>
  <pageSetup scale="59" orientation="landscape" cellComments="asDisplayed" r:id="rId1"/>
  <headerFooter>
    <oddHeader>&amp;CSchedule 19
Operations and Maintenance
&amp;RTO2023 Draft Annual Update 
Attachment 1</oddHeader>
    <oddFooter>&amp;R&amp;A</oddFooter>
  </headerFooter>
  <rowBreaks count="3" manualBreakCount="3">
    <brk id="45" max="12"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3"/>
  <sheetViews>
    <sheetView topLeftCell="A10" zoomScaleNormal="100" zoomScalePageLayoutView="80" workbookViewId="0">
      <selection activeCell="F26" sqref="F26"/>
    </sheetView>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 bestFit="1" customWidth="1"/>
  </cols>
  <sheetData>
    <row r="1" spans="1:24" ht="13">
      <c r="A1" s="1" t="s">
        <v>45</v>
      </c>
      <c r="F1" s="27" t="s">
        <v>635</v>
      </c>
      <c r="G1" s="55"/>
      <c r="H1" s="37"/>
      <c r="I1" s="37"/>
    </row>
    <row r="2" spans="1:24" ht="13">
      <c r="E2" s="48" t="s">
        <v>336</v>
      </c>
      <c r="F2" s="48" t="s">
        <v>337</v>
      </c>
      <c r="G2" s="48" t="s">
        <v>338</v>
      </c>
      <c r="H2" s="48" t="s">
        <v>1581</v>
      </c>
      <c r="I2" s="48" t="s">
        <v>339</v>
      </c>
      <c r="J2" s="37"/>
    </row>
    <row r="3" spans="1:24">
      <c r="E3" s="929"/>
      <c r="G3" s="37" t="s">
        <v>576</v>
      </c>
      <c r="H3" s="252" t="s">
        <v>350</v>
      </c>
      <c r="I3" s="257" t="s">
        <v>1582</v>
      </c>
    </row>
    <row r="4" spans="1:24" ht="13">
      <c r="E4" s="2" t="s">
        <v>1583</v>
      </c>
      <c r="F4" s="19" t="s">
        <v>659</v>
      </c>
      <c r="G4" s="2" t="s">
        <v>1584</v>
      </c>
      <c r="H4" s="2" t="s">
        <v>1585</v>
      </c>
      <c r="J4" s="2"/>
    </row>
    <row r="5" spans="1:24" ht="13">
      <c r="A5" s="32" t="s">
        <v>99</v>
      </c>
      <c r="B5" s="3"/>
      <c r="C5" s="3" t="s">
        <v>1586</v>
      </c>
      <c r="D5" s="3" t="s">
        <v>814</v>
      </c>
      <c r="E5" s="3" t="s">
        <v>79</v>
      </c>
      <c r="F5" s="18" t="s">
        <v>652</v>
      </c>
      <c r="G5" s="3" t="s">
        <v>1587</v>
      </c>
      <c r="H5" s="3" t="s">
        <v>248</v>
      </c>
      <c r="I5" s="3" t="s">
        <v>200</v>
      </c>
      <c r="J5" s="3" t="s">
        <v>100</v>
      </c>
      <c r="K5" s="3"/>
      <c r="L5" s="3"/>
      <c r="M5" s="3"/>
      <c r="N5" s="3"/>
      <c r="O5" s="3"/>
      <c r="P5" s="3"/>
      <c r="Q5" s="3"/>
      <c r="R5" s="3"/>
      <c r="S5" s="3"/>
      <c r="T5" s="3"/>
      <c r="U5" s="3"/>
      <c r="V5" s="3"/>
      <c r="W5" s="3"/>
      <c r="X5" s="3"/>
    </row>
    <row r="6" spans="1:24" ht="13">
      <c r="A6" s="2">
        <v>1</v>
      </c>
      <c r="C6" s="37">
        <v>920</v>
      </c>
      <c r="D6" t="s">
        <v>1588</v>
      </c>
      <c r="E6" s="5">
        <v>489200978</v>
      </c>
      <c r="F6" s="37" t="s">
        <v>1589</v>
      </c>
      <c r="G6" s="6">
        <f>D37</f>
        <v>216390816.24808747</v>
      </c>
      <c r="H6" s="253">
        <f>'35-Other Formula Revenue'!D55</f>
        <v>0</v>
      </c>
      <c r="I6" s="253">
        <f>(E6-G6)+H6</f>
        <v>272810161.75191253</v>
      </c>
      <c r="J6" s="929"/>
    </row>
    <row r="7" spans="1:24" ht="13">
      <c r="A7" s="2">
        <f>A6+1</f>
        <v>2</v>
      </c>
      <c r="C7" s="37">
        <v>921</v>
      </c>
      <c r="D7" t="s">
        <v>1590</v>
      </c>
      <c r="E7" s="5">
        <v>276778928</v>
      </c>
      <c r="F7" s="37" t="s">
        <v>1591</v>
      </c>
      <c r="G7" s="6">
        <f t="shared" ref="G7:G19" si="0">D38</f>
        <v>77496.839999999909</v>
      </c>
      <c r="H7" s="253">
        <f>'35-Other Formula Revenue'!D56</f>
        <v>0</v>
      </c>
      <c r="I7" s="253">
        <f t="shared" ref="I7:I19" si="1">(E7-G7)+H7</f>
        <v>276701431.16000003</v>
      </c>
    </row>
    <row r="8" spans="1:24" ht="13">
      <c r="A8" s="2">
        <f>A7+1</f>
        <v>3</v>
      </c>
      <c r="C8" s="37">
        <v>922</v>
      </c>
      <c r="D8" t="s">
        <v>1592</v>
      </c>
      <c r="E8" s="5">
        <v>-252808152</v>
      </c>
      <c r="F8" s="37" t="s">
        <v>1593</v>
      </c>
      <c r="G8" s="6">
        <f t="shared" si="0"/>
        <v>-106131573.86</v>
      </c>
      <c r="H8" s="253">
        <f>'35-Other Formula Revenue'!D57</f>
        <v>0</v>
      </c>
      <c r="I8" s="253">
        <f t="shared" si="1"/>
        <v>-146676578.13999999</v>
      </c>
      <c r="J8" s="37" t="s">
        <v>1594</v>
      </c>
    </row>
    <row r="9" spans="1:24" ht="13">
      <c r="A9" s="2">
        <f t="shared" ref="A9:A20" si="2">A8+1</f>
        <v>4</v>
      </c>
      <c r="B9" s="2"/>
      <c r="C9" s="37">
        <v>923</v>
      </c>
      <c r="D9" t="s">
        <v>1595</v>
      </c>
      <c r="E9" s="5">
        <v>41718502</v>
      </c>
      <c r="F9" s="37" t="s">
        <v>1596</v>
      </c>
      <c r="G9" s="6">
        <f t="shared" si="0"/>
        <v>1504969.77</v>
      </c>
      <c r="H9" s="253">
        <f>'35-Other Formula Revenue'!D58</f>
        <v>0</v>
      </c>
      <c r="I9" s="253">
        <f t="shared" si="1"/>
        <v>40213532.229999997</v>
      </c>
    </row>
    <row r="10" spans="1:24" ht="13">
      <c r="A10" s="2">
        <f t="shared" si="2"/>
        <v>5</v>
      </c>
      <c r="B10" s="2"/>
      <c r="C10" s="37">
        <v>924</v>
      </c>
      <c r="D10" t="s">
        <v>1597</v>
      </c>
      <c r="E10" s="5">
        <v>20044138</v>
      </c>
      <c r="F10" s="37" t="s">
        <v>1598</v>
      </c>
      <c r="G10" s="6">
        <f t="shared" si="0"/>
        <v>0</v>
      </c>
      <c r="H10" s="253">
        <f>'35-Other Formula Revenue'!D59</f>
        <v>0</v>
      </c>
      <c r="I10" s="253">
        <f t="shared" si="1"/>
        <v>20044138</v>
      </c>
    </row>
    <row r="11" spans="1:24" ht="13">
      <c r="A11" s="2">
        <f t="shared" si="2"/>
        <v>6</v>
      </c>
      <c r="B11" s="2"/>
      <c r="C11" s="37">
        <v>925</v>
      </c>
      <c r="D11" t="s">
        <v>1599</v>
      </c>
      <c r="E11" s="5">
        <v>1882001326</v>
      </c>
      <c r="F11" s="37" t="s">
        <v>1600</v>
      </c>
      <c r="G11" s="6">
        <f t="shared" si="0"/>
        <v>221963259.82000002</v>
      </c>
      <c r="H11" s="253">
        <f>'35-Other Formula Revenue'!D60</f>
        <v>0</v>
      </c>
      <c r="I11" s="253">
        <f t="shared" si="1"/>
        <v>1660038066.1800001</v>
      </c>
    </row>
    <row r="12" spans="1:24" ht="13">
      <c r="A12" s="2">
        <f t="shared" si="2"/>
        <v>7</v>
      </c>
      <c r="B12" s="2"/>
      <c r="C12" s="37">
        <v>926</v>
      </c>
      <c r="D12" t="s">
        <v>1601</v>
      </c>
      <c r="E12" s="5">
        <v>52118968</v>
      </c>
      <c r="F12" s="37" t="s">
        <v>1602</v>
      </c>
      <c r="G12" s="6">
        <f t="shared" si="0"/>
        <v>4785563.4750000015</v>
      </c>
      <c r="H12" s="253">
        <f>'35-Other Formula Revenue'!D61</f>
        <v>0</v>
      </c>
      <c r="I12" s="253">
        <f t="shared" si="1"/>
        <v>47333404.524999999</v>
      </c>
    </row>
    <row r="13" spans="1:24" ht="13">
      <c r="A13" s="2">
        <f t="shared" si="2"/>
        <v>8</v>
      </c>
      <c r="B13" s="2"/>
      <c r="C13" s="37">
        <v>927</v>
      </c>
      <c r="D13" t="s">
        <v>1603</v>
      </c>
      <c r="E13" s="5">
        <v>126503079</v>
      </c>
      <c r="F13" s="37" t="s">
        <v>1604</v>
      </c>
      <c r="G13" s="6">
        <f t="shared" si="0"/>
        <v>126503079</v>
      </c>
      <c r="H13" s="253">
        <f>'35-Other Formula Revenue'!D62</f>
        <v>0</v>
      </c>
      <c r="I13" s="253">
        <f>(E13-G13)+H13-H13</f>
        <v>0</v>
      </c>
      <c r="J13" s="298" t="s">
        <v>1605</v>
      </c>
      <c r="L13" s="929"/>
    </row>
    <row r="14" spans="1:24" ht="13">
      <c r="A14" s="2">
        <f t="shared" si="2"/>
        <v>9</v>
      </c>
      <c r="B14" s="2"/>
      <c r="C14" s="37">
        <v>928</v>
      </c>
      <c r="D14" s="251" t="s">
        <v>1606</v>
      </c>
      <c r="E14" s="5">
        <v>8569448</v>
      </c>
      <c r="F14" s="37" t="s">
        <v>1607</v>
      </c>
      <c r="G14" s="6">
        <f t="shared" si="0"/>
        <v>7858892.7299999995</v>
      </c>
      <c r="H14" s="253">
        <f>'35-Other Formula Revenue'!D63</f>
        <v>0</v>
      </c>
      <c r="I14" s="253">
        <f t="shared" si="1"/>
        <v>710555.27000000048</v>
      </c>
    </row>
    <row r="15" spans="1:24" ht="13">
      <c r="A15" s="2">
        <f t="shared" si="2"/>
        <v>10</v>
      </c>
      <c r="B15" s="2"/>
      <c r="C15" s="37">
        <v>929</v>
      </c>
      <c r="D15" t="s">
        <v>1608</v>
      </c>
      <c r="E15" s="5">
        <v>0</v>
      </c>
      <c r="F15" s="37" t="s">
        <v>1609</v>
      </c>
      <c r="G15" s="6">
        <f t="shared" si="0"/>
        <v>0</v>
      </c>
      <c r="H15" s="253">
        <f>'35-Other Formula Revenue'!D64</f>
        <v>0</v>
      </c>
      <c r="I15" s="253">
        <f t="shared" si="1"/>
        <v>0</v>
      </c>
    </row>
    <row r="16" spans="1:24" ht="13">
      <c r="A16" s="2">
        <f t="shared" si="2"/>
        <v>11</v>
      </c>
      <c r="B16" s="2"/>
      <c r="C16" s="37">
        <v>930.1</v>
      </c>
      <c r="D16" t="s">
        <v>1610</v>
      </c>
      <c r="E16" s="5">
        <v>13641394</v>
      </c>
      <c r="F16" s="37" t="s">
        <v>1611</v>
      </c>
      <c r="G16" s="6">
        <f t="shared" si="0"/>
        <v>0</v>
      </c>
      <c r="H16" s="253">
        <f>'35-Other Formula Revenue'!D65</f>
        <v>0</v>
      </c>
      <c r="I16" s="253">
        <f t="shared" si="1"/>
        <v>13641394</v>
      </c>
    </row>
    <row r="17" spans="1:9" ht="13">
      <c r="A17" s="2">
        <f t="shared" si="2"/>
        <v>12</v>
      </c>
      <c r="B17" s="2"/>
      <c r="C17" s="37">
        <v>930.2</v>
      </c>
      <c r="D17" t="s">
        <v>1612</v>
      </c>
      <c r="E17" s="5">
        <v>40385690</v>
      </c>
      <c r="F17" s="37" t="s">
        <v>1613</v>
      </c>
      <c r="G17" s="6">
        <f t="shared" si="0"/>
        <v>24997914.76999994</v>
      </c>
      <c r="H17" s="253">
        <f>'35-Other Formula Revenue'!D66</f>
        <v>0</v>
      </c>
      <c r="I17" s="253">
        <f t="shared" si="1"/>
        <v>15387775.23000006</v>
      </c>
    </row>
    <row r="18" spans="1:9" ht="13">
      <c r="A18" s="2">
        <f t="shared" si="2"/>
        <v>13</v>
      </c>
      <c r="B18" s="2"/>
      <c r="C18" s="37">
        <v>931</v>
      </c>
      <c r="D18" t="s">
        <v>1614</v>
      </c>
      <c r="E18" s="5">
        <v>9108333</v>
      </c>
      <c r="F18" s="37" t="s">
        <v>1615</v>
      </c>
      <c r="G18" s="6">
        <f t="shared" si="0"/>
        <v>0</v>
      </c>
      <c r="H18" s="253">
        <f>'35-Other Formula Revenue'!D67</f>
        <v>0</v>
      </c>
      <c r="I18" s="253">
        <f t="shared" si="1"/>
        <v>9108333</v>
      </c>
    </row>
    <row r="19" spans="1:9" ht="13">
      <c r="A19" s="2">
        <f t="shared" si="2"/>
        <v>14</v>
      </c>
      <c r="B19" s="2"/>
      <c r="C19" s="37">
        <v>935</v>
      </c>
      <c r="D19" t="s">
        <v>1616</v>
      </c>
      <c r="E19" s="61">
        <v>22903562</v>
      </c>
      <c r="F19" s="37" t="s">
        <v>1617</v>
      </c>
      <c r="G19" s="6">
        <f t="shared" si="0"/>
        <v>674197.83</v>
      </c>
      <c r="H19" s="253">
        <f>'35-Other Formula Revenue'!D68</f>
        <v>0</v>
      </c>
      <c r="I19" s="53">
        <f t="shared" si="1"/>
        <v>22229364.170000002</v>
      </c>
    </row>
    <row r="20" spans="1:9" ht="13">
      <c r="A20" s="2">
        <f t="shared" si="2"/>
        <v>15</v>
      </c>
      <c r="E20" s="6">
        <f>SUM(E6:E19)</f>
        <v>2730166194</v>
      </c>
      <c r="H20" s="249" t="s">
        <v>1618</v>
      </c>
      <c r="I20" s="253">
        <f>SUM(I6:I19)</f>
        <v>2231541577.3769126</v>
      </c>
    </row>
    <row r="22" spans="1:9" ht="13">
      <c r="F22" s="3" t="s">
        <v>79</v>
      </c>
      <c r="G22" s="3" t="s">
        <v>652</v>
      </c>
      <c r="H22" s="930"/>
      <c r="I22" s="931"/>
    </row>
    <row r="23" spans="1:9" ht="13">
      <c r="A23" s="2">
        <f>A20+1</f>
        <v>16</v>
      </c>
      <c r="E23" s="249" t="s">
        <v>1619</v>
      </c>
      <c r="F23" s="6">
        <f>I20</f>
        <v>2231541577.3769126</v>
      </c>
      <c r="G23" s="250" t="str">
        <f>"Line "&amp;A20&amp;""</f>
        <v>Line 15</v>
      </c>
    </row>
    <row r="24" spans="1:9" ht="13">
      <c r="A24" s="2">
        <f t="shared" ref="A24:A30" si="3">A23+1</f>
        <v>17</v>
      </c>
      <c r="E24" s="249" t="s">
        <v>1620</v>
      </c>
      <c r="F24" s="53">
        <f>E10</f>
        <v>20044138</v>
      </c>
      <c r="G24" s="250" t="str">
        <f>"Line "&amp;A10&amp;""</f>
        <v>Line 5</v>
      </c>
    </row>
    <row r="25" spans="1:9" ht="13">
      <c r="A25" s="2">
        <f t="shared" si="3"/>
        <v>18</v>
      </c>
      <c r="E25" s="249" t="s">
        <v>1621</v>
      </c>
      <c r="F25" s="6">
        <f>F23-F24</f>
        <v>2211497439.3769126</v>
      </c>
      <c r="G25" s="250" t="str">
        <f>"Line "&amp;A23&amp;" - Line "&amp;A24&amp;""</f>
        <v>Line 16 - Line 17</v>
      </c>
    </row>
    <row r="26" spans="1:9" ht="13">
      <c r="A26" s="2">
        <f t="shared" si="3"/>
        <v>19</v>
      </c>
      <c r="E26" s="25" t="s">
        <v>1622</v>
      </c>
      <c r="F26" s="29">
        <f>'27-Allocators'!G15</f>
        <v>6.2174818554839952E-2</v>
      </c>
      <c r="G26" s="250" t="str">
        <f>"27-Allocators, Line "&amp;'27-Allocators'!A15&amp;""</f>
        <v>27-Allocators, Line 9</v>
      </c>
    </row>
    <row r="27" spans="1:9" ht="13">
      <c r="A27" s="2">
        <f t="shared" si="3"/>
        <v>20</v>
      </c>
      <c r="E27" s="249" t="s">
        <v>1623</v>
      </c>
      <c r="F27" s="6">
        <f>F25*F26</f>
        <v>137499452.0277527</v>
      </c>
      <c r="G27" s="250" t="str">
        <f>"Line "&amp;A25&amp;" * Line "&amp;A26&amp;""</f>
        <v>Line 18 * Line 19</v>
      </c>
    </row>
    <row r="28" spans="1:9" ht="13">
      <c r="A28" s="2">
        <f t="shared" si="3"/>
        <v>21</v>
      </c>
      <c r="E28" s="249" t="s">
        <v>1624</v>
      </c>
      <c r="F28" s="7">
        <f>'27-Allocators'!G28</f>
        <v>0.18265038721639726</v>
      </c>
      <c r="G28" s="12" t="str">
        <f>"27-Allocators, Line "&amp;'27-Allocators'!A28&amp;""</f>
        <v>27-Allocators, Line 22</v>
      </c>
    </row>
    <row r="29" spans="1:9" ht="13">
      <c r="A29" s="2">
        <f t="shared" si="3"/>
        <v>22</v>
      </c>
      <c r="E29" s="249" t="s">
        <v>1625</v>
      </c>
      <c r="F29" s="53">
        <f>I10*F28</f>
        <v>3661069.5671189027</v>
      </c>
      <c r="G29" s="250" t="str">
        <f>"Line "&amp;A10&amp;" Col 4 * Line "&amp;A28&amp;""</f>
        <v>Line 5 Col 4 * Line 21</v>
      </c>
    </row>
    <row r="30" spans="1:9" ht="13">
      <c r="A30" s="2">
        <f t="shared" si="3"/>
        <v>23</v>
      </c>
      <c r="E30" s="249" t="s">
        <v>1626</v>
      </c>
      <c r="F30" s="253">
        <f>F27+F29</f>
        <v>141160521.59487161</v>
      </c>
      <c r="G30" s="250" t="str">
        <f>"Line "&amp;A27&amp;" + Line "&amp;A29&amp;""</f>
        <v>Line 20 + Line 22</v>
      </c>
    </row>
    <row r="32" spans="1:9" ht="13">
      <c r="B32" s="1" t="s">
        <v>1627</v>
      </c>
      <c r="E32" s="48" t="s">
        <v>336</v>
      </c>
      <c r="F32" s="48" t="s">
        <v>337</v>
      </c>
      <c r="G32" s="48" t="s">
        <v>338</v>
      </c>
      <c r="H32" s="48" t="s">
        <v>339</v>
      </c>
    </row>
    <row r="33" spans="1:11" ht="13">
      <c r="B33" s="1"/>
      <c r="C33" s="39" t="s">
        <v>195</v>
      </c>
      <c r="D33" s="258" t="s">
        <v>1628</v>
      </c>
      <c r="E33" s="2" t="s">
        <v>1629</v>
      </c>
      <c r="F33" s="48"/>
      <c r="G33" s="48"/>
      <c r="H33" s="48"/>
    </row>
    <row r="34" spans="1:11" ht="13">
      <c r="E34" s="2" t="s">
        <v>1630</v>
      </c>
    </row>
    <row r="35" spans="1:11" ht="13">
      <c r="D35" s="2" t="s">
        <v>1631</v>
      </c>
      <c r="E35" s="2" t="s">
        <v>1632</v>
      </c>
      <c r="F35" s="2" t="s">
        <v>1633</v>
      </c>
      <c r="G35" s="2"/>
      <c r="H35" s="2"/>
    </row>
    <row r="36" spans="1:11" ht="13">
      <c r="C36" s="3" t="s">
        <v>1586</v>
      </c>
      <c r="D36" s="48" t="s">
        <v>1634</v>
      </c>
      <c r="E36" s="3" t="s">
        <v>1478</v>
      </c>
      <c r="F36" s="3" t="s">
        <v>1635</v>
      </c>
      <c r="G36" s="3" t="s">
        <v>1636</v>
      </c>
      <c r="H36" s="3" t="s">
        <v>1637</v>
      </c>
      <c r="I36" s="3" t="s">
        <v>100</v>
      </c>
    </row>
    <row r="37" spans="1:11" ht="13">
      <c r="A37" s="2">
        <f>A30+1</f>
        <v>24</v>
      </c>
      <c r="C37" s="37">
        <v>920</v>
      </c>
      <c r="D37" s="80">
        <f>SUM(E37:H37)</f>
        <v>216390816.24808747</v>
      </c>
      <c r="E37" s="271">
        <v>5339758.3299999982</v>
      </c>
      <c r="F37" s="60"/>
      <c r="G37" s="6">
        <f>G58</f>
        <v>211051057.91808745</v>
      </c>
      <c r="H37" s="60"/>
      <c r="I37" s="250" t="s">
        <v>1638</v>
      </c>
    </row>
    <row r="38" spans="1:11" ht="13">
      <c r="A38" s="2">
        <f>A37+1</f>
        <v>25</v>
      </c>
      <c r="C38" s="37">
        <v>921</v>
      </c>
      <c r="D38" s="80">
        <f t="shared" ref="D38:D50" si="4">SUM(E38:H38)</f>
        <v>77496.839999999909</v>
      </c>
      <c r="E38" s="271">
        <v>77496.839999999909</v>
      </c>
      <c r="F38" s="60"/>
      <c r="G38" s="60">
        <v>0</v>
      </c>
      <c r="H38" s="60"/>
      <c r="I38" s="12"/>
    </row>
    <row r="39" spans="1:11" ht="13">
      <c r="A39" s="2">
        <f t="shared" ref="A39:A50" si="5">A38+1</f>
        <v>26</v>
      </c>
      <c r="C39" s="37">
        <v>922</v>
      </c>
      <c r="D39" s="80">
        <f t="shared" si="4"/>
        <v>-106131573.86</v>
      </c>
      <c r="E39" s="271">
        <v>-3857843.8600000003</v>
      </c>
      <c r="F39" s="271"/>
      <c r="G39" s="271">
        <v>-102273730</v>
      </c>
      <c r="H39" s="60"/>
      <c r="I39" s="12"/>
    </row>
    <row r="40" spans="1:11" ht="13">
      <c r="A40" s="2">
        <f t="shared" si="5"/>
        <v>27</v>
      </c>
      <c r="C40" s="37">
        <v>923</v>
      </c>
      <c r="D40" s="80">
        <f t="shared" si="4"/>
        <v>1504969.77</v>
      </c>
      <c r="E40" s="271">
        <v>1504969.77</v>
      </c>
      <c r="F40" s="60"/>
      <c r="G40" s="60">
        <v>0</v>
      </c>
      <c r="H40" s="60"/>
      <c r="I40" s="12"/>
      <c r="J40" s="3"/>
      <c r="K40" s="3"/>
    </row>
    <row r="41" spans="1:11" ht="13">
      <c r="A41" s="2">
        <f t="shared" si="5"/>
        <v>28</v>
      </c>
      <c r="C41" s="37">
        <v>924</v>
      </c>
      <c r="D41" s="80">
        <f t="shared" si="4"/>
        <v>0</v>
      </c>
      <c r="E41" s="271">
        <v>0</v>
      </c>
      <c r="F41" s="60"/>
      <c r="G41" s="60">
        <v>0</v>
      </c>
      <c r="H41" s="60"/>
      <c r="I41" s="12"/>
      <c r="K41" s="6"/>
    </row>
    <row r="42" spans="1:11" ht="13">
      <c r="A42" s="2">
        <f t="shared" si="5"/>
        <v>29</v>
      </c>
      <c r="C42" s="37">
        <v>925</v>
      </c>
      <c r="D42" s="80">
        <f t="shared" si="4"/>
        <v>221963259.82000002</v>
      </c>
      <c r="E42" s="271">
        <v>221963259.82000002</v>
      </c>
      <c r="F42" s="60"/>
      <c r="G42" s="60">
        <v>0</v>
      </c>
      <c r="H42" s="60"/>
      <c r="I42" s="250" t="s">
        <v>1639</v>
      </c>
      <c r="K42" s="6"/>
    </row>
    <row r="43" spans="1:11" ht="13">
      <c r="A43" s="2">
        <f t="shared" si="5"/>
        <v>30</v>
      </c>
      <c r="C43" s="37">
        <v>926</v>
      </c>
      <c r="D43" s="80">
        <f t="shared" si="4"/>
        <v>4785563.4750000015</v>
      </c>
      <c r="E43" s="271">
        <v>4785563.4750000015</v>
      </c>
      <c r="F43" s="60"/>
      <c r="G43" s="60">
        <v>0</v>
      </c>
      <c r="H43" s="6">
        <f>E71</f>
        <v>0</v>
      </c>
      <c r="I43" s="250" t="s">
        <v>347</v>
      </c>
      <c r="K43" s="6"/>
    </row>
    <row r="44" spans="1:11" ht="13">
      <c r="A44" s="2">
        <f t="shared" si="5"/>
        <v>31</v>
      </c>
      <c r="C44" s="37">
        <v>927</v>
      </c>
      <c r="D44" s="80">
        <f t="shared" si="4"/>
        <v>126503079</v>
      </c>
      <c r="E44" s="6">
        <v>0</v>
      </c>
      <c r="F44" s="6">
        <f>E13</f>
        <v>126503079</v>
      </c>
      <c r="G44" s="6">
        <v>0</v>
      </c>
      <c r="H44" s="6">
        <v>0</v>
      </c>
      <c r="I44" s="12" t="s">
        <v>348</v>
      </c>
      <c r="K44" s="6"/>
    </row>
    <row r="45" spans="1:11" ht="13">
      <c r="A45" s="2">
        <f t="shared" si="5"/>
        <v>32</v>
      </c>
      <c r="C45" s="37">
        <v>928</v>
      </c>
      <c r="D45" s="80">
        <f t="shared" si="4"/>
        <v>7858892.7299999995</v>
      </c>
      <c r="E45" s="271">
        <v>7858892.7299999995</v>
      </c>
      <c r="F45" s="60"/>
      <c r="G45" s="335">
        <v>0</v>
      </c>
      <c r="H45" s="60"/>
      <c r="I45" s="12"/>
      <c r="K45" s="6"/>
    </row>
    <row r="46" spans="1:11" ht="13">
      <c r="A46" s="2">
        <f t="shared" si="5"/>
        <v>33</v>
      </c>
      <c r="C46" s="37">
        <v>929</v>
      </c>
      <c r="D46" s="80">
        <f t="shared" si="4"/>
        <v>0</v>
      </c>
      <c r="E46" s="271">
        <v>0</v>
      </c>
      <c r="F46" s="60"/>
      <c r="G46" s="335">
        <v>0</v>
      </c>
      <c r="H46" s="60"/>
      <c r="I46" s="12"/>
      <c r="K46" s="6"/>
    </row>
    <row r="47" spans="1:11" ht="13">
      <c r="A47" s="2">
        <f t="shared" si="5"/>
        <v>34</v>
      </c>
      <c r="C47" s="37">
        <v>930.1</v>
      </c>
      <c r="D47" s="80">
        <f t="shared" si="4"/>
        <v>0</v>
      </c>
      <c r="E47" s="271">
        <v>0</v>
      </c>
      <c r="F47" s="60"/>
      <c r="G47" s="335">
        <v>0</v>
      </c>
      <c r="H47" s="60"/>
      <c r="I47" s="12"/>
      <c r="K47" s="6"/>
    </row>
    <row r="48" spans="1:11" ht="13">
      <c r="A48" s="2">
        <f t="shared" si="5"/>
        <v>35</v>
      </c>
      <c r="C48" s="37">
        <v>930.2</v>
      </c>
      <c r="D48" s="80">
        <f t="shared" si="4"/>
        <v>24997914.76999994</v>
      </c>
      <c r="E48" s="271">
        <v>24997914.76999994</v>
      </c>
      <c r="F48" s="60"/>
      <c r="G48" s="335">
        <v>0</v>
      </c>
      <c r="H48" s="60"/>
      <c r="I48" s="12"/>
      <c r="J48" s="253"/>
    </row>
    <row r="49" spans="1:10" ht="13">
      <c r="A49" s="2">
        <f t="shared" si="5"/>
        <v>36</v>
      </c>
      <c r="C49" s="37">
        <v>931</v>
      </c>
      <c r="D49" s="80">
        <f t="shared" si="4"/>
        <v>0</v>
      </c>
      <c r="E49" s="271">
        <v>0</v>
      </c>
      <c r="F49" s="60"/>
      <c r="G49" s="335">
        <v>0</v>
      </c>
      <c r="H49" s="60"/>
      <c r="I49" s="12"/>
      <c r="J49" s="6"/>
    </row>
    <row r="50" spans="1:10" ht="13">
      <c r="A50" s="2">
        <f t="shared" si="5"/>
        <v>37</v>
      </c>
      <c r="C50" s="37">
        <v>935</v>
      </c>
      <c r="D50" s="80">
        <f t="shared" si="4"/>
        <v>674197.83</v>
      </c>
      <c r="E50" s="271">
        <v>674197.83</v>
      </c>
      <c r="F50" s="60"/>
      <c r="G50" s="335">
        <v>0</v>
      </c>
      <c r="H50" s="60"/>
      <c r="I50" s="12"/>
    </row>
    <row r="51" spans="1:10" ht="13">
      <c r="A51" s="2"/>
      <c r="C51" s="37"/>
      <c r="D51" s="80"/>
      <c r="E51" s="253"/>
      <c r="F51" s="6"/>
      <c r="G51" s="6"/>
      <c r="H51" s="6"/>
      <c r="I51" s="12"/>
    </row>
    <row r="52" spans="1:10" ht="13">
      <c r="B52" s="1" t="s">
        <v>1640</v>
      </c>
    </row>
    <row r="53" spans="1:10" ht="13">
      <c r="B53" s="1"/>
      <c r="C53" s="251" t="s">
        <v>1641</v>
      </c>
      <c r="G53" s="2"/>
      <c r="H53" s="2"/>
    </row>
    <row r="54" spans="1:10" ht="13">
      <c r="B54" s="1"/>
      <c r="C54" s="323" t="s">
        <v>1642</v>
      </c>
      <c r="D54" s="323"/>
      <c r="E54" s="323"/>
      <c r="G54" s="2"/>
      <c r="H54" s="2"/>
    </row>
    <row r="55" spans="1:10" ht="13">
      <c r="B55" s="1"/>
      <c r="C55" s="39" t="s">
        <v>195</v>
      </c>
      <c r="D55" s="258" t="s">
        <v>1628</v>
      </c>
      <c r="G55" s="3" t="s">
        <v>79</v>
      </c>
      <c r="H55" s="3" t="s">
        <v>652</v>
      </c>
    </row>
    <row r="56" spans="1:10" ht="13">
      <c r="A56" s="2"/>
      <c r="B56" s="2" t="s">
        <v>515</v>
      </c>
      <c r="C56" s="709"/>
      <c r="F56" s="249" t="s">
        <v>1643</v>
      </c>
      <c r="G56" s="271">
        <v>204547459.39999998</v>
      </c>
      <c r="H56" s="250" t="s">
        <v>895</v>
      </c>
    </row>
    <row r="57" spans="1:10" ht="13">
      <c r="A57" s="2"/>
      <c r="B57" s="2" t="s">
        <v>518</v>
      </c>
      <c r="C57" s="251"/>
      <c r="F57" s="249" t="s">
        <v>1644</v>
      </c>
      <c r="G57" s="53">
        <f>E61</f>
        <v>-6503598.5180874765</v>
      </c>
      <c r="H57" s="250" t="str">
        <f>"Note 2, "&amp;B61&amp;""</f>
        <v>Note 2, d</v>
      </c>
    </row>
    <row r="58" spans="1:10" ht="13">
      <c r="A58" s="2"/>
      <c r="B58" s="2" t="s">
        <v>521</v>
      </c>
      <c r="F58" s="249" t="s">
        <v>1645</v>
      </c>
      <c r="G58" s="6">
        <f>G56-G57</f>
        <v>211051057.91808745</v>
      </c>
    </row>
    <row r="59" spans="1:10" ht="13">
      <c r="A59" s="2"/>
      <c r="C59" s="323" t="s">
        <v>1646</v>
      </c>
      <c r="D59" s="323"/>
      <c r="E59" s="323"/>
      <c r="G59" s="6"/>
    </row>
    <row r="60" spans="1:10" ht="13">
      <c r="A60" s="2"/>
      <c r="D60" s="30" t="s">
        <v>1647</v>
      </c>
      <c r="E60" s="3" t="s">
        <v>79</v>
      </c>
      <c r="F60" s="3" t="s">
        <v>652</v>
      </c>
      <c r="G60" s="6"/>
    </row>
    <row r="61" spans="1:10" ht="13">
      <c r="A61" s="2"/>
      <c r="B61" s="2" t="s">
        <v>523</v>
      </c>
      <c r="D61" t="s">
        <v>1648</v>
      </c>
      <c r="E61" s="335">
        <v>-6503598.5180874765</v>
      </c>
      <c r="F61" s="250" t="s">
        <v>1649</v>
      </c>
      <c r="G61" s="6"/>
    </row>
    <row r="62" spans="1:10" ht="13">
      <c r="A62" s="2"/>
      <c r="B62" s="2" t="s">
        <v>527</v>
      </c>
      <c r="D62" s="251" t="s">
        <v>415</v>
      </c>
      <c r="E62" s="335">
        <v>-2814299.1675939336</v>
      </c>
      <c r="F62" s="250" t="s">
        <v>1649</v>
      </c>
      <c r="G62" s="6"/>
      <c r="I62" s="326"/>
    </row>
    <row r="63" spans="1:10" ht="13">
      <c r="A63" s="2"/>
      <c r="B63" s="2" t="s">
        <v>530</v>
      </c>
      <c r="D63" s="251" t="s">
        <v>1650</v>
      </c>
      <c r="E63" s="828">
        <v>-9362216.8143185899</v>
      </c>
      <c r="F63" s="250" t="s">
        <v>1649</v>
      </c>
      <c r="G63" s="6"/>
      <c r="I63" s="6"/>
    </row>
    <row r="64" spans="1:10" ht="13">
      <c r="A64" s="2"/>
      <c r="B64" s="2" t="s">
        <v>533</v>
      </c>
      <c r="D64" s="249" t="s">
        <v>409</v>
      </c>
      <c r="E64" s="6">
        <f>SUM(E61:E63)</f>
        <v>-18680114.5</v>
      </c>
      <c r="F64" s="250" t="str">
        <f>"Sum of "&amp;B61&amp;" to "&amp;B63&amp;""</f>
        <v>Sum of d to f</v>
      </c>
      <c r="G64" s="6"/>
    </row>
    <row r="66" spans="1:8" ht="13">
      <c r="B66" s="1" t="s">
        <v>1651</v>
      </c>
    </row>
    <row r="67" spans="1:8" ht="13">
      <c r="E67" s="3" t="s">
        <v>79</v>
      </c>
      <c r="F67" s="30" t="s">
        <v>407</v>
      </c>
    </row>
    <row r="68" spans="1:8" ht="13">
      <c r="A68" s="2"/>
      <c r="B68" s="2" t="s">
        <v>515</v>
      </c>
      <c r="D68" s="249" t="s">
        <v>1652</v>
      </c>
      <c r="E68" s="279">
        <v>0</v>
      </c>
      <c r="F68" s="250" t="s">
        <v>1653</v>
      </c>
    </row>
    <row r="69" spans="1:8" ht="13">
      <c r="A69" s="2"/>
      <c r="B69" s="2" t="s">
        <v>518</v>
      </c>
      <c r="D69" s="249" t="s">
        <v>1654</v>
      </c>
      <c r="E69" s="281">
        <v>0</v>
      </c>
      <c r="F69" s="250" t="s">
        <v>1655</v>
      </c>
    </row>
    <row r="70" spans="1:8" ht="13">
      <c r="A70" s="2"/>
      <c r="B70" s="2" t="s">
        <v>521</v>
      </c>
      <c r="D70" s="249" t="s">
        <v>1656</v>
      </c>
      <c r="E70" s="62">
        <v>0</v>
      </c>
      <c r="F70" s="250" t="s">
        <v>895</v>
      </c>
    </row>
    <row r="71" spans="1:8" ht="13">
      <c r="A71" s="2"/>
      <c r="B71" s="2" t="s">
        <v>523</v>
      </c>
      <c r="D71" s="249" t="s">
        <v>1657</v>
      </c>
      <c r="E71" s="6">
        <f>E70-E69</f>
        <v>0</v>
      </c>
      <c r="F71" s="250" t="str">
        <f>""&amp;B70&amp;" - "&amp;B69&amp;""</f>
        <v>c - b</v>
      </c>
    </row>
    <row r="72" spans="1:8" ht="13">
      <c r="A72" s="2"/>
      <c r="B72" s="1" t="s">
        <v>1658</v>
      </c>
      <c r="D72" s="249"/>
      <c r="E72" s="6"/>
      <c r="F72" s="250"/>
    </row>
    <row r="73" spans="1:8" ht="13">
      <c r="A73" s="2"/>
      <c r="B73" s="1"/>
      <c r="C73" t="str">
        <f>"Amount in Line "&amp;A44&amp;", column 2 equals amount in Line "&amp;A13&amp;", column 1 because all Franchise Requirements Expenses are excluded"</f>
        <v>Amount in Line 31, column 2 equals amount in Line 8, column 1 because all Franchise Requirements Expenses are excluded</v>
      </c>
      <c r="D73" s="249"/>
      <c r="E73" s="6"/>
      <c r="F73" s="250"/>
    </row>
    <row r="74" spans="1:8" ht="13">
      <c r="A74" s="2"/>
      <c r="B74" s="1"/>
      <c r="C74" s="251" t="s">
        <v>1659</v>
      </c>
      <c r="D74" s="249"/>
      <c r="E74" s="6"/>
      <c r="F74" s="250"/>
    </row>
    <row r="75" spans="1:8" ht="13">
      <c r="A75" s="2"/>
      <c r="B75" s="1" t="s">
        <v>1660</v>
      </c>
      <c r="C75" s="251"/>
      <c r="D75" s="249"/>
      <c r="E75" s="253"/>
      <c r="F75" s="250"/>
      <c r="G75" s="251"/>
      <c r="H75" s="251"/>
    </row>
    <row r="76" spans="1:8" ht="13">
      <c r="A76" s="2"/>
      <c r="B76" s="1"/>
      <c r="C76" s="251" t="s">
        <v>1661</v>
      </c>
      <c r="D76" s="249"/>
      <c r="E76" s="253"/>
      <c r="F76" s="250"/>
      <c r="G76" s="251"/>
      <c r="H76" s="251"/>
    </row>
    <row r="77" spans="1:8" ht="13">
      <c r="A77" s="2"/>
      <c r="B77" s="1"/>
      <c r="C77" s="251" t="s">
        <v>1662</v>
      </c>
      <c r="D77" s="249"/>
      <c r="E77" s="253"/>
      <c r="F77" s="250"/>
      <c r="G77" s="251"/>
      <c r="H77" s="251"/>
    </row>
    <row r="78" spans="1:8">
      <c r="B78" s="251"/>
      <c r="C78" s="251" t="s">
        <v>1663</v>
      </c>
      <c r="D78" s="251"/>
      <c r="E78" s="251"/>
      <c r="F78" s="251"/>
      <c r="G78" s="251"/>
      <c r="H78" s="251"/>
    </row>
    <row r="79" spans="1:8" ht="13">
      <c r="B79" s="1" t="s">
        <v>433</v>
      </c>
    </row>
    <row r="80" spans="1:8">
      <c r="C80" s="251" t="str">
        <f>"1) Enter amounts of A&amp;G expenses from FERC Form 1 in Lines "&amp;A6&amp;" to "&amp;A19&amp;"."</f>
        <v>1) Enter amounts of A&amp;G expenses from FERC Form 1 in Lines 1 to 14.</v>
      </c>
    </row>
    <row r="81" spans="3:7">
      <c r="C81" s="251" t="s">
        <v>1664</v>
      </c>
      <c r="G81" t="str">
        <f>"Column 3, Line "&amp;A37&amp;""</f>
        <v>Column 3, Line 24</v>
      </c>
    </row>
    <row r="82" spans="3:7">
      <c r="C82" s="250" t="str">
        <f>"is calculated in Note 2.  The PBOPs exclusion in Column 4, Line "&amp;A43&amp;" is calculated in Note 3."</f>
        <v>is calculated in Note 2.  The PBOPs exclusion in Column 4, Line 30 is calculated in Note 3.</v>
      </c>
      <c r="G82" s="251"/>
    </row>
    <row r="83" spans="3:7">
      <c r="C83" s="250" t="s">
        <v>1665</v>
      </c>
    </row>
    <row r="84" spans="3:7">
      <c r="C84" s="250" t="s">
        <v>1666</v>
      </c>
      <c r="D84" s="249"/>
      <c r="E84" s="6"/>
      <c r="F84" s="250"/>
    </row>
    <row r="85" spans="3:7">
      <c r="C85" s="250" t="s">
        <v>1667</v>
      </c>
      <c r="D85" s="249"/>
      <c r="E85" s="6"/>
      <c r="F85" s="250"/>
    </row>
    <row r="86" spans="3:7">
      <c r="C86" s="250" t="s">
        <v>1668</v>
      </c>
    </row>
    <row r="87" spans="3:7">
      <c r="C87" s="250" t="s">
        <v>1669</v>
      </c>
    </row>
    <row r="88" spans="3:7">
      <c r="C88" s="250" t="s">
        <v>1670</v>
      </c>
    </row>
    <row r="89" spans="3:7">
      <c r="C89" s="250" t="s">
        <v>1671</v>
      </c>
    </row>
    <row r="90" spans="3:7">
      <c r="C90" s="250" t="s">
        <v>1672</v>
      </c>
    </row>
    <row r="91" spans="3:7">
      <c r="C91" s="250" t="s">
        <v>1673</v>
      </c>
      <c r="D91" s="251"/>
      <c r="E91" s="517"/>
      <c r="F91" s="517"/>
      <c r="G91" s="517"/>
    </row>
    <row r="92" spans="3:7">
      <c r="C92" s="265" t="s">
        <v>1674</v>
      </c>
      <c r="D92" s="251"/>
      <c r="E92" s="517"/>
      <c r="F92" s="517"/>
      <c r="G92" s="517"/>
    </row>
    <row r="93" spans="3:7">
      <c r="C93" s="265" t="s">
        <v>1675</v>
      </c>
      <c r="D93" s="251"/>
      <c r="E93" s="517"/>
      <c r="F93" s="517"/>
      <c r="G93" s="517"/>
    </row>
    <row r="94" spans="3:7">
      <c r="C94" s="265" t="s">
        <v>1676</v>
      </c>
      <c r="D94" s="251"/>
      <c r="E94" s="517"/>
      <c r="F94" s="517"/>
      <c r="G94" s="517"/>
    </row>
    <row r="95" spans="3:7">
      <c r="C95" s="250" t="s">
        <v>1677</v>
      </c>
      <c r="D95" s="251"/>
      <c r="E95" s="517"/>
      <c r="F95" s="517"/>
      <c r="G95" s="517"/>
    </row>
    <row r="96" spans="3:7">
      <c r="C96" s="265" t="s">
        <v>1678</v>
      </c>
      <c r="D96" s="251"/>
      <c r="E96" s="517"/>
      <c r="F96" s="517"/>
      <c r="G96" s="517"/>
    </row>
    <row r="97" spans="3:10">
      <c r="C97" s="265" t="s">
        <v>1679</v>
      </c>
      <c r="D97" s="251"/>
      <c r="E97" s="517"/>
      <c r="F97" s="517"/>
      <c r="G97" s="517"/>
    </row>
    <row r="98" spans="3:10">
      <c r="C98" s="265" t="s">
        <v>1680</v>
      </c>
      <c r="D98" s="251"/>
      <c r="E98" s="517"/>
      <c r="F98" s="517"/>
      <c r="G98" s="517"/>
    </row>
    <row r="99" spans="3:10">
      <c r="C99" s="265" t="s">
        <v>1681</v>
      </c>
      <c r="D99" s="251"/>
      <c r="E99" s="517"/>
      <c r="F99" s="517"/>
      <c r="G99" s="517"/>
    </row>
    <row r="100" spans="3:10" ht="13">
      <c r="C100" s="349" t="s">
        <v>1682</v>
      </c>
      <c r="D100" s="323"/>
      <c r="E100" s="323"/>
      <c r="F100" s="323"/>
      <c r="G100" s="323"/>
      <c r="H100" s="323"/>
      <c r="I100" s="323"/>
      <c r="J100" s="323"/>
    </row>
    <row r="101" spans="3:10">
      <c r="C101" s="251" t="s">
        <v>1683</v>
      </c>
    </row>
    <row r="102" spans="3:10">
      <c r="C102" s="349" t="s">
        <v>1684</v>
      </c>
      <c r="D102" s="323"/>
      <c r="E102" s="323"/>
      <c r="F102" s="323"/>
      <c r="G102" s="323"/>
      <c r="H102" s="323"/>
      <c r="I102" s="323"/>
    </row>
    <row r="103" spans="3:10">
      <c r="C103" s="251" t="str">
        <f>"4) Determine the PBOPs exclusion.  The authorized amount of PBOPs expense (line "&amp;B68&amp;") may only be revised"</f>
        <v>4) Determine the PBOPs exclusion.  The authorized amount of PBOPs expense (line a) may only be revised</v>
      </c>
    </row>
    <row r="104" spans="3:10">
      <c r="C104" s="251" t="s">
        <v>1685</v>
      </c>
    </row>
    <row r="105" spans="3:10">
      <c r="C105" s="251" t="s">
        <v>1686</v>
      </c>
    </row>
    <row r="106" spans="3:10">
      <c r="C106" s="251" t="s">
        <v>1687</v>
      </c>
      <c r="I106" s="258" t="s">
        <v>2943</v>
      </c>
      <c r="J106" s="258"/>
    </row>
    <row r="107" spans="3:10">
      <c r="C107" s="251" t="s">
        <v>1688</v>
      </c>
    </row>
    <row r="108" spans="3:10">
      <c r="C108" t="s">
        <v>1689</v>
      </c>
    </row>
    <row r="109" spans="3:10">
      <c r="C109" t="s">
        <v>1690</v>
      </c>
    </row>
    <row r="110" spans="3:10">
      <c r="C110" t="s">
        <v>1691</v>
      </c>
    </row>
    <row r="111" spans="3:10">
      <c r="C111" t="s">
        <v>1692</v>
      </c>
    </row>
    <row r="112" spans="3:10">
      <c r="C112" t="s">
        <v>1693</v>
      </c>
    </row>
    <row r="113" spans="3:3">
      <c r="C113" s="715"/>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&amp;RTO2023 Draft Annual Update 
Attachment 1</oddHeader>
    <oddFooter>&amp;R&amp;A</oddFooter>
  </headerFooter>
  <rowBreaks count="2" manualBreakCount="2">
    <brk id="51" max="10" man="1"/>
    <brk id="7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96"/>
  <sheetViews>
    <sheetView zoomScaleNormal="100" zoomScalePageLayoutView="60" workbookViewId="0">
      <selection activeCell="A3" sqref="A3"/>
    </sheetView>
  </sheetViews>
  <sheetFormatPr defaultRowHeight="12.5"/>
  <cols>
    <col min="1" max="1" width="7" style="11" customWidth="1"/>
    <col min="2" max="2" width="8.54296875" style="11" customWidth="1"/>
    <col min="3" max="3" width="9.54296875" style="11" customWidth="1"/>
    <col min="4" max="4" width="51.54296875" style="11" customWidth="1"/>
    <col min="5" max="6" width="16.453125" style="188" customWidth="1"/>
    <col min="7" max="7" width="18.453125" style="188" bestFit="1" customWidth="1"/>
    <col min="8" max="8" width="15.54296875" style="50" bestFit="1" customWidth="1"/>
    <col min="9" max="9" width="16.54296875" style="50" bestFit="1" customWidth="1"/>
    <col min="10" max="10" width="15.54296875" style="188" customWidth="1"/>
    <col min="11" max="11" width="6.54296875" style="168" customWidth="1"/>
    <col min="12" max="12" width="16.453125" style="162" customWidth="1"/>
    <col min="13" max="13" width="17.453125" style="50" bestFit="1" customWidth="1"/>
    <col min="14" max="14" width="18.453125" style="188" bestFit="1" customWidth="1"/>
    <col min="15" max="15" width="8.54296875" style="50" customWidth="1"/>
  </cols>
  <sheetData>
    <row r="1" spans="1:15" ht="13">
      <c r="A1" s="179"/>
      <c r="B1" s="111" t="s">
        <v>1488</v>
      </c>
      <c r="C1" s="111" t="s">
        <v>1492</v>
      </c>
      <c r="D1" s="111" t="s">
        <v>1498</v>
      </c>
      <c r="E1" s="111" t="s">
        <v>1503</v>
      </c>
      <c r="F1" s="111" t="s">
        <v>1511</v>
      </c>
      <c r="G1" s="111" t="s">
        <v>1501</v>
      </c>
      <c r="H1" s="111" t="s">
        <v>1694</v>
      </c>
      <c r="I1" s="111" t="s">
        <v>1695</v>
      </c>
      <c r="J1" s="111" t="s">
        <v>1696</v>
      </c>
      <c r="K1" s="111" t="s">
        <v>1697</v>
      </c>
      <c r="L1" s="111" t="s">
        <v>1698</v>
      </c>
      <c r="M1" s="111" t="s">
        <v>1699</v>
      </c>
      <c r="N1" s="111" t="s">
        <v>1700</v>
      </c>
      <c r="O1" s="111" t="s">
        <v>1701</v>
      </c>
    </row>
    <row r="2" spans="1:15">
      <c r="A2" s="974"/>
      <c r="B2" s="975"/>
      <c r="C2" s="975"/>
      <c r="D2" s="975"/>
      <c r="E2" s="976"/>
      <c r="F2" s="976"/>
      <c r="G2" s="1148" t="s">
        <v>1702</v>
      </c>
      <c r="H2" s="1126"/>
      <c r="I2" s="1127"/>
      <c r="J2" s="1148" t="s">
        <v>1703</v>
      </c>
      <c r="K2" s="1126"/>
      <c r="L2" s="1126"/>
      <c r="M2" s="1127"/>
      <c r="N2" s="977" t="s">
        <v>1704</v>
      </c>
      <c r="O2" s="974"/>
    </row>
    <row r="3" spans="1:15" ht="26.25" customHeight="1">
      <c r="A3" s="112" t="s">
        <v>273</v>
      </c>
      <c r="B3" s="113" t="s">
        <v>1705</v>
      </c>
      <c r="C3" s="113" t="s">
        <v>1706</v>
      </c>
      <c r="D3" s="113" t="s">
        <v>1707</v>
      </c>
      <c r="E3" s="156" t="s">
        <v>1708</v>
      </c>
      <c r="F3" s="157" t="s">
        <v>1709</v>
      </c>
      <c r="G3" s="157" t="s">
        <v>249</v>
      </c>
      <c r="H3" s="112" t="s">
        <v>1546</v>
      </c>
      <c r="I3" s="112" t="s">
        <v>1710</v>
      </c>
      <c r="J3" s="156" t="s">
        <v>249</v>
      </c>
      <c r="K3" s="167" t="s">
        <v>1711</v>
      </c>
      <c r="L3" s="158" t="s">
        <v>1712</v>
      </c>
      <c r="M3" s="112" t="s">
        <v>1159</v>
      </c>
      <c r="N3" s="156" t="s">
        <v>249</v>
      </c>
      <c r="O3" s="112" t="s">
        <v>100</v>
      </c>
    </row>
    <row r="4" spans="1:15">
      <c r="A4" s="521" t="s">
        <v>1713</v>
      </c>
      <c r="B4" s="647">
        <v>450</v>
      </c>
      <c r="C4" s="647" t="s">
        <v>1714</v>
      </c>
      <c r="D4" s="520" t="s">
        <v>1715</v>
      </c>
      <c r="E4" s="556">
        <v>5489577.9100000001</v>
      </c>
      <c r="F4" s="585" t="s">
        <v>1702</v>
      </c>
      <c r="G4" s="978">
        <f>IF(F4=$G$2,E4,0)</f>
        <v>5489577.9100000001</v>
      </c>
      <c r="H4" s="299">
        <v>0</v>
      </c>
      <c r="I4" s="518">
        <f>G4-H4</f>
        <v>5489577.9100000001</v>
      </c>
      <c r="J4" s="978">
        <f>IF(F4=$J$2,E4,0)</f>
        <v>0</v>
      </c>
      <c r="K4" s="979"/>
      <c r="L4" s="585"/>
      <c r="M4" s="518">
        <f>J4-L4</f>
        <v>0</v>
      </c>
      <c r="N4" s="978">
        <f>IF(F4=$N$2,E4,0)</f>
        <v>0</v>
      </c>
      <c r="O4" s="299">
        <v>1</v>
      </c>
    </row>
    <row r="5" spans="1:15">
      <c r="A5" s="521" t="s">
        <v>1716</v>
      </c>
      <c r="B5" s="647">
        <v>450</v>
      </c>
      <c r="C5" s="520" t="s">
        <v>1717</v>
      </c>
      <c r="D5" s="520" t="s">
        <v>1718</v>
      </c>
      <c r="E5" s="556">
        <v>3294824.11</v>
      </c>
      <c r="F5" s="585" t="s">
        <v>1702</v>
      </c>
      <c r="G5" s="978">
        <f>IF(F5=$G$2,E5,0)</f>
        <v>3294824.11</v>
      </c>
      <c r="H5" s="299">
        <v>0</v>
      </c>
      <c r="I5" s="518">
        <f>G5-H5</f>
        <v>3294824.11</v>
      </c>
      <c r="J5" s="978">
        <f>IF(F5=$J$2,E5,0)</f>
        <v>0</v>
      </c>
      <c r="K5" s="979"/>
      <c r="L5" s="585"/>
      <c r="M5" s="518">
        <f>J5-L5</f>
        <v>0</v>
      </c>
      <c r="N5" s="978">
        <f>IF(F5=$N$2,E5,0)</f>
        <v>0</v>
      </c>
      <c r="O5" s="299">
        <v>1</v>
      </c>
    </row>
    <row r="6" spans="1:15">
      <c r="A6" s="613"/>
      <c r="B6" s="872"/>
      <c r="C6" s="874"/>
      <c r="D6" s="614"/>
      <c r="E6" s="980"/>
      <c r="F6" s="980"/>
      <c r="G6" s="585"/>
      <c r="H6" s="615"/>
      <c r="I6" s="412"/>
      <c r="J6" s="585"/>
      <c r="K6" s="981"/>
      <c r="L6" s="585"/>
      <c r="M6" s="412"/>
      <c r="N6" s="585"/>
      <c r="O6" s="615"/>
    </row>
    <row r="7" spans="1:15">
      <c r="A7" s="613"/>
      <c r="B7" s="872"/>
      <c r="C7" s="874"/>
      <c r="D7" s="614"/>
      <c r="E7" s="980"/>
      <c r="F7" s="980"/>
      <c r="G7" s="585"/>
      <c r="H7" s="615"/>
      <c r="I7" s="412"/>
      <c r="J7" s="585"/>
      <c r="K7" s="981"/>
      <c r="L7" s="585"/>
      <c r="M7" s="412"/>
      <c r="N7" s="585"/>
      <c r="O7" s="615"/>
    </row>
    <row r="8" spans="1:15" ht="13">
      <c r="A8" s="521">
        <v>2</v>
      </c>
      <c r="B8" s="1125" t="s">
        <v>1719</v>
      </c>
      <c r="C8" s="1126"/>
      <c r="D8" s="1127"/>
      <c r="E8" s="165">
        <f>SUM(E4:E7)</f>
        <v>8784402.0199999996</v>
      </c>
      <c r="F8" s="172"/>
      <c r="G8" s="165">
        <f>SUM(G4:G7)</f>
        <v>8784402.0199999996</v>
      </c>
      <c r="H8" s="111">
        <f>SUM(H4:H7)</f>
        <v>0</v>
      </c>
      <c r="I8" s="165">
        <f>SUM(I4:I7)</f>
        <v>8784402.0199999996</v>
      </c>
      <c r="J8" s="165">
        <f>SUM(J4:J7)</f>
        <v>0</v>
      </c>
      <c r="K8" s="172"/>
      <c r="L8" s="165">
        <f>SUM(L4:L7)</f>
        <v>0</v>
      </c>
      <c r="M8" s="165">
        <f>SUM(M4:M7)</f>
        <v>0</v>
      </c>
      <c r="N8" s="165">
        <f>SUM(N4:N7)</f>
        <v>0</v>
      </c>
      <c r="O8" s="299"/>
    </row>
    <row r="9" spans="1:15" ht="12.75" customHeight="1">
      <c r="A9" s="521">
        <v>3</v>
      </c>
      <c r="B9" s="1149" t="s">
        <v>1720</v>
      </c>
      <c r="C9" s="1150"/>
      <c r="D9" s="1151"/>
      <c r="E9" s="612">
        <v>8784402</v>
      </c>
      <c r="F9" s="164"/>
      <c r="G9" s="161"/>
      <c r="H9" s="164"/>
      <c r="I9" s="164"/>
      <c r="J9" s="161"/>
      <c r="K9" s="164"/>
      <c r="L9" s="161"/>
      <c r="M9" s="161"/>
      <c r="N9" s="161"/>
      <c r="O9" s="2"/>
    </row>
    <row r="10" spans="1:15" ht="13">
      <c r="A10" s="4"/>
      <c r="B10" s="1"/>
      <c r="C10" s="114"/>
      <c r="D10" s="114"/>
      <c r="E10" s="161"/>
      <c r="F10" s="161"/>
      <c r="G10" s="161"/>
      <c r="H10" s="164"/>
      <c r="I10" s="164"/>
      <c r="J10" s="161"/>
      <c r="K10" s="164"/>
      <c r="L10" s="161"/>
      <c r="M10" s="161"/>
      <c r="N10" s="161"/>
      <c r="O10" s="2"/>
    </row>
    <row r="11" spans="1:15">
      <c r="A11" s="521" t="s">
        <v>1053</v>
      </c>
      <c r="B11" s="647">
        <v>451</v>
      </c>
      <c r="C11" s="520" t="s">
        <v>1721</v>
      </c>
      <c r="D11" s="520" t="s">
        <v>1722</v>
      </c>
      <c r="E11" s="556">
        <v>65444.38</v>
      </c>
      <c r="F11" s="585" t="s">
        <v>1702</v>
      </c>
      <c r="G11" s="836">
        <f t="shared" ref="G11:G20" si="0">IF(F11=$G$2,E11,0)</f>
        <v>65444.38</v>
      </c>
      <c r="H11" s="837">
        <v>0</v>
      </c>
      <c r="I11" s="837">
        <f>G11-H11</f>
        <v>65444.38</v>
      </c>
      <c r="J11" s="836">
        <f t="shared" ref="J11:J20" si="1">IF(F11=$J$2,E11,0)</f>
        <v>0</v>
      </c>
      <c r="K11" s="836"/>
      <c r="L11" s="831"/>
      <c r="M11" s="837">
        <f t="shared" ref="M11:M17" si="2">J11-L11</f>
        <v>0</v>
      </c>
      <c r="N11" s="836">
        <f t="shared" ref="N11:N18" si="3">IF(F11=$N$2,E11,0)</f>
        <v>0</v>
      </c>
      <c r="O11" s="837">
        <v>1</v>
      </c>
    </row>
    <row r="12" spans="1:15">
      <c r="A12" s="521" t="s">
        <v>1723</v>
      </c>
      <c r="B12" s="647">
        <v>451</v>
      </c>
      <c r="C12" s="520" t="s">
        <v>1724</v>
      </c>
      <c r="D12" s="520" t="s">
        <v>1725</v>
      </c>
      <c r="E12" s="556">
        <v>485579.87</v>
      </c>
      <c r="F12" s="585" t="s">
        <v>1702</v>
      </c>
      <c r="G12" s="836">
        <f>IF(F12=$G$2,E12,0)</f>
        <v>485579.87</v>
      </c>
      <c r="H12" s="837">
        <v>0</v>
      </c>
      <c r="I12" s="837">
        <f t="shared" ref="I12:I20" si="4">G12-H12</f>
        <v>485579.87</v>
      </c>
      <c r="J12" s="836">
        <f t="shared" si="1"/>
        <v>0</v>
      </c>
      <c r="K12" s="836"/>
      <c r="L12" s="831"/>
      <c r="M12" s="837">
        <f t="shared" si="2"/>
        <v>0</v>
      </c>
      <c r="N12" s="836">
        <f t="shared" si="3"/>
        <v>0</v>
      </c>
      <c r="O12" s="837">
        <v>1</v>
      </c>
    </row>
    <row r="13" spans="1:15">
      <c r="A13" s="521" t="s">
        <v>1726</v>
      </c>
      <c r="B13" s="647">
        <v>451</v>
      </c>
      <c r="C13" s="520" t="s">
        <v>1727</v>
      </c>
      <c r="D13" s="520" t="s">
        <v>1728</v>
      </c>
      <c r="E13" s="556"/>
      <c r="F13" s="585" t="s">
        <v>1702</v>
      </c>
      <c r="G13" s="836">
        <f t="shared" si="0"/>
        <v>0</v>
      </c>
      <c r="H13" s="837">
        <v>0</v>
      </c>
      <c r="I13" s="837">
        <f t="shared" si="4"/>
        <v>0</v>
      </c>
      <c r="J13" s="836">
        <f t="shared" si="1"/>
        <v>0</v>
      </c>
      <c r="K13" s="836"/>
      <c r="L13" s="831"/>
      <c r="M13" s="837">
        <f t="shared" si="2"/>
        <v>0</v>
      </c>
      <c r="N13" s="836">
        <f t="shared" si="3"/>
        <v>0</v>
      </c>
      <c r="O13" s="837">
        <v>1</v>
      </c>
    </row>
    <row r="14" spans="1:15">
      <c r="A14" s="521" t="s">
        <v>1729</v>
      </c>
      <c r="B14" s="647">
        <v>451</v>
      </c>
      <c r="C14" s="520" t="s">
        <v>1730</v>
      </c>
      <c r="D14" s="520" t="s">
        <v>1731</v>
      </c>
      <c r="E14" s="556">
        <v>1002330.48</v>
      </c>
      <c r="F14" s="585" t="s">
        <v>1702</v>
      </c>
      <c r="G14" s="836">
        <f t="shared" si="0"/>
        <v>1002330.48</v>
      </c>
      <c r="H14" s="837">
        <v>0</v>
      </c>
      <c r="I14" s="837">
        <f t="shared" si="4"/>
        <v>1002330.48</v>
      </c>
      <c r="J14" s="836">
        <f t="shared" si="1"/>
        <v>0</v>
      </c>
      <c r="K14" s="836"/>
      <c r="L14" s="831"/>
      <c r="M14" s="837">
        <f t="shared" si="2"/>
        <v>0</v>
      </c>
      <c r="N14" s="836">
        <f t="shared" si="3"/>
        <v>0</v>
      </c>
      <c r="O14" s="837">
        <v>1</v>
      </c>
    </row>
    <row r="15" spans="1:15">
      <c r="A15" s="521" t="s">
        <v>1732</v>
      </c>
      <c r="B15" s="647">
        <v>451</v>
      </c>
      <c r="C15" s="520" t="s">
        <v>1733</v>
      </c>
      <c r="D15" s="520" t="s">
        <v>1734</v>
      </c>
      <c r="E15" s="556"/>
      <c r="F15" s="585" t="s">
        <v>1702</v>
      </c>
      <c r="G15" s="836">
        <f t="shared" si="0"/>
        <v>0</v>
      </c>
      <c r="H15" s="837">
        <v>0</v>
      </c>
      <c r="I15" s="837">
        <f t="shared" si="4"/>
        <v>0</v>
      </c>
      <c r="J15" s="836">
        <f t="shared" si="1"/>
        <v>0</v>
      </c>
      <c r="K15" s="836"/>
      <c r="L15" s="831"/>
      <c r="M15" s="837">
        <f t="shared" si="2"/>
        <v>0</v>
      </c>
      <c r="N15" s="836">
        <f t="shared" si="3"/>
        <v>0</v>
      </c>
      <c r="O15" s="837">
        <v>1</v>
      </c>
    </row>
    <row r="16" spans="1:15">
      <c r="A16" s="521" t="s">
        <v>1735</v>
      </c>
      <c r="B16" s="647">
        <v>451</v>
      </c>
      <c r="C16" s="520" t="s">
        <v>1736</v>
      </c>
      <c r="D16" s="520" t="s">
        <v>1737</v>
      </c>
      <c r="E16" s="830">
        <v>-49</v>
      </c>
      <c r="F16" s="585" t="s">
        <v>1702</v>
      </c>
      <c r="G16" s="836">
        <f t="shared" si="0"/>
        <v>-49</v>
      </c>
      <c r="H16" s="837">
        <v>0</v>
      </c>
      <c r="I16" s="837">
        <f t="shared" si="4"/>
        <v>-49</v>
      </c>
      <c r="J16" s="836">
        <f t="shared" si="1"/>
        <v>0</v>
      </c>
      <c r="K16" s="836"/>
      <c r="L16" s="831"/>
      <c r="M16" s="837">
        <f t="shared" si="2"/>
        <v>0</v>
      </c>
      <c r="N16" s="836">
        <f t="shared" si="3"/>
        <v>0</v>
      </c>
      <c r="O16" s="837">
        <v>1</v>
      </c>
    </row>
    <row r="17" spans="1:15">
      <c r="A17" s="521" t="s">
        <v>1738</v>
      </c>
      <c r="B17" s="647">
        <v>451</v>
      </c>
      <c r="C17" s="520" t="s">
        <v>1739</v>
      </c>
      <c r="D17" s="520" t="s">
        <v>1740</v>
      </c>
      <c r="E17" s="556">
        <v>17</v>
      </c>
      <c r="F17" s="585" t="s">
        <v>1702</v>
      </c>
      <c r="G17" s="836">
        <f t="shared" si="0"/>
        <v>17</v>
      </c>
      <c r="H17" s="837">
        <v>0</v>
      </c>
      <c r="I17" s="837">
        <f t="shared" si="4"/>
        <v>17</v>
      </c>
      <c r="J17" s="836">
        <f t="shared" si="1"/>
        <v>0</v>
      </c>
      <c r="K17" s="836"/>
      <c r="L17" s="831"/>
      <c r="M17" s="837">
        <f t="shared" si="2"/>
        <v>0</v>
      </c>
      <c r="N17" s="836">
        <f t="shared" si="3"/>
        <v>0</v>
      </c>
      <c r="O17" s="837">
        <v>1</v>
      </c>
    </row>
    <row r="18" spans="1:15">
      <c r="A18" s="521" t="s">
        <v>1741</v>
      </c>
      <c r="B18" s="647">
        <v>451</v>
      </c>
      <c r="C18" s="520" t="s">
        <v>1742</v>
      </c>
      <c r="D18" s="520" t="s">
        <v>1743</v>
      </c>
      <c r="E18" s="830">
        <v>0</v>
      </c>
      <c r="F18" s="585" t="s">
        <v>1703</v>
      </c>
      <c r="G18" s="836">
        <f t="shared" si="0"/>
        <v>0</v>
      </c>
      <c r="H18" s="837">
        <v>0</v>
      </c>
      <c r="I18" s="837">
        <f t="shared" si="4"/>
        <v>0</v>
      </c>
      <c r="J18" s="836">
        <f>IF(F18=$J$2,E18,0)</f>
        <v>0</v>
      </c>
      <c r="K18" s="982" t="s">
        <v>1744</v>
      </c>
      <c r="L18" s="831"/>
      <c r="M18" s="837">
        <f t="shared" ref="M18:M26" si="5">J18-L18</f>
        <v>0</v>
      </c>
      <c r="N18" s="836">
        <f t="shared" si="3"/>
        <v>0</v>
      </c>
      <c r="O18" s="837">
        <v>2</v>
      </c>
    </row>
    <row r="19" spans="1:15">
      <c r="A19" s="521" t="s">
        <v>1745</v>
      </c>
      <c r="B19" s="647">
        <v>451</v>
      </c>
      <c r="C19" s="520" t="s">
        <v>1746</v>
      </c>
      <c r="D19" s="520" t="s">
        <v>1747</v>
      </c>
      <c r="E19" s="556">
        <v>1148876.6499999999</v>
      </c>
      <c r="F19" s="585" t="s">
        <v>1704</v>
      </c>
      <c r="G19" s="836">
        <f>IF(F19=$G$2,E19,0)</f>
        <v>0</v>
      </c>
      <c r="H19" s="837">
        <v>0</v>
      </c>
      <c r="I19" s="837">
        <f t="shared" si="4"/>
        <v>0</v>
      </c>
      <c r="J19" s="836">
        <f>IF(F19=$J$2,E19,0)</f>
        <v>0</v>
      </c>
      <c r="K19" s="836"/>
      <c r="L19" s="831"/>
      <c r="M19" s="837">
        <f t="shared" si="5"/>
        <v>0</v>
      </c>
      <c r="N19" s="836">
        <f t="shared" ref="N19:N27" si="6">IF(F19=$N$2,E19,0)</f>
        <v>1148876.6499999999</v>
      </c>
      <c r="O19" s="837">
        <v>6</v>
      </c>
    </row>
    <row r="20" spans="1:15">
      <c r="A20" s="521" t="s">
        <v>1748</v>
      </c>
      <c r="B20" s="647">
        <v>451</v>
      </c>
      <c r="C20" s="647">
        <v>4182120</v>
      </c>
      <c r="D20" s="300" t="s">
        <v>1749</v>
      </c>
      <c r="E20" s="556"/>
      <c r="F20" s="585" t="s">
        <v>1702</v>
      </c>
      <c r="G20" s="836">
        <f t="shared" si="0"/>
        <v>0</v>
      </c>
      <c r="H20" s="837">
        <v>0</v>
      </c>
      <c r="I20" s="837">
        <f t="shared" si="4"/>
        <v>0</v>
      </c>
      <c r="J20" s="836">
        <f t="shared" si="1"/>
        <v>0</v>
      </c>
      <c r="K20" s="836"/>
      <c r="L20" s="831"/>
      <c r="M20" s="837">
        <f t="shared" si="5"/>
        <v>0</v>
      </c>
      <c r="N20" s="836">
        <f t="shared" si="6"/>
        <v>0</v>
      </c>
      <c r="O20" s="837">
        <v>1</v>
      </c>
    </row>
    <row r="21" spans="1:15">
      <c r="A21" s="521" t="s">
        <v>1750</v>
      </c>
      <c r="B21" s="647">
        <v>451</v>
      </c>
      <c r="C21" s="647">
        <v>4192152</v>
      </c>
      <c r="D21" s="300" t="s">
        <v>1751</v>
      </c>
      <c r="E21" s="556">
        <v>270</v>
      </c>
      <c r="F21" s="585" t="s">
        <v>1704</v>
      </c>
      <c r="G21" s="836">
        <f t="shared" ref="G21:G26" si="7">IF(F21=$G$2,E21,0)</f>
        <v>0</v>
      </c>
      <c r="H21" s="837">
        <v>0</v>
      </c>
      <c r="I21" s="837">
        <f t="shared" ref="I21:I27" si="8">G21-H21</f>
        <v>0</v>
      </c>
      <c r="J21" s="836">
        <f t="shared" ref="J21:J27" si="9">IF(F21=$J$2,E21,0)</f>
        <v>0</v>
      </c>
      <c r="K21" s="836"/>
      <c r="L21" s="831"/>
      <c r="M21" s="837">
        <f t="shared" si="5"/>
        <v>0</v>
      </c>
      <c r="N21" s="836">
        <f t="shared" si="6"/>
        <v>270</v>
      </c>
      <c r="O21" s="837">
        <v>1</v>
      </c>
    </row>
    <row r="22" spans="1:15">
      <c r="A22" s="521" t="s">
        <v>1752</v>
      </c>
      <c r="B22" s="647">
        <v>451</v>
      </c>
      <c r="C22" s="647">
        <v>4192155</v>
      </c>
      <c r="D22" s="300" t="s">
        <v>1753</v>
      </c>
      <c r="E22" s="556">
        <v>29470</v>
      </c>
      <c r="F22" s="585" t="s">
        <v>1704</v>
      </c>
      <c r="G22" s="836">
        <f t="shared" si="7"/>
        <v>0</v>
      </c>
      <c r="H22" s="837">
        <v>0</v>
      </c>
      <c r="I22" s="837">
        <f t="shared" si="8"/>
        <v>0</v>
      </c>
      <c r="J22" s="836">
        <f t="shared" si="9"/>
        <v>0</v>
      </c>
      <c r="K22" s="836"/>
      <c r="L22" s="831"/>
      <c r="M22" s="837">
        <f t="shared" si="5"/>
        <v>0</v>
      </c>
      <c r="N22" s="836">
        <f t="shared" si="6"/>
        <v>29470</v>
      </c>
      <c r="O22" s="837">
        <v>1</v>
      </c>
    </row>
    <row r="23" spans="1:15">
      <c r="A23" s="521" t="s">
        <v>1754</v>
      </c>
      <c r="B23" s="647">
        <v>451</v>
      </c>
      <c r="C23" s="647">
        <v>4192158</v>
      </c>
      <c r="D23" s="300" t="s">
        <v>1755</v>
      </c>
      <c r="E23" s="556">
        <v>6300</v>
      </c>
      <c r="F23" s="585" t="s">
        <v>1704</v>
      </c>
      <c r="G23" s="836">
        <f t="shared" si="7"/>
        <v>0</v>
      </c>
      <c r="H23" s="837">
        <v>0</v>
      </c>
      <c r="I23" s="837">
        <f t="shared" si="8"/>
        <v>0</v>
      </c>
      <c r="J23" s="836">
        <f t="shared" si="9"/>
        <v>0</v>
      </c>
      <c r="K23" s="836"/>
      <c r="L23" s="831"/>
      <c r="M23" s="837">
        <f t="shared" si="5"/>
        <v>0</v>
      </c>
      <c r="N23" s="836">
        <f t="shared" si="6"/>
        <v>6300</v>
      </c>
      <c r="O23" s="837">
        <v>1</v>
      </c>
    </row>
    <row r="24" spans="1:15">
      <c r="A24" s="521" t="s">
        <v>1756</v>
      </c>
      <c r="B24" s="647">
        <v>451</v>
      </c>
      <c r="C24" s="647">
        <v>4192160</v>
      </c>
      <c r="D24" s="300" t="s">
        <v>1757</v>
      </c>
      <c r="E24" s="556">
        <v>138170</v>
      </c>
      <c r="F24" s="585" t="s">
        <v>1704</v>
      </c>
      <c r="G24" s="836">
        <f t="shared" si="7"/>
        <v>0</v>
      </c>
      <c r="H24" s="837">
        <v>0</v>
      </c>
      <c r="I24" s="837">
        <f t="shared" si="8"/>
        <v>0</v>
      </c>
      <c r="J24" s="836">
        <f t="shared" si="9"/>
        <v>0</v>
      </c>
      <c r="K24" s="836"/>
      <c r="L24" s="831"/>
      <c r="M24" s="837">
        <f t="shared" si="5"/>
        <v>0</v>
      </c>
      <c r="N24" s="836">
        <f t="shared" si="6"/>
        <v>138170</v>
      </c>
      <c r="O24" s="837">
        <v>1</v>
      </c>
    </row>
    <row r="25" spans="1:15">
      <c r="A25" s="521" t="s">
        <v>1758</v>
      </c>
      <c r="B25" s="647">
        <v>451</v>
      </c>
      <c r="C25" s="647">
        <v>4192135</v>
      </c>
      <c r="D25" s="724" t="s">
        <v>1759</v>
      </c>
      <c r="E25" s="556">
        <v>2906174.12</v>
      </c>
      <c r="F25" s="585" t="s">
        <v>1702</v>
      </c>
      <c r="G25" s="836">
        <f t="shared" si="7"/>
        <v>2906174.12</v>
      </c>
      <c r="H25" s="837">
        <v>0</v>
      </c>
      <c r="I25" s="837">
        <f t="shared" si="8"/>
        <v>2906174.12</v>
      </c>
      <c r="J25" s="836">
        <f t="shared" si="9"/>
        <v>0</v>
      </c>
      <c r="K25" s="836"/>
      <c r="L25" s="831"/>
      <c r="M25" s="837">
        <f t="shared" si="5"/>
        <v>0</v>
      </c>
      <c r="N25" s="836">
        <f t="shared" si="6"/>
        <v>0</v>
      </c>
      <c r="O25" s="837">
        <v>1</v>
      </c>
    </row>
    <row r="26" spans="1:15">
      <c r="A26" s="521" t="s">
        <v>1760</v>
      </c>
      <c r="B26" s="647">
        <v>451</v>
      </c>
      <c r="C26" s="647">
        <v>4192145</v>
      </c>
      <c r="D26" s="724" t="s">
        <v>1761</v>
      </c>
      <c r="E26" s="556">
        <v>1506365.35</v>
      </c>
      <c r="F26" s="585" t="s">
        <v>1702</v>
      </c>
      <c r="G26" s="836">
        <f t="shared" si="7"/>
        <v>1506365.35</v>
      </c>
      <c r="H26" s="837">
        <v>0</v>
      </c>
      <c r="I26" s="837">
        <f t="shared" si="8"/>
        <v>1506365.35</v>
      </c>
      <c r="J26" s="836">
        <f t="shared" si="9"/>
        <v>0</v>
      </c>
      <c r="K26" s="836"/>
      <c r="L26" s="831"/>
      <c r="M26" s="837">
        <f t="shared" si="5"/>
        <v>0</v>
      </c>
      <c r="N26" s="836">
        <f t="shared" si="6"/>
        <v>0</v>
      </c>
      <c r="O26" s="837">
        <v>1</v>
      </c>
    </row>
    <row r="27" spans="1:15">
      <c r="A27" s="521" t="s">
        <v>1762</v>
      </c>
      <c r="B27" s="647">
        <v>451</v>
      </c>
      <c r="C27" s="647">
        <v>4192150</v>
      </c>
      <c r="D27" s="724" t="s">
        <v>1763</v>
      </c>
      <c r="E27" s="556">
        <v>1695</v>
      </c>
      <c r="F27" s="585" t="s">
        <v>1702</v>
      </c>
      <c r="G27" s="836">
        <f>IF(F27=$G$2,E27,0)</f>
        <v>1695</v>
      </c>
      <c r="H27" s="837">
        <v>0</v>
      </c>
      <c r="I27" s="837">
        <f t="shared" si="8"/>
        <v>1695</v>
      </c>
      <c r="J27" s="836">
        <f t="shared" si="9"/>
        <v>0</v>
      </c>
      <c r="K27" s="836"/>
      <c r="L27" s="831"/>
      <c r="M27" s="837">
        <f>J27-L27</f>
        <v>0</v>
      </c>
      <c r="N27" s="836">
        <f t="shared" si="6"/>
        <v>0</v>
      </c>
      <c r="O27" s="837">
        <v>1</v>
      </c>
    </row>
    <row r="28" spans="1:15">
      <c r="A28" s="521" t="s">
        <v>1764</v>
      </c>
      <c r="B28" s="647">
        <v>451</v>
      </c>
      <c r="C28" s="647" t="s">
        <v>1765</v>
      </c>
      <c r="D28" s="724" t="s">
        <v>1766</v>
      </c>
      <c r="E28" s="585">
        <v>5787150</v>
      </c>
      <c r="F28" s="585" t="s">
        <v>1702</v>
      </c>
      <c r="G28" s="836">
        <f t="shared" ref="G28:G29" si="10">IF(F28=$G$2,E28,0)</f>
        <v>5787150</v>
      </c>
      <c r="H28" s="837">
        <v>0</v>
      </c>
      <c r="I28" s="837">
        <f t="shared" ref="I28:I29" si="11">G28-H28</f>
        <v>5787150</v>
      </c>
      <c r="J28" s="836">
        <f t="shared" ref="J28:J29" si="12">IF(F28=$J$2,E28,0)</f>
        <v>0</v>
      </c>
      <c r="K28" s="836"/>
      <c r="L28" s="831"/>
      <c r="M28" s="837">
        <f t="shared" ref="M28:M29" si="13">J28-L28</f>
        <v>0</v>
      </c>
      <c r="N28" s="836">
        <f t="shared" ref="N28:N29" si="14">IF(F28=$N$2,E28,0)</f>
        <v>0</v>
      </c>
      <c r="O28" s="837">
        <v>1</v>
      </c>
    </row>
    <row r="29" spans="1:15">
      <c r="A29" s="521" t="s">
        <v>1767</v>
      </c>
      <c r="B29" s="647">
        <v>451</v>
      </c>
      <c r="C29" s="647" t="s">
        <v>1768</v>
      </c>
      <c r="D29" s="724" t="s">
        <v>1769</v>
      </c>
      <c r="E29" s="835">
        <v>-1060080</v>
      </c>
      <c r="F29" s="585" t="s">
        <v>1702</v>
      </c>
      <c r="G29" s="836">
        <f t="shared" si="10"/>
        <v>-1060080</v>
      </c>
      <c r="H29" s="837">
        <v>0</v>
      </c>
      <c r="I29" s="837">
        <f t="shared" si="11"/>
        <v>-1060080</v>
      </c>
      <c r="J29" s="836">
        <f t="shared" si="12"/>
        <v>0</v>
      </c>
      <c r="K29" s="836"/>
      <c r="L29" s="831"/>
      <c r="M29" s="837">
        <f t="shared" si="13"/>
        <v>0</v>
      </c>
      <c r="N29" s="836">
        <f t="shared" si="14"/>
        <v>0</v>
      </c>
      <c r="O29" s="837">
        <v>1</v>
      </c>
    </row>
    <row r="30" spans="1:15" s="251" customFormat="1">
      <c r="A30" s="521" t="s">
        <v>1770</v>
      </c>
      <c r="B30" s="647">
        <v>451</v>
      </c>
      <c r="C30" s="647" t="s">
        <v>1771</v>
      </c>
      <c r="D30" s="724" t="s">
        <v>1772</v>
      </c>
      <c r="E30" s="585">
        <v>235200</v>
      </c>
      <c r="F30" s="585" t="s">
        <v>1702</v>
      </c>
      <c r="G30" s="836">
        <f t="shared" ref="G30:G34" si="15">IF(F30=$G$2,E30,0)</f>
        <v>235200</v>
      </c>
      <c r="H30" s="837">
        <v>0</v>
      </c>
      <c r="I30" s="837">
        <f t="shared" ref="I30:I34" si="16">G30-H30</f>
        <v>235200</v>
      </c>
      <c r="J30" s="836">
        <f t="shared" ref="J30:J34" si="17">IF(F30=$J$2,E30,0)</f>
        <v>0</v>
      </c>
      <c r="K30" s="836"/>
      <c r="L30" s="831"/>
      <c r="M30" s="837">
        <f t="shared" ref="M30:M34" si="18">J30-L30</f>
        <v>0</v>
      </c>
      <c r="N30" s="836">
        <f t="shared" ref="N30:N34" si="19">IF(F30=$N$2,E30,0)</f>
        <v>0</v>
      </c>
      <c r="O30" s="837">
        <v>1</v>
      </c>
    </row>
    <row r="31" spans="1:15" s="251" customFormat="1">
      <c r="A31" s="1078" t="s">
        <v>1773</v>
      </c>
      <c r="B31" s="1079">
        <v>451</v>
      </c>
      <c r="C31" s="1079">
        <v>4184531</v>
      </c>
      <c r="D31" s="1080" t="s">
        <v>1774</v>
      </c>
      <c r="E31" s="585">
        <v>14025</v>
      </c>
      <c r="F31" s="556" t="s">
        <v>1702</v>
      </c>
      <c r="G31" s="840">
        <f t="shared" si="15"/>
        <v>14025</v>
      </c>
      <c r="H31" s="1084">
        <v>0</v>
      </c>
      <c r="I31" s="1084">
        <f t="shared" si="16"/>
        <v>14025</v>
      </c>
      <c r="J31" s="840">
        <f t="shared" si="17"/>
        <v>0</v>
      </c>
      <c r="K31" s="840"/>
      <c r="L31" s="831"/>
      <c r="M31" s="1084">
        <f t="shared" si="18"/>
        <v>0</v>
      </c>
      <c r="N31" s="840">
        <f t="shared" si="19"/>
        <v>0</v>
      </c>
      <c r="O31" s="1084">
        <v>1</v>
      </c>
    </row>
    <row r="32" spans="1:15" s="251" customFormat="1">
      <c r="A32" s="1078" t="s">
        <v>1775</v>
      </c>
      <c r="B32" s="1079">
        <v>451</v>
      </c>
      <c r="C32" s="1079">
        <v>4184532</v>
      </c>
      <c r="D32" s="1080" t="s">
        <v>1776</v>
      </c>
      <c r="E32" s="585">
        <v>34750</v>
      </c>
      <c r="F32" s="556" t="s">
        <v>1702</v>
      </c>
      <c r="G32" s="840">
        <f t="shared" si="15"/>
        <v>34750</v>
      </c>
      <c r="H32" s="1084">
        <v>0</v>
      </c>
      <c r="I32" s="1084">
        <f t="shared" si="16"/>
        <v>34750</v>
      </c>
      <c r="J32" s="840">
        <f t="shared" si="17"/>
        <v>0</v>
      </c>
      <c r="K32" s="840"/>
      <c r="L32" s="831"/>
      <c r="M32" s="1084">
        <f t="shared" si="18"/>
        <v>0</v>
      </c>
      <c r="N32" s="840">
        <f t="shared" si="19"/>
        <v>0</v>
      </c>
      <c r="O32" s="1084">
        <v>1</v>
      </c>
    </row>
    <row r="33" spans="1:15" s="251" customFormat="1">
      <c r="A33" s="1078" t="s">
        <v>1777</v>
      </c>
      <c r="B33" s="1079">
        <v>451</v>
      </c>
      <c r="C33" s="1079">
        <v>4184534</v>
      </c>
      <c r="D33" s="1080" t="s">
        <v>1778</v>
      </c>
      <c r="E33" s="585">
        <v>21500</v>
      </c>
      <c r="F33" s="556" t="s">
        <v>1702</v>
      </c>
      <c r="G33" s="840">
        <f t="shared" si="15"/>
        <v>21500</v>
      </c>
      <c r="H33" s="1084">
        <v>0</v>
      </c>
      <c r="I33" s="1084">
        <f t="shared" si="16"/>
        <v>21500</v>
      </c>
      <c r="J33" s="840">
        <f t="shared" si="17"/>
        <v>0</v>
      </c>
      <c r="K33" s="840"/>
      <c r="L33" s="831"/>
      <c r="M33" s="1084">
        <f t="shared" si="18"/>
        <v>0</v>
      </c>
      <c r="N33" s="840">
        <f t="shared" si="19"/>
        <v>0</v>
      </c>
      <c r="O33" s="1084">
        <v>1</v>
      </c>
    </row>
    <row r="34" spans="1:15" s="251" customFormat="1">
      <c r="A34" s="1078" t="s">
        <v>1779</v>
      </c>
      <c r="B34" s="1079">
        <v>451</v>
      </c>
      <c r="C34" s="1079">
        <v>4184535</v>
      </c>
      <c r="D34" s="1080" t="s">
        <v>3021</v>
      </c>
      <c r="E34" s="585">
        <v>196255</v>
      </c>
      <c r="F34" s="556" t="s">
        <v>1702</v>
      </c>
      <c r="G34" s="840">
        <f t="shared" si="15"/>
        <v>196255</v>
      </c>
      <c r="H34" s="1084">
        <v>0</v>
      </c>
      <c r="I34" s="1084">
        <f t="shared" si="16"/>
        <v>196255</v>
      </c>
      <c r="J34" s="840">
        <f t="shared" si="17"/>
        <v>0</v>
      </c>
      <c r="K34" s="840"/>
      <c r="L34" s="831"/>
      <c r="M34" s="1084">
        <f t="shared" si="18"/>
        <v>0</v>
      </c>
      <c r="N34" s="840">
        <f t="shared" si="19"/>
        <v>0</v>
      </c>
      <c r="O34" s="1084">
        <v>1</v>
      </c>
    </row>
    <row r="35" spans="1:15" s="251" customFormat="1">
      <c r="A35" s="613"/>
      <c r="B35" s="872"/>
      <c r="C35" s="872"/>
      <c r="D35" s="873"/>
      <c r="E35" s="585"/>
      <c r="F35" s="585"/>
      <c r="G35" s="884"/>
      <c r="H35" s="885"/>
      <c r="I35" s="885"/>
      <c r="J35" s="884"/>
      <c r="K35" s="835"/>
      <c r="L35" s="831"/>
      <c r="M35" s="885"/>
      <c r="N35" s="884"/>
      <c r="O35" s="885"/>
    </row>
    <row r="36" spans="1:15">
      <c r="A36" s="613"/>
      <c r="B36" s="872"/>
      <c r="C36" s="874"/>
      <c r="D36" s="873"/>
      <c r="E36" s="585"/>
      <c r="F36" s="585"/>
      <c r="G36" s="835"/>
      <c r="H36" s="831"/>
      <c r="I36" s="831"/>
      <c r="J36" s="835"/>
      <c r="K36" s="835"/>
      <c r="L36" s="831"/>
      <c r="M36" s="831"/>
      <c r="N36" s="835"/>
      <c r="O36" s="831"/>
    </row>
    <row r="37" spans="1:15" ht="13">
      <c r="A37" s="521">
        <v>5</v>
      </c>
      <c r="B37" s="1125" t="s">
        <v>1780</v>
      </c>
      <c r="C37" s="1126"/>
      <c r="D37" s="1127"/>
      <c r="E37" s="165">
        <f>SUM(E11:E36)</f>
        <v>12519443.85</v>
      </c>
      <c r="F37" s="172"/>
      <c r="G37" s="832">
        <f>SUM(G11:G36)</f>
        <v>11196357.199999999</v>
      </c>
      <c r="H37" s="833">
        <f>SUM(H11:H36)</f>
        <v>0</v>
      </c>
      <c r="I37" s="832">
        <f>SUM(I11:I36)</f>
        <v>11196357.199999999</v>
      </c>
      <c r="J37" s="832">
        <f>SUM(J11:J36)</f>
        <v>0</v>
      </c>
      <c r="K37" s="834"/>
      <c r="L37" s="832">
        <f>SUM(L11:L36)</f>
        <v>0</v>
      </c>
      <c r="M37" s="832">
        <f>SUM(M11:M36)</f>
        <v>0</v>
      </c>
      <c r="N37" s="832">
        <f>SUM(N11:N36)</f>
        <v>1323086.6499999999</v>
      </c>
      <c r="O37" s="837"/>
    </row>
    <row r="38" spans="1:15" ht="25.5" customHeight="1">
      <c r="A38" s="521">
        <v>6</v>
      </c>
      <c r="B38" s="1149" t="s">
        <v>1781</v>
      </c>
      <c r="C38" s="1150"/>
      <c r="D38" s="1151"/>
      <c r="E38" s="612">
        <v>12519444</v>
      </c>
      <c r="F38" s="164"/>
      <c r="G38" s="161"/>
      <c r="H38" s="983"/>
      <c r="I38" s="983"/>
      <c r="J38" s="161"/>
      <c r="K38" s="164"/>
      <c r="L38" s="161"/>
      <c r="M38" s="161"/>
      <c r="N38" s="164"/>
      <c r="O38" s="252"/>
    </row>
    <row r="39" spans="1:15" ht="13">
      <c r="A39" s="257"/>
      <c r="B39" s="1"/>
      <c r="C39" s="114"/>
      <c r="D39" s="114"/>
      <c r="E39" s="161"/>
      <c r="F39" s="161"/>
      <c r="G39" s="161"/>
      <c r="H39" s="983"/>
      <c r="I39" s="983"/>
      <c r="J39" s="161"/>
      <c r="K39" s="164"/>
      <c r="L39" s="161"/>
      <c r="M39" s="161"/>
      <c r="N39" s="161"/>
      <c r="O39" s="252"/>
    </row>
    <row r="40" spans="1:15">
      <c r="A40" s="1078" t="s">
        <v>1782</v>
      </c>
      <c r="B40" s="1079">
        <v>453</v>
      </c>
      <c r="C40" s="1079">
        <v>4183120</v>
      </c>
      <c r="D40" s="1081" t="s">
        <v>1783</v>
      </c>
      <c r="E40" s="585">
        <v>518332.67</v>
      </c>
      <c r="F40" s="585" t="s">
        <v>1703</v>
      </c>
      <c r="G40" s="519">
        <f t="shared" ref="G40:G41" si="20">IF(F40=$G$2,E40,0)</f>
        <v>0</v>
      </c>
      <c r="H40" s="1085">
        <v>0</v>
      </c>
      <c r="I40" s="1085">
        <f>G40-H40</f>
        <v>0</v>
      </c>
      <c r="J40" s="519">
        <f t="shared" ref="J40:J41" si="21">IF(F40=$J$2,E40,0)</f>
        <v>518332.67</v>
      </c>
      <c r="K40" s="1086" t="s">
        <v>1744</v>
      </c>
      <c r="L40" s="557">
        <v>81482.694631876599</v>
      </c>
      <c r="M40" s="1085">
        <f>J40-L40</f>
        <v>436849.97536812339</v>
      </c>
      <c r="N40" s="519">
        <f>IF(F40=$N$2,E40,0)</f>
        <v>0</v>
      </c>
      <c r="O40" s="1087">
        <v>2</v>
      </c>
    </row>
    <row r="41" spans="1:15">
      <c r="A41" s="1078" t="s">
        <v>1784</v>
      </c>
      <c r="B41" s="1079">
        <v>453</v>
      </c>
      <c r="C41" s="1079">
        <v>4183110</v>
      </c>
      <c r="D41" s="1081" t="s">
        <v>1785</v>
      </c>
      <c r="E41" s="585">
        <v>852768.67</v>
      </c>
      <c r="F41" s="585" t="s">
        <v>1702</v>
      </c>
      <c r="G41" s="840">
        <f t="shared" si="20"/>
        <v>852768.67</v>
      </c>
      <c r="H41" s="1085">
        <v>0</v>
      </c>
      <c r="I41" s="1084">
        <f t="shared" ref="I41" si="22">G41-H41</f>
        <v>852768.67</v>
      </c>
      <c r="J41" s="840">
        <f t="shared" si="21"/>
        <v>0</v>
      </c>
      <c r="K41" s="519"/>
      <c r="L41" s="412"/>
      <c r="M41" s="1084">
        <f t="shared" ref="M41" si="23">J41-L41</f>
        <v>0</v>
      </c>
      <c r="N41" s="519">
        <f>IF(F41=$N$2,E41,0)</f>
        <v>0</v>
      </c>
      <c r="O41" s="1087">
        <v>1</v>
      </c>
    </row>
    <row r="42" spans="1:15">
      <c r="A42" s="613"/>
      <c r="B42" s="872"/>
      <c r="C42" s="874"/>
      <c r="D42" s="614"/>
      <c r="E42" s="585"/>
      <c r="F42" s="585"/>
      <c r="G42" s="830"/>
      <c r="H42" s="831"/>
      <c r="I42" s="831"/>
      <c r="J42" s="830"/>
      <c r="K42" s="556"/>
      <c r="L42" s="412"/>
      <c r="M42" s="831"/>
      <c r="N42" s="830"/>
      <c r="O42" s="615"/>
    </row>
    <row r="43" spans="1:15">
      <c r="A43" s="613"/>
      <c r="B43" s="872"/>
      <c r="C43" s="874"/>
      <c r="D43" s="614"/>
      <c r="E43" s="585"/>
      <c r="F43" s="585"/>
      <c r="G43" s="830"/>
      <c r="H43" s="831"/>
      <c r="I43" s="831"/>
      <c r="J43" s="830"/>
      <c r="K43" s="556"/>
      <c r="L43" s="412"/>
      <c r="M43" s="831"/>
      <c r="N43" s="830"/>
      <c r="O43" s="615"/>
    </row>
    <row r="44" spans="1:15">
      <c r="A44" s="613"/>
      <c r="B44" s="872"/>
      <c r="C44" s="874"/>
      <c r="D44" s="614"/>
      <c r="E44" s="585"/>
      <c r="F44" s="585"/>
      <c r="G44" s="981"/>
      <c r="H44" s="615"/>
      <c r="I44" s="412"/>
      <c r="J44" s="585"/>
      <c r="K44" s="585"/>
      <c r="L44" s="412"/>
      <c r="M44" s="412"/>
      <c r="N44" s="585"/>
      <c r="O44" s="615"/>
    </row>
    <row r="45" spans="1:15">
      <c r="A45" s="613"/>
      <c r="B45" s="872"/>
      <c r="C45" s="874"/>
      <c r="D45" s="614"/>
      <c r="E45" s="585"/>
      <c r="F45" s="585"/>
      <c r="G45" s="981"/>
      <c r="H45" s="615"/>
      <c r="I45" s="412"/>
      <c r="J45" s="585"/>
      <c r="K45" s="585"/>
      <c r="L45" s="412"/>
      <c r="M45" s="412"/>
      <c r="N45" s="585"/>
      <c r="O45" s="615"/>
    </row>
    <row r="46" spans="1:15" ht="13">
      <c r="A46" s="521">
        <v>8</v>
      </c>
      <c r="B46" s="1125" t="s">
        <v>1786</v>
      </c>
      <c r="C46" s="1126"/>
      <c r="D46" s="1127"/>
      <c r="E46" s="165">
        <f>SUM(E40:E45)</f>
        <v>1371101.34</v>
      </c>
      <c r="F46" s="172"/>
      <c r="G46" s="165">
        <f>SUM(G40:G45)</f>
        <v>852768.67</v>
      </c>
      <c r="H46" s="111">
        <f>SUM(H40:H45)</f>
        <v>0</v>
      </c>
      <c r="I46" s="165">
        <f>SUM(I40:I45)</f>
        <v>852768.67</v>
      </c>
      <c r="J46" s="165">
        <f>SUM(J40:J45)</f>
        <v>518332.67</v>
      </c>
      <c r="K46" s="172"/>
      <c r="L46" s="165">
        <f>SUM(L40:L45)</f>
        <v>81482.694631876599</v>
      </c>
      <c r="M46" s="165">
        <f>SUM(M40:M45)</f>
        <v>436849.97536812339</v>
      </c>
      <c r="N46" s="165">
        <f>SUM(N40:N45)</f>
        <v>0</v>
      </c>
      <c r="O46" s="111"/>
    </row>
    <row r="47" spans="1:15" ht="25.5" customHeight="1">
      <c r="A47" s="521">
        <v>9</v>
      </c>
      <c r="B47" s="1142" t="s">
        <v>1787</v>
      </c>
      <c r="C47" s="1143"/>
      <c r="D47" s="1143"/>
      <c r="E47" s="175">
        <v>1371101</v>
      </c>
      <c r="F47" s="164"/>
      <c r="G47" s="161"/>
      <c r="H47" s="983"/>
      <c r="I47" s="115"/>
      <c r="J47" s="161"/>
      <c r="K47" s="164"/>
      <c r="L47" s="161"/>
      <c r="M47" s="161"/>
      <c r="N47" s="161"/>
      <c r="O47" s="2"/>
    </row>
    <row r="48" spans="1:15" ht="13">
      <c r="A48" s="4"/>
      <c r="B48" s="1"/>
      <c r="C48" s="114"/>
      <c r="D48" s="114"/>
      <c r="E48" s="161"/>
      <c r="F48" s="161"/>
      <c r="G48" s="161"/>
      <c r="H48" s="983"/>
      <c r="I48" s="115"/>
      <c r="J48" s="161"/>
      <c r="K48" s="164"/>
      <c r="L48" s="161"/>
      <c r="M48" s="161"/>
      <c r="N48" s="161"/>
      <c r="O48" s="2"/>
    </row>
    <row r="49" spans="1:15">
      <c r="A49" s="521" t="s">
        <v>1788</v>
      </c>
      <c r="B49" s="647">
        <v>454</v>
      </c>
      <c r="C49" s="520" t="s">
        <v>1789</v>
      </c>
      <c r="D49" s="520" t="s">
        <v>1790</v>
      </c>
      <c r="E49" s="556">
        <v>439242.02</v>
      </c>
      <c r="F49" s="556" t="s">
        <v>1702</v>
      </c>
      <c r="G49" s="978">
        <f>IF(F49=$G$2,E49,0)</f>
        <v>439242.02</v>
      </c>
      <c r="H49" s="518">
        <v>0</v>
      </c>
      <c r="I49" s="518">
        <f>G49-H49</f>
        <v>439242.02</v>
      </c>
      <c r="J49" s="978">
        <f>IF(F49=$J$2,E49,0)</f>
        <v>0</v>
      </c>
      <c r="K49" s="978"/>
      <c r="L49" s="412"/>
      <c r="M49" s="518">
        <f>J49-L49</f>
        <v>0</v>
      </c>
      <c r="N49" s="978">
        <f>IF(F49=$N$2,E49,0)</f>
        <v>0</v>
      </c>
      <c r="O49" s="299">
        <v>4</v>
      </c>
    </row>
    <row r="50" spans="1:15">
      <c r="A50" s="521" t="s">
        <v>1791</v>
      </c>
      <c r="B50" s="647">
        <v>454</v>
      </c>
      <c r="C50" s="520" t="s">
        <v>1792</v>
      </c>
      <c r="D50" s="520" t="s">
        <v>1793</v>
      </c>
      <c r="E50" s="556">
        <v>6208065.2300000004</v>
      </c>
      <c r="F50" s="556" t="s">
        <v>1702</v>
      </c>
      <c r="G50" s="978">
        <f>IF(F50=$G$2,E50,0)</f>
        <v>6208065.2300000004</v>
      </c>
      <c r="H50" s="518">
        <v>0</v>
      </c>
      <c r="I50" s="518">
        <f>G50-H50</f>
        <v>6208065.2300000004</v>
      </c>
      <c r="J50" s="978">
        <f t="shared" ref="J50:J61" si="24">IF(F50=$J$2,E50,0)</f>
        <v>0</v>
      </c>
      <c r="K50" s="978"/>
      <c r="L50" s="412"/>
      <c r="M50" s="518">
        <f t="shared" ref="M50:M52" si="25">J50-L50</f>
        <v>0</v>
      </c>
      <c r="N50" s="978">
        <f>IF(F50=$N$2,E50,0)</f>
        <v>0</v>
      </c>
      <c r="O50" s="299">
        <v>4</v>
      </c>
    </row>
    <row r="51" spans="1:15">
      <c r="A51" s="521" t="s">
        <v>1794</v>
      </c>
      <c r="B51" s="647">
        <v>454</v>
      </c>
      <c r="C51" s="520" t="s">
        <v>1795</v>
      </c>
      <c r="D51" s="520" t="s">
        <v>1796</v>
      </c>
      <c r="E51" s="556">
        <v>2653624.2799999998</v>
      </c>
      <c r="F51" s="556" t="s">
        <v>1702</v>
      </c>
      <c r="G51" s="978">
        <f>IF(F51=$G$2,E51,0)</f>
        <v>2653624.2799999998</v>
      </c>
      <c r="H51" s="518">
        <v>0</v>
      </c>
      <c r="I51" s="518">
        <f>G51-H51</f>
        <v>2653624.2799999998</v>
      </c>
      <c r="J51" s="978">
        <f t="shared" si="24"/>
        <v>0</v>
      </c>
      <c r="K51" s="978"/>
      <c r="L51" s="412"/>
      <c r="M51" s="518">
        <f t="shared" si="25"/>
        <v>0</v>
      </c>
      <c r="N51" s="978">
        <f>IF(F51=$N$2,E51,0)</f>
        <v>0</v>
      </c>
      <c r="O51" s="299">
        <v>4</v>
      </c>
    </row>
    <row r="52" spans="1:15">
      <c r="A52" s="624" t="s">
        <v>1797</v>
      </c>
      <c r="B52" s="647">
        <v>454</v>
      </c>
      <c r="C52" s="647">
        <v>4184120</v>
      </c>
      <c r="D52" s="520" t="s">
        <v>1798</v>
      </c>
      <c r="E52" s="556">
        <v>166000</v>
      </c>
      <c r="F52" s="556" t="s">
        <v>1702</v>
      </c>
      <c r="G52" s="978">
        <f>IF(F52=$G$2,E52,0)</f>
        <v>166000</v>
      </c>
      <c r="H52" s="518">
        <v>0</v>
      </c>
      <c r="I52" s="518">
        <f>G52-H52</f>
        <v>166000</v>
      </c>
      <c r="J52" s="978">
        <f t="shared" si="24"/>
        <v>0</v>
      </c>
      <c r="K52" s="978"/>
      <c r="L52" s="412"/>
      <c r="M52" s="518">
        <f t="shared" si="25"/>
        <v>0</v>
      </c>
      <c r="N52" s="978">
        <f>IF(F52=$N$2,E52,0)</f>
        <v>0</v>
      </c>
      <c r="O52" s="299">
        <v>4</v>
      </c>
    </row>
    <row r="53" spans="1:15">
      <c r="A53" s="623" t="s">
        <v>1799</v>
      </c>
      <c r="B53" s="647">
        <v>454</v>
      </c>
      <c r="C53" s="520" t="s">
        <v>1800</v>
      </c>
      <c r="D53" s="520" t="s">
        <v>1801</v>
      </c>
      <c r="E53" s="556">
        <v>231042.66</v>
      </c>
      <c r="F53" s="556" t="s">
        <v>1703</v>
      </c>
      <c r="G53" s="978">
        <f t="shared" ref="G53:G59" si="26">IF(F53=$G$2,E53,0)</f>
        <v>0</v>
      </c>
      <c r="H53" s="518">
        <v>0</v>
      </c>
      <c r="I53" s="518">
        <f>G53-H53</f>
        <v>0</v>
      </c>
      <c r="J53" s="978">
        <f t="shared" si="24"/>
        <v>231042.66</v>
      </c>
      <c r="K53" s="984" t="s">
        <v>1744</v>
      </c>
      <c r="L53" s="557">
        <v>40072.502262055801</v>
      </c>
      <c r="M53" s="518">
        <f>J53-L53</f>
        <v>190970.15773794422</v>
      </c>
      <c r="N53" s="978">
        <f>IF(F53=$N$2,E53,0)</f>
        <v>0</v>
      </c>
      <c r="O53" s="299">
        <v>2</v>
      </c>
    </row>
    <row r="54" spans="1:15">
      <c r="A54" s="521" t="s">
        <v>1802</v>
      </c>
      <c r="B54" s="647">
        <v>454</v>
      </c>
      <c r="C54" s="520" t="s">
        <v>1803</v>
      </c>
      <c r="D54" s="520" t="s">
        <v>1804</v>
      </c>
      <c r="E54" s="556">
        <v>8169.08</v>
      </c>
      <c r="F54" s="556" t="s">
        <v>1703</v>
      </c>
      <c r="G54" s="978">
        <f t="shared" si="26"/>
        <v>0</v>
      </c>
      <c r="H54" s="518">
        <v>0</v>
      </c>
      <c r="I54" s="518">
        <f t="shared" ref="I54:I56" si="27">G54-H54</f>
        <v>0</v>
      </c>
      <c r="J54" s="978">
        <f t="shared" si="24"/>
        <v>8169.08</v>
      </c>
      <c r="K54" s="984" t="s">
        <v>1744</v>
      </c>
      <c r="L54" s="557">
        <v>3060.7233444876001</v>
      </c>
      <c r="M54" s="518">
        <f>J54-L54</f>
        <v>5108.3566555123998</v>
      </c>
      <c r="N54" s="978">
        <f t="shared" ref="N54:N59" si="28">IF(F54=$N$2,E54,0)</f>
        <v>0</v>
      </c>
      <c r="O54" s="299">
        <v>2</v>
      </c>
    </row>
    <row r="55" spans="1:15">
      <c r="A55" s="521" t="s">
        <v>1805</v>
      </c>
      <c r="B55" s="647">
        <v>454</v>
      </c>
      <c r="C55" s="520" t="s">
        <v>1806</v>
      </c>
      <c r="D55" s="520" t="s">
        <v>1807</v>
      </c>
      <c r="E55" s="556">
        <v>0</v>
      </c>
      <c r="F55" s="556" t="s">
        <v>1703</v>
      </c>
      <c r="G55" s="978">
        <f t="shared" si="26"/>
        <v>0</v>
      </c>
      <c r="H55" s="518">
        <v>0</v>
      </c>
      <c r="I55" s="518">
        <f t="shared" si="27"/>
        <v>0</v>
      </c>
      <c r="J55" s="978">
        <f t="shared" si="24"/>
        <v>0</v>
      </c>
      <c r="K55" s="984" t="s">
        <v>1744</v>
      </c>
      <c r="L55" s="557">
        <v>0</v>
      </c>
      <c r="M55" s="518">
        <f>J55-L55</f>
        <v>0</v>
      </c>
      <c r="N55" s="978">
        <f t="shared" si="28"/>
        <v>0</v>
      </c>
      <c r="O55" s="299">
        <v>2</v>
      </c>
    </row>
    <row r="56" spans="1:15">
      <c r="A56" s="521" t="s">
        <v>1808</v>
      </c>
      <c r="B56" s="647">
        <v>454</v>
      </c>
      <c r="C56" s="647" t="s">
        <v>1809</v>
      </c>
      <c r="D56" s="520" t="s">
        <v>1810</v>
      </c>
      <c r="E56" s="556">
        <v>11000.99</v>
      </c>
      <c r="F56" s="556" t="s">
        <v>1703</v>
      </c>
      <c r="G56" s="978">
        <f t="shared" si="26"/>
        <v>0</v>
      </c>
      <c r="H56" s="518">
        <v>0</v>
      </c>
      <c r="I56" s="518">
        <f t="shared" si="27"/>
        <v>0</v>
      </c>
      <c r="J56" s="978">
        <f t="shared" si="24"/>
        <v>11000.99</v>
      </c>
      <c r="K56" s="984" t="s">
        <v>1744</v>
      </c>
      <c r="L56" s="723">
        <v>1130.6340604566001</v>
      </c>
      <c r="M56" s="518">
        <f t="shared" ref="M56:M74" si="29">J56-L56</f>
        <v>9870.3559395434004</v>
      </c>
      <c r="N56" s="978">
        <f t="shared" si="28"/>
        <v>0</v>
      </c>
      <c r="O56" s="299">
        <v>2</v>
      </c>
    </row>
    <row r="57" spans="1:15">
      <c r="A57" s="521" t="s">
        <v>1811</v>
      </c>
      <c r="B57" s="647">
        <v>454</v>
      </c>
      <c r="C57" s="520" t="s">
        <v>1812</v>
      </c>
      <c r="D57" s="520" t="s">
        <v>1813</v>
      </c>
      <c r="E57" s="830">
        <v>141113.68</v>
      </c>
      <c r="F57" s="556" t="s">
        <v>1702</v>
      </c>
      <c r="G57" s="978">
        <f>IF(F57=$G$2,E57,0)</f>
        <v>141113.68</v>
      </c>
      <c r="H57" s="518">
        <v>0</v>
      </c>
      <c r="I57" s="518">
        <f>G57-H57</f>
        <v>141113.68</v>
      </c>
      <c r="J57" s="978">
        <f>IF(F57=$J$2,E57,0)</f>
        <v>0</v>
      </c>
      <c r="K57" s="978"/>
      <c r="L57" s="412"/>
      <c r="M57" s="518">
        <f t="shared" si="29"/>
        <v>0</v>
      </c>
      <c r="N57" s="978">
        <f t="shared" si="28"/>
        <v>0</v>
      </c>
      <c r="O57" s="299">
        <v>4</v>
      </c>
    </row>
    <row r="58" spans="1:15">
      <c r="A58" s="521" t="s">
        <v>1814</v>
      </c>
      <c r="B58" s="647">
        <v>454</v>
      </c>
      <c r="C58" s="520" t="s">
        <v>1815</v>
      </c>
      <c r="D58" s="520" t="s">
        <v>1816</v>
      </c>
      <c r="E58" s="556">
        <v>44624.45</v>
      </c>
      <c r="F58" s="556" t="s">
        <v>1704</v>
      </c>
      <c r="G58" s="978">
        <f>I58+H58</f>
        <v>2971.98837</v>
      </c>
      <c r="H58" s="518">
        <f>E58*$D$285</f>
        <v>2971.98837</v>
      </c>
      <c r="I58" s="518">
        <v>0</v>
      </c>
      <c r="J58" s="978">
        <f t="shared" si="24"/>
        <v>0</v>
      </c>
      <c r="K58" s="978"/>
      <c r="L58" s="412"/>
      <c r="M58" s="518">
        <f>J58-L58</f>
        <v>0</v>
      </c>
      <c r="N58" s="978">
        <f>IF(F58=$N$2,E58-H58,0)</f>
        <v>41652.461629999998</v>
      </c>
      <c r="O58" s="299" t="s">
        <v>1817</v>
      </c>
    </row>
    <row r="59" spans="1:15">
      <c r="A59" s="521" t="s">
        <v>1818</v>
      </c>
      <c r="B59" s="647">
        <v>454</v>
      </c>
      <c r="C59" s="520" t="s">
        <v>1819</v>
      </c>
      <c r="D59" s="520" t="s">
        <v>1820</v>
      </c>
      <c r="E59" s="556"/>
      <c r="F59" s="556" t="s">
        <v>1702</v>
      </c>
      <c r="G59" s="978">
        <f t="shared" si="26"/>
        <v>0</v>
      </c>
      <c r="H59" s="518">
        <f>E59*$D$285</f>
        <v>0</v>
      </c>
      <c r="I59" s="518">
        <f>G59-H59</f>
        <v>0</v>
      </c>
      <c r="J59" s="978">
        <f t="shared" si="24"/>
        <v>0</v>
      </c>
      <c r="K59" s="978"/>
      <c r="L59" s="412"/>
      <c r="M59" s="518">
        <f t="shared" si="29"/>
        <v>0</v>
      </c>
      <c r="N59" s="978">
        <f t="shared" si="28"/>
        <v>0</v>
      </c>
      <c r="O59" s="299">
        <v>7</v>
      </c>
    </row>
    <row r="60" spans="1:15">
      <c r="A60" s="521" t="s">
        <v>1821</v>
      </c>
      <c r="B60" s="647">
        <v>454</v>
      </c>
      <c r="C60" s="520" t="s">
        <v>1822</v>
      </c>
      <c r="D60" s="520" t="s">
        <v>1823</v>
      </c>
      <c r="E60" s="556">
        <v>1355905.51</v>
      </c>
      <c r="F60" s="556" t="s">
        <v>1704</v>
      </c>
      <c r="G60" s="978">
        <f>I60+H60</f>
        <v>90303.306966000004</v>
      </c>
      <c r="H60" s="518">
        <f>E60*$D$285</f>
        <v>90303.306966000004</v>
      </c>
      <c r="I60" s="518">
        <v>0</v>
      </c>
      <c r="J60" s="978">
        <f>IF(F60=$J$2,E60,0)</f>
        <v>0</v>
      </c>
      <c r="K60" s="978"/>
      <c r="L60" s="412"/>
      <c r="M60" s="518">
        <f>J60-L60</f>
        <v>0</v>
      </c>
      <c r="N60" s="978">
        <f>IF(F60=$N$2,E60-H60,0)</f>
        <v>1265602.203034</v>
      </c>
      <c r="O60" s="299" t="s">
        <v>1817</v>
      </c>
    </row>
    <row r="61" spans="1:15">
      <c r="A61" s="521" t="s">
        <v>1824</v>
      </c>
      <c r="B61" s="647">
        <v>454</v>
      </c>
      <c r="C61" s="520" t="s">
        <v>1825</v>
      </c>
      <c r="D61" s="520" t="s">
        <v>1826</v>
      </c>
      <c r="E61" s="556"/>
      <c r="F61" s="556" t="s">
        <v>1702</v>
      </c>
      <c r="G61" s="978">
        <f>I61+H61</f>
        <v>0</v>
      </c>
      <c r="H61" s="518">
        <f>E61*$D$279</f>
        <v>0</v>
      </c>
      <c r="I61" s="518">
        <v>0</v>
      </c>
      <c r="J61" s="978">
        <f t="shared" si="24"/>
        <v>0</v>
      </c>
      <c r="K61" s="978"/>
      <c r="L61" s="412"/>
      <c r="M61" s="518">
        <f t="shared" si="29"/>
        <v>0</v>
      </c>
      <c r="N61" s="978">
        <f t="shared" ref="N61:N72" si="30">IF(F61=$N$2,E61,0)</f>
        <v>0</v>
      </c>
      <c r="O61" s="299">
        <v>7</v>
      </c>
    </row>
    <row r="62" spans="1:15">
      <c r="A62" s="521" t="s">
        <v>1827</v>
      </c>
      <c r="B62" s="647">
        <v>454</v>
      </c>
      <c r="C62" s="520" t="s">
        <v>1828</v>
      </c>
      <c r="D62" s="520" t="s">
        <v>1829</v>
      </c>
      <c r="E62" s="556"/>
      <c r="F62" s="556" t="s">
        <v>1702</v>
      </c>
      <c r="G62" s="978">
        <f t="shared" ref="G62:G72" si="31">IF(F62=$G$2,E62,0)</f>
        <v>0</v>
      </c>
      <c r="H62" s="518">
        <v>0</v>
      </c>
      <c r="I62" s="518">
        <f t="shared" ref="I62:I67" si="32">G62-H62</f>
        <v>0</v>
      </c>
      <c r="J62" s="978">
        <f t="shared" ref="J62:J73" si="33">IF(F62=$J$2,E62,0)</f>
        <v>0</v>
      </c>
      <c r="K62" s="978"/>
      <c r="L62" s="412"/>
      <c r="M62" s="518">
        <f t="shared" si="29"/>
        <v>0</v>
      </c>
      <c r="N62" s="978">
        <f t="shared" si="30"/>
        <v>0</v>
      </c>
      <c r="O62" s="299">
        <v>1</v>
      </c>
    </row>
    <row r="63" spans="1:15">
      <c r="A63" s="521" t="s">
        <v>1830</v>
      </c>
      <c r="B63" s="647">
        <v>454</v>
      </c>
      <c r="C63" s="520" t="s">
        <v>1831</v>
      </c>
      <c r="D63" s="520" t="s">
        <v>1832</v>
      </c>
      <c r="E63" s="556">
        <v>27800105.620000001</v>
      </c>
      <c r="F63" s="556" t="s">
        <v>1702</v>
      </c>
      <c r="G63" s="978">
        <f t="shared" si="31"/>
        <v>27800105.620000001</v>
      </c>
      <c r="H63" s="518">
        <v>0</v>
      </c>
      <c r="I63" s="518">
        <f>G63-H63</f>
        <v>27800105.620000001</v>
      </c>
      <c r="J63" s="978">
        <f t="shared" si="33"/>
        <v>0</v>
      </c>
      <c r="K63" s="978"/>
      <c r="L63" s="412"/>
      <c r="M63" s="518">
        <f t="shared" si="29"/>
        <v>0</v>
      </c>
      <c r="N63" s="978">
        <f t="shared" si="30"/>
        <v>0</v>
      </c>
      <c r="O63" s="299">
        <v>4</v>
      </c>
    </row>
    <row r="64" spans="1:15">
      <c r="A64" s="521" t="s">
        <v>1833</v>
      </c>
      <c r="B64" s="647">
        <v>454</v>
      </c>
      <c r="C64" s="520" t="s">
        <v>1834</v>
      </c>
      <c r="D64" s="520" t="s">
        <v>1835</v>
      </c>
      <c r="E64" s="556">
        <v>6999509.0800000001</v>
      </c>
      <c r="F64" s="556" t="s">
        <v>1702</v>
      </c>
      <c r="G64" s="978">
        <f t="shared" si="31"/>
        <v>6999509.0800000001</v>
      </c>
      <c r="H64" s="518">
        <v>0</v>
      </c>
      <c r="I64" s="518">
        <f>G64-H64</f>
        <v>6999509.0800000001</v>
      </c>
      <c r="J64" s="978">
        <f t="shared" si="33"/>
        <v>0</v>
      </c>
      <c r="K64" s="978"/>
      <c r="L64" s="412"/>
      <c r="M64" s="518">
        <f t="shared" si="29"/>
        <v>0</v>
      </c>
      <c r="N64" s="978">
        <f t="shared" si="30"/>
        <v>0</v>
      </c>
      <c r="O64" s="299">
        <v>4</v>
      </c>
    </row>
    <row r="65" spans="1:15">
      <c r="A65" s="521" t="s">
        <v>1836</v>
      </c>
      <c r="B65" s="647">
        <v>454</v>
      </c>
      <c r="C65" s="520" t="s">
        <v>1837</v>
      </c>
      <c r="D65" s="520" t="s">
        <v>1838</v>
      </c>
      <c r="E65" s="556">
        <v>5193336.38</v>
      </c>
      <c r="F65" s="556" t="s">
        <v>1702</v>
      </c>
      <c r="G65" s="978">
        <f t="shared" si="31"/>
        <v>5193336.38</v>
      </c>
      <c r="H65" s="518">
        <v>0</v>
      </c>
      <c r="I65" s="518">
        <f>G65-H65</f>
        <v>5193336.38</v>
      </c>
      <c r="J65" s="978">
        <f t="shared" si="33"/>
        <v>0</v>
      </c>
      <c r="K65" s="978"/>
      <c r="L65" s="412"/>
      <c r="M65" s="518">
        <f t="shared" si="29"/>
        <v>0</v>
      </c>
      <c r="N65" s="978">
        <f t="shared" si="30"/>
        <v>0</v>
      </c>
      <c r="O65" s="299">
        <v>4</v>
      </c>
    </row>
    <row r="66" spans="1:15">
      <c r="A66" s="521" t="s">
        <v>1839</v>
      </c>
      <c r="B66" s="647">
        <v>454</v>
      </c>
      <c r="C66" s="520" t="s">
        <v>1840</v>
      </c>
      <c r="D66" s="520" t="s">
        <v>1841</v>
      </c>
      <c r="E66" s="556">
        <v>1537247.38</v>
      </c>
      <c r="F66" s="556" t="s">
        <v>1702</v>
      </c>
      <c r="G66" s="978">
        <f t="shared" si="31"/>
        <v>1537247.38</v>
      </c>
      <c r="H66" s="412">
        <v>661945.35</v>
      </c>
      <c r="I66" s="518">
        <f>G66-H66</f>
        <v>875302.02999999991</v>
      </c>
      <c r="J66" s="978">
        <f t="shared" si="33"/>
        <v>0</v>
      </c>
      <c r="K66" s="978"/>
      <c r="L66" s="412"/>
      <c r="M66" s="518">
        <f t="shared" si="29"/>
        <v>0</v>
      </c>
      <c r="N66" s="978">
        <f t="shared" si="30"/>
        <v>0</v>
      </c>
      <c r="O66" s="299">
        <v>8</v>
      </c>
    </row>
    <row r="67" spans="1:15">
      <c r="A67" s="521" t="s">
        <v>1842</v>
      </c>
      <c r="B67" s="647">
        <v>454</v>
      </c>
      <c r="C67" s="520" t="s">
        <v>1843</v>
      </c>
      <c r="D67" s="520" t="s">
        <v>1844</v>
      </c>
      <c r="E67" s="556">
        <v>23196726.129999999</v>
      </c>
      <c r="F67" s="556" t="s">
        <v>1703</v>
      </c>
      <c r="G67" s="978">
        <f t="shared" si="31"/>
        <v>0</v>
      </c>
      <c r="H67" s="518">
        <v>0</v>
      </c>
      <c r="I67" s="518">
        <f t="shared" si="32"/>
        <v>0</v>
      </c>
      <c r="J67" s="978">
        <f t="shared" si="33"/>
        <v>23196726.129999999</v>
      </c>
      <c r="K67" s="984" t="s">
        <v>1744</v>
      </c>
      <c r="L67" s="557">
        <v>4078976.9171866002</v>
      </c>
      <c r="M67" s="518">
        <f t="shared" ref="M67:M72" si="34">J67-L67</f>
        <v>19117749.2128134</v>
      </c>
      <c r="N67" s="978">
        <f t="shared" si="30"/>
        <v>0</v>
      </c>
      <c r="O67" s="299">
        <v>2</v>
      </c>
    </row>
    <row r="68" spans="1:15">
      <c r="A68" s="521" t="s">
        <v>1845</v>
      </c>
      <c r="B68" s="647">
        <v>454</v>
      </c>
      <c r="C68" s="520" t="s">
        <v>1846</v>
      </c>
      <c r="D68" s="520" t="s">
        <v>1847</v>
      </c>
      <c r="E68" s="556">
        <v>65901.16</v>
      </c>
      <c r="F68" s="556" t="s">
        <v>1702</v>
      </c>
      <c r="G68" s="978">
        <f t="shared" si="31"/>
        <v>65901.16</v>
      </c>
      <c r="H68" s="518">
        <v>0</v>
      </c>
      <c r="I68" s="518">
        <f>G68-H68</f>
        <v>65901.16</v>
      </c>
      <c r="J68" s="978">
        <f t="shared" si="33"/>
        <v>0</v>
      </c>
      <c r="K68" s="978"/>
      <c r="L68" s="412"/>
      <c r="M68" s="518">
        <f t="shared" si="34"/>
        <v>0</v>
      </c>
      <c r="N68" s="978">
        <f t="shared" si="30"/>
        <v>0</v>
      </c>
      <c r="O68" s="299">
        <v>4</v>
      </c>
    </row>
    <row r="69" spans="1:15">
      <c r="A69" s="521" t="s">
        <v>1848</v>
      </c>
      <c r="B69" s="647">
        <v>454</v>
      </c>
      <c r="C69" s="521" t="s">
        <v>1849</v>
      </c>
      <c r="D69" s="520" t="s">
        <v>1850</v>
      </c>
      <c r="E69" s="556">
        <v>1.04</v>
      </c>
      <c r="F69" s="556" t="s">
        <v>1702</v>
      </c>
      <c r="G69" s="978">
        <f t="shared" si="31"/>
        <v>1.04</v>
      </c>
      <c r="H69" s="518">
        <v>0</v>
      </c>
      <c r="I69" s="518">
        <f>G69-H69</f>
        <v>1.04</v>
      </c>
      <c r="J69" s="978">
        <f t="shared" si="33"/>
        <v>0</v>
      </c>
      <c r="K69" s="978"/>
      <c r="L69" s="412"/>
      <c r="M69" s="518">
        <f t="shared" si="34"/>
        <v>0</v>
      </c>
      <c r="N69" s="978">
        <f t="shared" si="30"/>
        <v>0</v>
      </c>
      <c r="O69" s="299">
        <v>1</v>
      </c>
    </row>
    <row r="70" spans="1:15">
      <c r="A70" s="521" t="s">
        <v>1851</v>
      </c>
      <c r="B70" s="647">
        <v>454</v>
      </c>
      <c r="C70" s="647">
        <v>4206515</v>
      </c>
      <c r="D70" s="300" t="s">
        <v>1852</v>
      </c>
      <c r="E70" s="556">
        <v>1730462.25</v>
      </c>
      <c r="F70" s="556" t="s">
        <v>1703</v>
      </c>
      <c r="G70" s="978">
        <f t="shared" si="31"/>
        <v>0</v>
      </c>
      <c r="H70" s="518">
        <v>0</v>
      </c>
      <c r="I70" s="518">
        <f>G70-H70</f>
        <v>0</v>
      </c>
      <c r="J70" s="519">
        <f t="shared" si="33"/>
        <v>1730462.25</v>
      </c>
      <c r="K70" s="519" t="s">
        <v>1744</v>
      </c>
      <c r="L70" s="412">
        <v>1074394.91450537</v>
      </c>
      <c r="M70" s="518">
        <f t="shared" si="34"/>
        <v>656067.33549463004</v>
      </c>
      <c r="N70" s="978">
        <f t="shared" si="30"/>
        <v>0</v>
      </c>
      <c r="O70" s="299">
        <v>2</v>
      </c>
    </row>
    <row r="71" spans="1:15">
      <c r="A71" s="521" t="s">
        <v>1853</v>
      </c>
      <c r="B71" s="647">
        <v>454</v>
      </c>
      <c r="C71" s="647">
        <v>4184122</v>
      </c>
      <c r="D71" s="300" t="s">
        <v>1854</v>
      </c>
      <c r="E71" s="556"/>
      <c r="F71" s="556" t="s">
        <v>1702</v>
      </c>
      <c r="G71" s="978">
        <f t="shared" si="31"/>
        <v>0</v>
      </c>
      <c r="H71" s="518">
        <v>0</v>
      </c>
      <c r="I71" s="518">
        <f>G71-H71</f>
        <v>0</v>
      </c>
      <c r="J71" s="519">
        <f t="shared" si="33"/>
        <v>0</v>
      </c>
      <c r="K71" s="978"/>
      <c r="L71" s="412"/>
      <c r="M71" s="518">
        <f t="shared" si="34"/>
        <v>0</v>
      </c>
      <c r="N71" s="978">
        <f t="shared" si="30"/>
        <v>0</v>
      </c>
      <c r="O71" s="299">
        <v>4</v>
      </c>
    </row>
    <row r="72" spans="1:15">
      <c r="A72" s="521" t="s">
        <v>1855</v>
      </c>
      <c r="B72" s="647">
        <v>454</v>
      </c>
      <c r="C72" s="647">
        <v>4184124</v>
      </c>
      <c r="D72" s="300" t="s">
        <v>1856</v>
      </c>
      <c r="E72" s="556">
        <v>57225.16</v>
      </c>
      <c r="F72" s="556" t="s">
        <v>1702</v>
      </c>
      <c r="G72" s="978">
        <f t="shared" si="31"/>
        <v>57225.16</v>
      </c>
      <c r="H72" s="518">
        <v>0</v>
      </c>
      <c r="I72" s="518">
        <f>G72-H72</f>
        <v>57225.16</v>
      </c>
      <c r="J72" s="519">
        <f t="shared" si="33"/>
        <v>0</v>
      </c>
      <c r="K72" s="978"/>
      <c r="L72" s="412"/>
      <c r="M72" s="518">
        <f t="shared" si="34"/>
        <v>0</v>
      </c>
      <c r="N72" s="978">
        <f t="shared" si="30"/>
        <v>0</v>
      </c>
      <c r="O72" s="299">
        <v>4</v>
      </c>
    </row>
    <row r="73" spans="1:15">
      <c r="A73" s="521" t="s">
        <v>1857</v>
      </c>
      <c r="B73" s="647">
        <v>454</v>
      </c>
      <c r="C73" s="647">
        <v>4184821</v>
      </c>
      <c r="D73" s="300" t="s">
        <v>1858</v>
      </c>
      <c r="E73" s="556">
        <v>96718.61</v>
      </c>
      <c r="F73" s="556" t="s">
        <v>1704</v>
      </c>
      <c r="G73" s="978">
        <f>I73+H73</f>
        <v>6441.4594260000003</v>
      </c>
      <c r="H73" s="518">
        <f>E73*$D$285</f>
        <v>6441.4594260000003</v>
      </c>
      <c r="I73" s="518">
        <v>0</v>
      </c>
      <c r="J73" s="978">
        <f t="shared" si="33"/>
        <v>0</v>
      </c>
      <c r="K73" s="978"/>
      <c r="L73" s="412"/>
      <c r="M73" s="518">
        <f t="shared" si="29"/>
        <v>0</v>
      </c>
      <c r="N73" s="978">
        <f>IF(F73=$N$2,E73-H73,0)</f>
        <v>90277.150573999999</v>
      </c>
      <c r="O73" s="299" t="s">
        <v>1817</v>
      </c>
    </row>
    <row r="74" spans="1:15">
      <c r="A74" s="521" t="s">
        <v>1859</v>
      </c>
      <c r="B74" s="647">
        <v>454</v>
      </c>
      <c r="C74" s="647">
        <v>4184811</v>
      </c>
      <c r="D74" s="300" t="s">
        <v>1860</v>
      </c>
      <c r="E74" s="556">
        <v>625301.81000000006</v>
      </c>
      <c r="F74" s="556" t="s">
        <v>1704</v>
      </c>
      <c r="G74" s="978">
        <f>I74+H74</f>
        <v>41645.100546000009</v>
      </c>
      <c r="H74" s="518">
        <f>E74*$D$285</f>
        <v>41645.100546000009</v>
      </c>
      <c r="I74" s="518">
        <v>0</v>
      </c>
      <c r="J74" s="519">
        <f t="shared" ref="J74" si="35">IF(F74=$J$2,E74,0)</f>
        <v>0</v>
      </c>
      <c r="K74" s="978"/>
      <c r="L74" s="412"/>
      <c r="M74" s="518">
        <f t="shared" si="29"/>
        <v>0</v>
      </c>
      <c r="N74" s="978">
        <f t="shared" ref="N74" si="36">IF(F74=$N$2,E74-H74,0)</f>
        <v>583656.709454</v>
      </c>
      <c r="O74" s="299" t="s">
        <v>1817</v>
      </c>
    </row>
    <row r="75" spans="1:15">
      <c r="A75" s="521" t="s">
        <v>1861</v>
      </c>
      <c r="B75" s="647">
        <v>454</v>
      </c>
      <c r="C75" s="647">
        <v>4184515</v>
      </c>
      <c r="D75" s="300" t="s">
        <v>1766</v>
      </c>
      <c r="E75" s="556"/>
      <c r="F75" s="556" t="s">
        <v>1704</v>
      </c>
      <c r="G75" s="978">
        <f>IF(F75=$G$2,E75,0)</f>
        <v>0</v>
      </c>
      <c r="H75" s="518">
        <v>0</v>
      </c>
      <c r="I75" s="518">
        <f>G75-H75</f>
        <v>0</v>
      </c>
      <c r="J75" s="519">
        <f>IF(F75=$J$2,E75,0)</f>
        <v>0</v>
      </c>
      <c r="K75" s="978"/>
      <c r="L75" s="412"/>
      <c r="M75" s="518">
        <f>J75-L75</f>
        <v>0</v>
      </c>
      <c r="N75" s="978">
        <f>IF(F75=$N$2,E75-H75,0)</f>
        <v>0</v>
      </c>
      <c r="O75" s="299">
        <v>6</v>
      </c>
    </row>
    <row r="76" spans="1:15">
      <c r="A76" s="521" t="s">
        <v>1862</v>
      </c>
      <c r="B76" s="647">
        <v>454</v>
      </c>
      <c r="C76" s="799">
        <v>4184126</v>
      </c>
      <c r="D76" s="800" t="s">
        <v>1863</v>
      </c>
      <c r="E76" s="556">
        <v>9489.48</v>
      </c>
      <c r="F76" s="803" t="s">
        <v>1702</v>
      </c>
      <c r="G76" s="978">
        <f>IF(F76=$G$2,E76,0)</f>
        <v>9489.48</v>
      </c>
      <c r="H76" s="518">
        <v>0</v>
      </c>
      <c r="I76" s="518">
        <f>G76-H76</f>
        <v>9489.48</v>
      </c>
      <c r="J76" s="519">
        <f>IF(F76=$J$2,E76,0)</f>
        <v>0</v>
      </c>
      <c r="K76" s="978"/>
      <c r="L76" s="412"/>
      <c r="M76" s="518">
        <f t="shared" ref="M76:M79" si="37">J76-L76</f>
        <v>0</v>
      </c>
      <c r="N76" s="978">
        <f t="shared" ref="N76:N77" si="38">IF(F76=$N$2,E76-H76,0)</f>
        <v>0</v>
      </c>
      <c r="O76" s="299">
        <v>4</v>
      </c>
    </row>
    <row r="77" spans="1:15">
      <c r="A77" s="521" t="s">
        <v>1864</v>
      </c>
      <c r="B77" s="647">
        <v>454</v>
      </c>
      <c r="C77" s="801">
        <v>4184526</v>
      </c>
      <c r="D77" s="800" t="s">
        <v>1865</v>
      </c>
      <c r="E77" s="556">
        <v>0</v>
      </c>
      <c r="F77" s="556" t="s">
        <v>1703</v>
      </c>
      <c r="G77" s="978">
        <f>IF(F77=$G$2,E77,0)</f>
        <v>0</v>
      </c>
      <c r="H77" s="518">
        <v>0</v>
      </c>
      <c r="I77" s="518">
        <f>G77-H77</f>
        <v>0</v>
      </c>
      <c r="J77" s="519">
        <f>IF(F77=$J$2,E77,0)</f>
        <v>0</v>
      </c>
      <c r="K77" s="978" t="s">
        <v>1744</v>
      </c>
      <c r="L77" s="412">
        <v>0</v>
      </c>
      <c r="M77" s="518">
        <f t="shared" si="37"/>
        <v>0</v>
      </c>
      <c r="N77" s="978">
        <f t="shared" si="38"/>
        <v>0</v>
      </c>
      <c r="O77" s="299">
        <v>2</v>
      </c>
    </row>
    <row r="78" spans="1:15">
      <c r="A78" s="1078" t="s">
        <v>1866</v>
      </c>
      <c r="B78" s="1079">
        <v>454</v>
      </c>
      <c r="C78" s="1079">
        <v>4197020</v>
      </c>
      <c r="D78" s="1080" t="s">
        <v>1867</v>
      </c>
      <c r="E78" s="556"/>
      <c r="F78" s="556" t="s">
        <v>1702</v>
      </c>
      <c r="G78" s="519">
        <f t="shared" ref="G78:G79" si="39">IF(F78=$G$2,E78,0)</f>
        <v>0</v>
      </c>
      <c r="H78" s="1085">
        <v>0</v>
      </c>
      <c r="I78" s="1085">
        <f>G78-H78</f>
        <v>0</v>
      </c>
      <c r="J78" s="519">
        <f t="shared" ref="J78:J79" si="40">IF(F78=$J$2,E78,0)</f>
        <v>0</v>
      </c>
      <c r="K78" s="519"/>
      <c r="L78" s="412"/>
      <c r="M78" s="1085">
        <f t="shared" si="37"/>
        <v>0</v>
      </c>
      <c r="N78" s="519">
        <f t="shared" ref="N78:N79" si="41">IF(F78=$N$2,E78,0)</f>
        <v>0</v>
      </c>
      <c r="O78" s="1087">
        <v>4</v>
      </c>
    </row>
    <row r="79" spans="1:15">
      <c r="A79" s="1078" t="s">
        <v>1868</v>
      </c>
      <c r="B79" s="1082">
        <v>454</v>
      </c>
      <c r="C79" s="1079">
        <v>6120090</v>
      </c>
      <c r="D79" s="1080" t="s">
        <v>1869</v>
      </c>
      <c r="E79" s="556">
        <v>-2560.5500000000002</v>
      </c>
      <c r="F79" s="556" t="s">
        <v>1702</v>
      </c>
      <c r="G79" s="519">
        <f t="shared" si="39"/>
        <v>-2560.5500000000002</v>
      </c>
      <c r="H79" s="1085">
        <v>0</v>
      </c>
      <c r="I79" s="1085">
        <f>G79-H79</f>
        <v>-2560.5500000000002</v>
      </c>
      <c r="J79" s="519">
        <f t="shared" si="40"/>
        <v>0</v>
      </c>
      <c r="K79" s="519"/>
      <c r="L79" s="412"/>
      <c r="M79" s="1085">
        <f t="shared" si="37"/>
        <v>0</v>
      </c>
      <c r="N79" s="519">
        <f t="shared" si="41"/>
        <v>0</v>
      </c>
      <c r="O79" s="1087">
        <v>4</v>
      </c>
    </row>
    <row r="80" spans="1:15">
      <c r="A80" s="613"/>
      <c r="B80" s="872"/>
      <c r="C80" s="874"/>
      <c r="D80" s="873"/>
      <c r="E80" s="556"/>
      <c r="F80" s="556"/>
      <c r="G80" s="886"/>
      <c r="H80" s="887"/>
      <c r="I80" s="887"/>
      <c r="J80" s="886"/>
      <c r="K80" s="886"/>
      <c r="L80" s="887"/>
      <c r="M80" s="887"/>
      <c r="N80" s="886"/>
      <c r="O80" s="819"/>
    </row>
    <row r="81" spans="1:15">
      <c r="A81" s="613"/>
      <c r="B81" s="872"/>
      <c r="C81" s="874"/>
      <c r="D81" s="873"/>
      <c r="E81" s="556"/>
      <c r="F81" s="556"/>
      <c r="G81" s="886"/>
      <c r="H81" s="887"/>
      <c r="I81" s="887"/>
      <c r="J81" s="886"/>
      <c r="K81" s="886"/>
      <c r="L81" s="887"/>
      <c r="M81" s="887"/>
      <c r="N81" s="886"/>
      <c r="O81" s="819"/>
    </row>
    <row r="82" spans="1:15" ht="13">
      <c r="A82" s="521">
        <v>11</v>
      </c>
      <c r="B82" s="1125" t="s">
        <v>1870</v>
      </c>
      <c r="C82" s="1126"/>
      <c r="D82" s="1127"/>
      <c r="E82" s="165">
        <f>SUM(E49:E79)</f>
        <v>78568251.450000003</v>
      </c>
      <c r="F82" s="172"/>
      <c r="G82" s="165">
        <f>SUM(G49:G79)</f>
        <v>51409661.815307997</v>
      </c>
      <c r="H82" s="165">
        <f>SUM(H49:H79)</f>
        <v>803307.20530800009</v>
      </c>
      <c r="I82" s="165">
        <f>SUM(I49:I79)</f>
        <v>50606354.609999992</v>
      </c>
      <c r="J82" s="165">
        <f>SUM(J49:J79)</f>
        <v>25177401.109999999</v>
      </c>
      <c r="K82" s="172"/>
      <c r="L82" s="165">
        <f>SUM(L49:L79)</f>
        <v>5197635.6913589705</v>
      </c>
      <c r="M82" s="165">
        <f>SUM(M49:M79)</f>
        <v>19979765.418641031</v>
      </c>
      <c r="N82" s="165">
        <f>SUM(N49:N79)</f>
        <v>1981188.5246920001</v>
      </c>
      <c r="O82" s="111"/>
    </row>
    <row r="83" spans="1:15" ht="24.75" customHeight="1">
      <c r="A83" s="521">
        <v>12</v>
      </c>
      <c r="B83" s="1149" t="s">
        <v>1871</v>
      </c>
      <c r="C83" s="1150"/>
      <c r="D83" s="1151"/>
      <c r="E83" s="612">
        <v>78568251</v>
      </c>
      <c r="F83" s="164"/>
      <c r="G83" s="178"/>
      <c r="H83" s="164"/>
      <c r="I83" s="164"/>
      <c r="J83" s="161"/>
      <c r="K83" s="164"/>
      <c r="L83" s="161"/>
      <c r="M83" s="161"/>
      <c r="N83" s="161"/>
      <c r="O83" s="2"/>
    </row>
    <row r="84" spans="1:15" ht="13">
      <c r="A84" s="4"/>
      <c r="B84" s="1"/>
      <c r="C84" s="114"/>
      <c r="D84" s="114"/>
      <c r="E84" s="161"/>
      <c r="F84" s="161"/>
      <c r="G84" s="161"/>
      <c r="H84" s="164"/>
      <c r="I84" s="164"/>
      <c r="J84" s="161"/>
      <c r="K84" s="164"/>
      <c r="L84" s="161"/>
      <c r="M84" s="161"/>
      <c r="N84" s="161"/>
      <c r="O84" s="2"/>
    </row>
    <row r="85" spans="1:15">
      <c r="A85" s="521" t="s">
        <v>1872</v>
      </c>
      <c r="B85" s="647">
        <v>456</v>
      </c>
      <c r="C85" s="520" t="s">
        <v>1873</v>
      </c>
      <c r="D85" s="520" t="s">
        <v>1874</v>
      </c>
      <c r="E85" s="830">
        <v>1282474.92</v>
      </c>
      <c r="F85" s="830" t="s">
        <v>1702</v>
      </c>
      <c r="G85" s="836">
        <f t="shared" ref="G85:G93" si="42">IF(F85=$G$2,E85,0)</f>
        <v>1282474.92</v>
      </c>
      <c r="H85" s="837">
        <v>0</v>
      </c>
      <c r="I85" s="837">
        <f t="shared" ref="I85:I93" si="43">G85-H85</f>
        <v>1282474.92</v>
      </c>
      <c r="J85" s="836">
        <f t="shared" ref="J85:J100" si="44">IF(F85=$J$2,E85,0)</f>
        <v>0</v>
      </c>
      <c r="K85" s="836"/>
      <c r="L85" s="831"/>
      <c r="M85" s="837">
        <f t="shared" ref="M85:M100" si="45">J85-L85</f>
        <v>0</v>
      </c>
      <c r="N85" s="836">
        <f t="shared" ref="N85:N93" si="46">IF(F85=$N$2,E85,0)</f>
        <v>0</v>
      </c>
      <c r="O85" s="837">
        <v>1</v>
      </c>
    </row>
    <row r="86" spans="1:15">
      <c r="A86" s="521" t="s">
        <v>1875</v>
      </c>
      <c r="B86" s="647">
        <v>456</v>
      </c>
      <c r="C86" s="520" t="s">
        <v>1876</v>
      </c>
      <c r="D86" s="520" t="s">
        <v>1877</v>
      </c>
      <c r="E86" s="830">
        <v>9612.57</v>
      </c>
      <c r="F86" s="830" t="s">
        <v>1702</v>
      </c>
      <c r="G86" s="836">
        <f t="shared" si="42"/>
        <v>9612.57</v>
      </c>
      <c r="H86" s="837">
        <v>0</v>
      </c>
      <c r="I86" s="837">
        <f t="shared" si="43"/>
        <v>9612.57</v>
      </c>
      <c r="J86" s="836">
        <f t="shared" si="44"/>
        <v>0</v>
      </c>
      <c r="K86" s="836"/>
      <c r="L86" s="831"/>
      <c r="M86" s="837">
        <f t="shared" si="45"/>
        <v>0</v>
      </c>
      <c r="N86" s="836">
        <f t="shared" si="46"/>
        <v>0</v>
      </c>
      <c r="O86" s="837">
        <v>4</v>
      </c>
    </row>
    <row r="87" spans="1:15">
      <c r="A87" s="521" t="s">
        <v>1878</v>
      </c>
      <c r="B87" s="647">
        <v>456</v>
      </c>
      <c r="C87" s="520" t="s">
        <v>1879</v>
      </c>
      <c r="D87" s="520" t="s">
        <v>1880</v>
      </c>
      <c r="E87" s="830">
        <v>156829.9</v>
      </c>
      <c r="F87" s="830" t="s">
        <v>1702</v>
      </c>
      <c r="G87" s="836">
        <f t="shared" si="42"/>
        <v>156829.9</v>
      </c>
      <c r="H87" s="837">
        <v>0</v>
      </c>
      <c r="I87" s="837">
        <f t="shared" si="43"/>
        <v>156829.9</v>
      </c>
      <c r="J87" s="836">
        <f t="shared" si="44"/>
        <v>0</v>
      </c>
      <c r="K87" s="836"/>
      <c r="L87" s="831"/>
      <c r="M87" s="837">
        <f t="shared" si="45"/>
        <v>0</v>
      </c>
      <c r="N87" s="836">
        <f t="shared" si="46"/>
        <v>0</v>
      </c>
      <c r="O87" s="837">
        <v>4</v>
      </c>
    </row>
    <row r="88" spans="1:15">
      <c r="A88" s="521" t="s">
        <v>1881</v>
      </c>
      <c r="B88" s="647">
        <v>456</v>
      </c>
      <c r="C88" s="520" t="s">
        <v>1882</v>
      </c>
      <c r="D88" s="520" t="s">
        <v>1883</v>
      </c>
      <c r="E88" s="830"/>
      <c r="F88" s="830" t="s">
        <v>1702</v>
      </c>
      <c r="G88" s="836">
        <f t="shared" si="42"/>
        <v>0</v>
      </c>
      <c r="H88" s="837">
        <v>0</v>
      </c>
      <c r="I88" s="837">
        <f t="shared" si="43"/>
        <v>0</v>
      </c>
      <c r="J88" s="836">
        <f t="shared" si="44"/>
        <v>0</v>
      </c>
      <c r="K88" s="836"/>
      <c r="L88" s="831"/>
      <c r="M88" s="837">
        <f t="shared" si="45"/>
        <v>0</v>
      </c>
      <c r="N88" s="836">
        <f t="shared" si="46"/>
        <v>0</v>
      </c>
      <c r="O88" s="837">
        <v>3</v>
      </c>
    </row>
    <row r="89" spans="1:15">
      <c r="A89" s="521" t="s">
        <v>1884</v>
      </c>
      <c r="B89" s="647">
        <v>456</v>
      </c>
      <c r="C89" s="520" t="s">
        <v>1885</v>
      </c>
      <c r="D89" s="520" t="s">
        <v>1886</v>
      </c>
      <c r="E89" s="830"/>
      <c r="F89" s="830" t="s">
        <v>1702</v>
      </c>
      <c r="G89" s="836">
        <f t="shared" si="42"/>
        <v>0</v>
      </c>
      <c r="H89" s="837">
        <v>0</v>
      </c>
      <c r="I89" s="837">
        <f t="shared" si="43"/>
        <v>0</v>
      </c>
      <c r="J89" s="836">
        <f t="shared" si="44"/>
        <v>0</v>
      </c>
      <c r="K89" s="836"/>
      <c r="L89" s="831"/>
      <c r="M89" s="837">
        <f t="shared" si="45"/>
        <v>0</v>
      </c>
      <c r="N89" s="836">
        <f t="shared" si="46"/>
        <v>0</v>
      </c>
      <c r="O89" s="837">
        <v>1</v>
      </c>
    </row>
    <row r="90" spans="1:15">
      <c r="A90" s="521" t="s">
        <v>1887</v>
      </c>
      <c r="B90" s="647">
        <v>456</v>
      </c>
      <c r="C90" s="520" t="s">
        <v>1888</v>
      </c>
      <c r="D90" s="520" t="s">
        <v>1889</v>
      </c>
      <c r="E90" s="830">
        <v>772616.82</v>
      </c>
      <c r="F90" s="830" t="s">
        <v>1702</v>
      </c>
      <c r="G90" s="836">
        <f t="shared" si="42"/>
        <v>772616.82</v>
      </c>
      <c r="H90" s="837">
        <v>0</v>
      </c>
      <c r="I90" s="837">
        <f t="shared" si="43"/>
        <v>772616.82</v>
      </c>
      <c r="J90" s="836">
        <f t="shared" si="44"/>
        <v>0</v>
      </c>
      <c r="K90" s="836"/>
      <c r="L90" s="831"/>
      <c r="M90" s="837">
        <f t="shared" si="45"/>
        <v>0</v>
      </c>
      <c r="N90" s="836">
        <f t="shared" si="46"/>
        <v>0</v>
      </c>
      <c r="O90" s="837">
        <v>1</v>
      </c>
    </row>
    <row r="91" spans="1:15">
      <c r="A91" s="521" t="s">
        <v>1890</v>
      </c>
      <c r="B91" s="647">
        <v>456</v>
      </c>
      <c r="C91" s="520" t="s">
        <v>1891</v>
      </c>
      <c r="D91" s="520" t="s">
        <v>1892</v>
      </c>
      <c r="E91" s="830"/>
      <c r="F91" s="830" t="s">
        <v>1702</v>
      </c>
      <c r="G91" s="836">
        <f t="shared" si="42"/>
        <v>0</v>
      </c>
      <c r="H91" s="837">
        <v>0</v>
      </c>
      <c r="I91" s="837">
        <f t="shared" si="43"/>
        <v>0</v>
      </c>
      <c r="J91" s="836">
        <f t="shared" si="44"/>
        <v>0</v>
      </c>
      <c r="K91" s="836"/>
      <c r="L91" s="831"/>
      <c r="M91" s="837">
        <f t="shared" si="45"/>
        <v>0</v>
      </c>
      <c r="N91" s="836">
        <f t="shared" si="46"/>
        <v>0</v>
      </c>
      <c r="O91" s="837">
        <v>3</v>
      </c>
    </row>
    <row r="92" spans="1:15">
      <c r="A92" s="521" t="s">
        <v>1893</v>
      </c>
      <c r="B92" s="647">
        <v>456</v>
      </c>
      <c r="C92" s="647">
        <v>4186142</v>
      </c>
      <c r="D92" s="520" t="s">
        <v>1894</v>
      </c>
      <c r="E92" s="830"/>
      <c r="F92" s="830" t="s">
        <v>1702</v>
      </c>
      <c r="G92" s="836">
        <f t="shared" si="42"/>
        <v>0</v>
      </c>
      <c r="H92" s="837">
        <v>0</v>
      </c>
      <c r="I92" s="837">
        <f t="shared" si="43"/>
        <v>0</v>
      </c>
      <c r="J92" s="836">
        <f t="shared" si="44"/>
        <v>0</v>
      </c>
      <c r="K92" s="836"/>
      <c r="L92" s="831"/>
      <c r="M92" s="837">
        <f t="shared" si="45"/>
        <v>0</v>
      </c>
      <c r="N92" s="836">
        <f t="shared" si="46"/>
        <v>0</v>
      </c>
      <c r="O92" s="837">
        <v>4</v>
      </c>
    </row>
    <row r="93" spans="1:15">
      <c r="A93" s="521" t="s">
        <v>1895</v>
      </c>
      <c r="B93" s="647">
        <v>456</v>
      </c>
      <c r="C93" s="520" t="s">
        <v>1896</v>
      </c>
      <c r="D93" s="520" t="s">
        <v>1897</v>
      </c>
      <c r="E93" s="830"/>
      <c r="F93" s="830" t="s">
        <v>1702</v>
      </c>
      <c r="G93" s="836">
        <f t="shared" si="42"/>
        <v>0</v>
      </c>
      <c r="H93" s="837">
        <f>E93*$D$279</f>
        <v>0</v>
      </c>
      <c r="I93" s="837">
        <f t="shared" si="43"/>
        <v>0</v>
      </c>
      <c r="J93" s="836">
        <f t="shared" si="44"/>
        <v>0</v>
      </c>
      <c r="K93" s="836"/>
      <c r="L93" s="831"/>
      <c r="M93" s="837">
        <f t="shared" si="45"/>
        <v>0</v>
      </c>
      <c r="N93" s="836">
        <f t="shared" si="46"/>
        <v>0</v>
      </c>
      <c r="O93" s="837">
        <v>7</v>
      </c>
    </row>
    <row r="94" spans="1:15">
      <c r="A94" s="521" t="s">
        <v>1898</v>
      </c>
      <c r="B94" s="647">
        <v>456</v>
      </c>
      <c r="C94" s="520" t="s">
        <v>1899</v>
      </c>
      <c r="D94" s="520" t="s">
        <v>1900</v>
      </c>
      <c r="E94" s="830">
        <v>6258.49</v>
      </c>
      <c r="F94" s="830" t="s">
        <v>1704</v>
      </c>
      <c r="G94" s="836">
        <f>I94+H94</f>
        <v>416.81543400000004</v>
      </c>
      <c r="H94" s="837">
        <f>E94*$D$285</f>
        <v>416.81543400000004</v>
      </c>
      <c r="I94" s="837">
        <v>0</v>
      </c>
      <c r="J94" s="836">
        <f t="shared" si="44"/>
        <v>0</v>
      </c>
      <c r="K94" s="836"/>
      <c r="L94" s="831"/>
      <c r="M94" s="837">
        <f t="shared" si="45"/>
        <v>0</v>
      </c>
      <c r="N94" s="836">
        <f>IF(F94=$N$2,E94-H94,0)</f>
        <v>5841.6745659999997</v>
      </c>
      <c r="O94" s="837" t="s">
        <v>1817</v>
      </c>
    </row>
    <row r="95" spans="1:15">
      <c r="A95" s="521" t="s">
        <v>1901</v>
      </c>
      <c r="B95" s="647">
        <v>456</v>
      </c>
      <c r="C95" s="520" t="s">
        <v>1902</v>
      </c>
      <c r="D95" s="520" t="s">
        <v>1903</v>
      </c>
      <c r="E95" s="830">
        <v>-1567.49</v>
      </c>
      <c r="F95" s="830" t="s">
        <v>1702</v>
      </c>
      <c r="G95" s="836">
        <f t="shared" ref="G95:G134" si="47">IF(F95=$G$2,E95,0)</f>
        <v>-1567.49</v>
      </c>
      <c r="H95" s="837">
        <v>0</v>
      </c>
      <c r="I95" s="837">
        <f t="shared" ref="I95:I100" si="48">G95-H95</f>
        <v>-1567.49</v>
      </c>
      <c r="J95" s="836">
        <f t="shared" si="44"/>
        <v>0</v>
      </c>
      <c r="K95" s="836"/>
      <c r="L95" s="831"/>
      <c r="M95" s="837">
        <f t="shared" si="45"/>
        <v>0</v>
      </c>
      <c r="N95" s="836">
        <f t="shared" ref="N95:N100" si="49">IF(F95=$N$2,E95,0)</f>
        <v>0</v>
      </c>
      <c r="O95" s="837">
        <v>4</v>
      </c>
    </row>
    <row r="96" spans="1:15">
      <c r="A96" s="521" t="s">
        <v>1904</v>
      </c>
      <c r="B96" s="647">
        <v>456</v>
      </c>
      <c r="C96" s="520" t="s">
        <v>1905</v>
      </c>
      <c r="D96" s="520" t="s">
        <v>1906</v>
      </c>
      <c r="E96" s="830">
        <v>15732.16</v>
      </c>
      <c r="F96" s="830" t="s">
        <v>1702</v>
      </c>
      <c r="G96" s="836">
        <f t="shared" si="47"/>
        <v>15732.16</v>
      </c>
      <c r="H96" s="837">
        <v>0</v>
      </c>
      <c r="I96" s="837">
        <f t="shared" si="48"/>
        <v>15732.16</v>
      </c>
      <c r="J96" s="836">
        <f t="shared" si="44"/>
        <v>0</v>
      </c>
      <c r="K96" s="836"/>
      <c r="L96" s="831"/>
      <c r="M96" s="837">
        <f t="shared" si="45"/>
        <v>0</v>
      </c>
      <c r="N96" s="836">
        <f t="shared" si="49"/>
        <v>0</v>
      </c>
      <c r="O96" s="837">
        <v>4</v>
      </c>
    </row>
    <row r="97" spans="1:15">
      <c r="A97" s="521" t="s">
        <v>1907</v>
      </c>
      <c r="B97" s="647">
        <v>456</v>
      </c>
      <c r="C97" s="520" t="s">
        <v>1908</v>
      </c>
      <c r="D97" s="520" t="s">
        <v>1909</v>
      </c>
      <c r="E97" s="830">
        <v>-4753.67</v>
      </c>
      <c r="F97" s="830" t="s">
        <v>1702</v>
      </c>
      <c r="G97" s="836">
        <f t="shared" si="47"/>
        <v>-4753.67</v>
      </c>
      <c r="H97" s="837">
        <v>0</v>
      </c>
      <c r="I97" s="837">
        <f t="shared" si="48"/>
        <v>-4753.67</v>
      </c>
      <c r="J97" s="836">
        <f t="shared" si="44"/>
        <v>0</v>
      </c>
      <c r="K97" s="836"/>
      <c r="L97" s="831"/>
      <c r="M97" s="837">
        <f t="shared" si="45"/>
        <v>0</v>
      </c>
      <c r="N97" s="836">
        <f t="shared" si="49"/>
        <v>0</v>
      </c>
      <c r="O97" s="837">
        <v>4</v>
      </c>
    </row>
    <row r="98" spans="1:15">
      <c r="A98" s="521" t="s">
        <v>1910</v>
      </c>
      <c r="B98" s="647">
        <v>456</v>
      </c>
      <c r="C98" s="520" t="s">
        <v>1911</v>
      </c>
      <c r="D98" s="520" t="s">
        <v>1912</v>
      </c>
      <c r="E98" s="830">
        <v>1075.83</v>
      </c>
      <c r="F98" s="830" t="s">
        <v>1702</v>
      </c>
      <c r="G98" s="836">
        <f t="shared" si="47"/>
        <v>1075.83</v>
      </c>
      <c r="H98" s="837">
        <v>0</v>
      </c>
      <c r="I98" s="837">
        <f t="shared" si="48"/>
        <v>1075.83</v>
      </c>
      <c r="J98" s="836">
        <f t="shared" si="44"/>
        <v>0</v>
      </c>
      <c r="K98" s="836"/>
      <c r="L98" s="831"/>
      <c r="M98" s="837">
        <f t="shared" si="45"/>
        <v>0</v>
      </c>
      <c r="N98" s="836">
        <f t="shared" si="49"/>
        <v>0</v>
      </c>
      <c r="O98" s="837">
        <v>4</v>
      </c>
    </row>
    <row r="99" spans="1:15">
      <c r="A99" s="521" t="s">
        <v>1913</v>
      </c>
      <c r="B99" s="647">
        <v>456</v>
      </c>
      <c r="C99" s="520" t="s">
        <v>1914</v>
      </c>
      <c r="D99" s="520" t="s">
        <v>1915</v>
      </c>
      <c r="E99" s="830">
        <v>774.58</v>
      </c>
      <c r="F99" s="830" t="s">
        <v>1702</v>
      </c>
      <c r="G99" s="836">
        <f t="shared" si="47"/>
        <v>774.58</v>
      </c>
      <c r="H99" s="837">
        <v>0</v>
      </c>
      <c r="I99" s="837">
        <f t="shared" si="48"/>
        <v>774.58</v>
      </c>
      <c r="J99" s="836">
        <f t="shared" si="44"/>
        <v>0</v>
      </c>
      <c r="K99" s="836"/>
      <c r="L99" s="831"/>
      <c r="M99" s="837">
        <f t="shared" si="45"/>
        <v>0</v>
      </c>
      <c r="N99" s="836">
        <f t="shared" si="49"/>
        <v>0</v>
      </c>
      <c r="O99" s="837">
        <v>4</v>
      </c>
    </row>
    <row r="100" spans="1:15">
      <c r="A100" s="521" t="s">
        <v>1916</v>
      </c>
      <c r="B100" s="647">
        <v>456</v>
      </c>
      <c r="C100" s="520" t="s">
        <v>1917</v>
      </c>
      <c r="D100" s="520" t="s">
        <v>1918</v>
      </c>
      <c r="E100" s="830">
        <v>208656</v>
      </c>
      <c r="F100" s="830" t="s">
        <v>1702</v>
      </c>
      <c r="G100" s="836">
        <f t="shared" si="47"/>
        <v>208656</v>
      </c>
      <c r="H100" s="837">
        <v>0</v>
      </c>
      <c r="I100" s="837">
        <f t="shared" si="48"/>
        <v>208656</v>
      </c>
      <c r="J100" s="836">
        <f t="shared" si="44"/>
        <v>0</v>
      </c>
      <c r="K100" s="836"/>
      <c r="L100" s="831"/>
      <c r="M100" s="837">
        <f t="shared" si="45"/>
        <v>0</v>
      </c>
      <c r="N100" s="836">
        <f t="shared" si="49"/>
        <v>0</v>
      </c>
      <c r="O100" s="837">
        <v>4</v>
      </c>
    </row>
    <row r="101" spans="1:15">
      <c r="A101" s="521" t="s">
        <v>1919</v>
      </c>
      <c r="B101" s="647">
        <v>456</v>
      </c>
      <c r="C101" s="520" t="s">
        <v>1920</v>
      </c>
      <c r="D101" s="520" t="s">
        <v>1921</v>
      </c>
      <c r="E101" s="823">
        <v>1948151.98</v>
      </c>
      <c r="F101" s="830" t="s">
        <v>1703</v>
      </c>
      <c r="G101" s="836">
        <f t="shared" si="47"/>
        <v>0</v>
      </c>
      <c r="H101" s="837">
        <v>0</v>
      </c>
      <c r="I101" s="837">
        <f t="shared" ref="I101:I111" si="50">G101-H101</f>
        <v>0</v>
      </c>
      <c r="J101" s="836">
        <f t="shared" ref="J101:J111" si="51">IF(F101=$J$2,E101,0)</f>
        <v>1948151.98</v>
      </c>
      <c r="K101" s="982" t="s">
        <v>1744</v>
      </c>
      <c r="L101" s="722">
        <v>20435.996433463399</v>
      </c>
      <c r="M101" s="837">
        <f t="shared" ref="M101:M111" si="52">J101-L101</f>
        <v>1927715.9835665366</v>
      </c>
      <c r="N101" s="836">
        <f t="shared" ref="N101:N111" si="53">IF(F101=$N$2,E101,0)</f>
        <v>0</v>
      </c>
      <c r="O101" s="837">
        <v>2</v>
      </c>
    </row>
    <row r="102" spans="1:15">
      <c r="A102" s="521" t="s">
        <v>1922</v>
      </c>
      <c r="B102" s="647">
        <v>456</v>
      </c>
      <c r="C102" s="520" t="s">
        <v>1923</v>
      </c>
      <c r="D102" s="520" t="s">
        <v>1924</v>
      </c>
      <c r="E102" s="830">
        <v>208838.21</v>
      </c>
      <c r="F102" s="830" t="s">
        <v>1703</v>
      </c>
      <c r="G102" s="836">
        <f t="shared" si="47"/>
        <v>0</v>
      </c>
      <c r="H102" s="837">
        <v>0</v>
      </c>
      <c r="I102" s="837">
        <f t="shared" si="50"/>
        <v>0</v>
      </c>
      <c r="J102" s="836">
        <f t="shared" si="51"/>
        <v>208838.21</v>
      </c>
      <c r="K102" s="982" t="s">
        <v>1744</v>
      </c>
      <c r="L102" s="838">
        <v>15566.3562512146</v>
      </c>
      <c r="M102" s="837">
        <f t="shared" si="52"/>
        <v>193271.85374878539</v>
      </c>
      <c r="N102" s="836">
        <f t="shared" si="53"/>
        <v>0</v>
      </c>
      <c r="O102" s="837">
        <v>2</v>
      </c>
    </row>
    <row r="103" spans="1:15">
      <c r="A103" s="521" t="s">
        <v>1925</v>
      </c>
      <c r="B103" s="647">
        <v>456</v>
      </c>
      <c r="C103" s="520" t="s">
        <v>1926</v>
      </c>
      <c r="D103" s="520" t="s">
        <v>1927</v>
      </c>
      <c r="E103" s="830">
        <v>94875</v>
      </c>
      <c r="F103" s="830" t="s">
        <v>1703</v>
      </c>
      <c r="G103" s="836">
        <f t="shared" si="47"/>
        <v>0</v>
      </c>
      <c r="H103" s="837">
        <v>0</v>
      </c>
      <c r="I103" s="837">
        <f t="shared" si="50"/>
        <v>0</v>
      </c>
      <c r="J103" s="836">
        <f t="shared" si="51"/>
        <v>94875</v>
      </c>
      <c r="K103" s="982" t="s">
        <v>1744</v>
      </c>
      <c r="L103" s="831">
        <v>5822.1283120981998</v>
      </c>
      <c r="M103" s="837">
        <f t="shared" si="52"/>
        <v>89052.871687901803</v>
      </c>
      <c r="N103" s="836">
        <f t="shared" si="53"/>
        <v>0</v>
      </c>
      <c r="O103" s="837">
        <v>2</v>
      </c>
    </row>
    <row r="104" spans="1:15">
      <c r="A104" s="521" t="s">
        <v>1928</v>
      </c>
      <c r="B104" s="647">
        <v>456</v>
      </c>
      <c r="C104" s="520" t="s">
        <v>1929</v>
      </c>
      <c r="D104" s="520" t="s">
        <v>1930</v>
      </c>
      <c r="E104" s="830">
        <v>0</v>
      </c>
      <c r="F104" s="830" t="s">
        <v>1703</v>
      </c>
      <c r="G104" s="836">
        <f t="shared" si="47"/>
        <v>0</v>
      </c>
      <c r="H104" s="837">
        <v>0</v>
      </c>
      <c r="I104" s="837">
        <f t="shared" si="50"/>
        <v>0</v>
      </c>
      <c r="J104" s="836">
        <f t="shared" si="51"/>
        <v>0</v>
      </c>
      <c r="K104" s="982" t="s">
        <v>1744</v>
      </c>
      <c r="L104" s="831">
        <v>0</v>
      </c>
      <c r="M104" s="837">
        <f t="shared" si="52"/>
        <v>0</v>
      </c>
      <c r="N104" s="836">
        <f t="shared" si="53"/>
        <v>0</v>
      </c>
      <c r="O104" s="837">
        <v>2</v>
      </c>
    </row>
    <row r="105" spans="1:15">
      <c r="A105" s="521" t="s">
        <v>1931</v>
      </c>
      <c r="B105" s="647">
        <v>456</v>
      </c>
      <c r="C105" s="520" t="s">
        <v>1932</v>
      </c>
      <c r="D105" s="520" t="s">
        <v>1933</v>
      </c>
      <c r="E105" s="830">
        <v>0</v>
      </c>
      <c r="F105" s="830" t="s">
        <v>1703</v>
      </c>
      <c r="G105" s="836">
        <f t="shared" si="47"/>
        <v>0</v>
      </c>
      <c r="H105" s="837">
        <v>0</v>
      </c>
      <c r="I105" s="837">
        <f t="shared" si="50"/>
        <v>0</v>
      </c>
      <c r="J105" s="836">
        <f t="shared" si="51"/>
        <v>0</v>
      </c>
      <c r="K105" s="982" t="s">
        <v>1744</v>
      </c>
      <c r="L105" s="831">
        <v>0</v>
      </c>
      <c r="M105" s="837">
        <f t="shared" si="52"/>
        <v>0</v>
      </c>
      <c r="N105" s="836">
        <f t="shared" si="53"/>
        <v>0</v>
      </c>
      <c r="O105" s="837">
        <v>2</v>
      </c>
    </row>
    <row r="106" spans="1:15">
      <c r="A106" s="521" t="s">
        <v>1934</v>
      </c>
      <c r="B106" s="647">
        <v>456</v>
      </c>
      <c r="C106" s="520" t="s">
        <v>1935</v>
      </c>
      <c r="D106" s="520" t="s">
        <v>1936</v>
      </c>
      <c r="E106" s="830">
        <v>0</v>
      </c>
      <c r="F106" s="830" t="s">
        <v>1703</v>
      </c>
      <c r="G106" s="836">
        <f t="shared" si="47"/>
        <v>0</v>
      </c>
      <c r="H106" s="837">
        <v>0</v>
      </c>
      <c r="I106" s="837">
        <f t="shared" si="50"/>
        <v>0</v>
      </c>
      <c r="J106" s="836">
        <f t="shared" si="51"/>
        <v>0</v>
      </c>
      <c r="K106" s="982" t="s">
        <v>1744</v>
      </c>
      <c r="L106" s="831">
        <v>0</v>
      </c>
      <c r="M106" s="837">
        <f t="shared" si="52"/>
        <v>0</v>
      </c>
      <c r="N106" s="836">
        <f t="shared" si="53"/>
        <v>0</v>
      </c>
      <c r="O106" s="837">
        <v>2</v>
      </c>
    </row>
    <row r="107" spans="1:15">
      <c r="A107" s="521" t="s">
        <v>1937</v>
      </c>
      <c r="B107" s="647">
        <v>456</v>
      </c>
      <c r="C107" s="520" t="s">
        <v>1938</v>
      </c>
      <c r="D107" s="520" t="s">
        <v>1939</v>
      </c>
      <c r="E107" s="830">
        <v>0</v>
      </c>
      <c r="F107" s="830" t="s">
        <v>1703</v>
      </c>
      <c r="G107" s="836">
        <f t="shared" si="47"/>
        <v>0</v>
      </c>
      <c r="H107" s="837">
        <v>0</v>
      </c>
      <c r="I107" s="837">
        <f t="shared" si="50"/>
        <v>0</v>
      </c>
      <c r="J107" s="836">
        <f t="shared" si="51"/>
        <v>0</v>
      </c>
      <c r="K107" s="982" t="s">
        <v>1488</v>
      </c>
      <c r="L107" s="831">
        <v>0</v>
      </c>
      <c r="M107" s="837">
        <f t="shared" si="52"/>
        <v>0</v>
      </c>
      <c r="N107" s="836">
        <f t="shared" si="53"/>
        <v>0</v>
      </c>
      <c r="O107" s="837">
        <v>2</v>
      </c>
    </row>
    <row r="108" spans="1:15">
      <c r="A108" s="299" t="s">
        <v>1940</v>
      </c>
      <c r="B108" s="647">
        <v>456</v>
      </c>
      <c r="C108" s="520" t="s">
        <v>1941</v>
      </c>
      <c r="D108" s="520" t="s">
        <v>1942</v>
      </c>
      <c r="E108" s="830">
        <v>0</v>
      </c>
      <c r="F108" s="830" t="s">
        <v>1703</v>
      </c>
      <c r="G108" s="836">
        <f t="shared" si="47"/>
        <v>0</v>
      </c>
      <c r="H108" s="837">
        <v>0</v>
      </c>
      <c r="I108" s="837">
        <f t="shared" si="50"/>
        <v>0</v>
      </c>
      <c r="J108" s="836">
        <f t="shared" si="51"/>
        <v>0</v>
      </c>
      <c r="K108" s="982" t="s">
        <v>1488</v>
      </c>
      <c r="L108" s="831">
        <v>0</v>
      </c>
      <c r="M108" s="837">
        <f t="shared" si="52"/>
        <v>0</v>
      </c>
      <c r="N108" s="836">
        <f t="shared" si="53"/>
        <v>0</v>
      </c>
      <c r="O108" s="837">
        <v>2</v>
      </c>
    </row>
    <row r="109" spans="1:15">
      <c r="A109" s="625" t="s">
        <v>1943</v>
      </c>
      <c r="B109" s="647">
        <v>456</v>
      </c>
      <c r="C109" s="520" t="s">
        <v>1944</v>
      </c>
      <c r="D109" s="520" t="s">
        <v>1945</v>
      </c>
      <c r="E109" s="830">
        <v>0</v>
      </c>
      <c r="F109" s="830" t="s">
        <v>1703</v>
      </c>
      <c r="G109" s="836">
        <f t="shared" si="47"/>
        <v>0</v>
      </c>
      <c r="H109" s="837">
        <v>0</v>
      </c>
      <c r="I109" s="837">
        <f t="shared" si="50"/>
        <v>0</v>
      </c>
      <c r="J109" s="836">
        <f t="shared" si="51"/>
        <v>0</v>
      </c>
      <c r="K109" s="982" t="s">
        <v>1488</v>
      </c>
      <c r="L109" s="831">
        <v>0</v>
      </c>
      <c r="M109" s="837">
        <f t="shared" si="52"/>
        <v>0</v>
      </c>
      <c r="N109" s="836">
        <f t="shared" si="53"/>
        <v>0</v>
      </c>
      <c r="O109" s="837">
        <v>2</v>
      </c>
    </row>
    <row r="110" spans="1:15">
      <c r="A110" s="299" t="s">
        <v>1946</v>
      </c>
      <c r="B110" s="647">
        <v>456</v>
      </c>
      <c r="C110" s="520" t="s">
        <v>1947</v>
      </c>
      <c r="D110" s="520" t="s">
        <v>1948</v>
      </c>
      <c r="E110" s="830">
        <v>0</v>
      </c>
      <c r="F110" s="830" t="s">
        <v>1703</v>
      </c>
      <c r="G110" s="836">
        <f t="shared" si="47"/>
        <v>0</v>
      </c>
      <c r="H110" s="837">
        <v>0</v>
      </c>
      <c r="I110" s="837">
        <f t="shared" si="50"/>
        <v>0</v>
      </c>
      <c r="J110" s="836">
        <f t="shared" si="51"/>
        <v>0</v>
      </c>
      <c r="K110" s="982" t="s">
        <v>1488</v>
      </c>
      <c r="L110" s="831">
        <v>0</v>
      </c>
      <c r="M110" s="837">
        <f t="shared" si="52"/>
        <v>0</v>
      </c>
      <c r="N110" s="836">
        <f t="shared" si="53"/>
        <v>0</v>
      </c>
      <c r="O110" s="837">
        <v>2</v>
      </c>
    </row>
    <row r="111" spans="1:15">
      <c r="A111" s="521" t="s">
        <v>1949</v>
      </c>
      <c r="B111" s="647">
        <v>456</v>
      </c>
      <c r="C111" s="520" t="s">
        <v>1950</v>
      </c>
      <c r="D111" s="520" t="s">
        <v>1951</v>
      </c>
      <c r="E111" s="830">
        <v>0</v>
      </c>
      <c r="F111" s="830" t="s">
        <v>1703</v>
      </c>
      <c r="G111" s="836">
        <f t="shared" si="47"/>
        <v>0</v>
      </c>
      <c r="H111" s="837">
        <v>0</v>
      </c>
      <c r="I111" s="837">
        <f t="shared" si="50"/>
        <v>0</v>
      </c>
      <c r="J111" s="836">
        <f t="shared" si="51"/>
        <v>0</v>
      </c>
      <c r="K111" s="982" t="s">
        <v>1488</v>
      </c>
      <c r="L111" s="838">
        <v>0</v>
      </c>
      <c r="M111" s="837">
        <f t="shared" si="52"/>
        <v>0</v>
      </c>
      <c r="N111" s="836">
        <f t="shared" si="53"/>
        <v>0</v>
      </c>
      <c r="O111" s="837">
        <v>2</v>
      </c>
    </row>
    <row r="112" spans="1:15">
      <c r="A112" s="521" t="s">
        <v>1952</v>
      </c>
      <c r="B112" s="647">
        <v>456</v>
      </c>
      <c r="C112" s="520" t="s">
        <v>1953</v>
      </c>
      <c r="D112" s="520" t="s">
        <v>1954</v>
      </c>
      <c r="E112" s="830"/>
      <c r="F112" s="830" t="s">
        <v>1704</v>
      </c>
      <c r="G112" s="836">
        <f t="shared" si="47"/>
        <v>0</v>
      </c>
      <c r="H112" s="837">
        <v>0</v>
      </c>
      <c r="I112" s="837">
        <f t="shared" ref="I112:I134" si="54">G112-H112</f>
        <v>0</v>
      </c>
      <c r="J112" s="836">
        <f t="shared" ref="J112:J134" si="55">IF(F112=$J$2,E112,0)</f>
        <v>0</v>
      </c>
      <c r="K112" s="836"/>
      <c r="L112" s="831"/>
      <c r="M112" s="837">
        <f t="shared" ref="M112:M134" si="56">J112-L112</f>
        <v>0</v>
      </c>
      <c r="N112" s="836">
        <f t="shared" ref="N112:N119" si="57">IF(F112=$N$2,E112,0)</f>
        <v>0</v>
      </c>
      <c r="O112" s="837">
        <v>6</v>
      </c>
    </row>
    <row r="113" spans="1:15">
      <c r="A113" s="521" t="s">
        <v>1955</v>
      </c>
      <c r="B113" s="647">
        <v>456</v>
      </c>
      <c r="C113" s="520" t="s">
        <v>1956</v>
      </c>
      <c r="D113" s="520" t="s">
        <v>1957</v>
      </c>
      <c r="E113" s="830">
        <v>25170810.27</v>
      </c>
      <c r="F113" s="830" t="s">
        <v>1702</v>
      </c>
      <c r="G113" s="836">
        <f t="shared" si="47"/>
        <v>25170810.27</v>
      </c>
      <c r="H113" s="837">
        <v>0</v>
      </c>
      <c r="I113" s="837">
        <f t="shared" si="54"/>
        <v>25170810.27</v>
      </c>
      <c r="J113" s="836">
        <f t="shared" si="55"/>
        <v>0</v>
      </c>
      <c r="K113" s="836"/>
      <c r="L113" s="831"/>
      <c r="M113" s="837">
        <f t="shared" si="56"/>
        <v>0</v>
      </c>
      <c r="N113" s="836">
        <f t="shared" si="57"/>
        <v>0</v>
      </c>
      <c r="O113" s="837">
        <v>4</v>
      </c>
    </row>
    <row r="114" spans="1:15">
      <c r="A114" s="521" t="s">
        <v>1958</v>
      </c>
      <c r="B114" s="647">
        <v>456</v>
      </c>
      <c r="C114" s="520" t="s">
        <v>1959</v>
      </c>
      <c r="D114" s="520" t="s">
        <v>1960</v>
      </c>
      <c r="E114" s="830">
        <v>262180764.38999999</v>
      </c>
      <c r="F114" s="830" t="s">
        <v>1704</v>
      </c>
      <c r="G114" s="836">
        <f t="shared" si="47"/>
        <v>0</v>
      </c>
      <c r="H114" s="837">
        <v>0</v>
      </c>
      <c r="I114" s="837">
        <f t="shared" si="54"/>
        <v>0</v>
      </c>
      <c r="J114" s="836">
        <f t="shared" si="55"/>
        <v>0</v>
      </c>
      <c r="K114" s="836"/>
      <c r="L114" s="831"/>
      <c r="M114" s="837">
        <f t="shared" si="56"/>
        <v>0</v>
      </c>
      <c r="N114" s="836">
        <f t="shared" si="57"/>
        <v>262180764.38999999</v>
      </c>
      <c r="O114" s="837">
        <v>6</v>
      </c>
    </row>
    <row r="115" spans="1:15">
      <c r="A115" s="521" t="s">
        <v>1961</v>
      </c>
      <c r="B115" s="647">
        <v>456</v>
      </c>
      <c r="C115" s="520" t="s">
        <v>1962</v>
      </c>
      <c r="D115" s="520" t="s">
        <v>1963</v>
      </c>
      <c r="E115" s="830">
        <v>-35828736.210000001</v>
      </c>
      <c r="F115" s="830" t="s">
        <v>1704</v>
      </c>
      <c r="G115" s="836">
        <f t="shared" si="47"/>
        <v>0</v>
      </c>
      <c r="H115" s="837">
        <v>0</v>
      </c>
      <c r="I115" s="837">
        <f t="shared" si="54"/>
        <v>0</v>
      </c>
      <c r="J115" s="836">
        <f t="shared" si="55"/>
        <v>0</v>
      </c>
      <c r="K115" s="836"/>
      <c r="L115" s="831"/>
      <c r="M115" s="837">
        <f t="shared" si="56"/>
        <v>0</v>
      </c>
      <c r="N115" s="836">
        <f t="shared" si="57"/>
        <v>-35828736.210000001</v>
      </c>
      <c r="O115" s="837">
        <v>6</v>
      </c>
    </row>
    <row r="116" spans="1:15">
      <c r="A116" s="521" t="s">
        <v>1964</v>
      </c>
      <c r="B116" s="647">
        <v>456</v>
      </c>
      <c r="C116" s="520" t="s">
        <v>1965</v>
      </c>
      <c r="D116" s="520" t="s">
        <v>1966</v>
      </c>
      <c r="E116" s="830">
        <v>-262180764.38999999</v>
      </c>
      <c r="F116" s="830" t="s">
        <v>1704</v>
      </c>
      <c r="G116" s="836">
        <f t="shared" si="47"/>
        <v>0</v>
      </c>
      <c r="H116" s="837">
        <v>0</v>
      </c>
      <c r="I116" s="837">
        <f t="shared" si="54"/>
        <v>0</v>
      </c>
      <c r="J116" s="836">
        <f t="shared" si="55"/>
        <v>0</v>
      </c>
      <c r="K116" s="836"/>
      <c r="L116" s="831"/>
      <c r="M116" s="837">
        <f t="shared" si="56"/>
        <v>0</v>
      </c>
      <c r="N116" s="836">
        <f t="shared" si="57"/>
        <v>-262180764.38999999</v>
      </c>
      <c r="O116" s="837">
        <v>6</v>
      </c>
    </row>
    <row r="117" spans="1:15">
      <c r="A117" s="521" t="s">
        <v>1967</v>
      </c>
      <c r="B117" s="647">
        <v>456</v>
      </c>
      <c r="C117" s="520" t="s">
        <v>1968</v>
      </c>
      <c r="D117" s="520" t="s">
        <v>1969</v>
      </c>
      <c r="E117" s="830">
        <v>35828736.210000001</v>
      </c>
      <c r="F117" s="830" t="s">
        <v>1704</v>
      </c>
      <c r="G117" s="836">
        <f t="shared" si="47"/>
        <v>0</v>
      </c>
      <c r="H117" s="837">
        <v>0</v>
      </c>
      <c r="I117" s="837">
        <f t="shared" si="54"/>
        <v>0</v>
      </c>
      <c r="J117" s="836">
        <f t="shared" si="55"/>
        <v>0</v>
      </c>
      <c r="K117" s="836"/>
      <c r="L117" s="831"/>
      <c r="M117" s="837">
        <f t="shared" si="56"/>
        <v>0</v>
      </c>
      <c r="N117" s="836">
        <f t="shared" si="57"/>
        <v>35828736.210000001</v>
      </c>
      <c r="O117" s="837">
        <v>6</v>
      </c>
    </row>
    <row r="118" spans="1:15">
      <c r="A118" s="521" t="s">
        <v>1970</v>
      </c>
      <c r="B118" s="647">
        <v>456</v>
      </c>
      <c r="C118" s="520" t="s">
        <v>1971</v>
      </c>
      <c r="D118" s="520" t="s">
        <v>1972</v>
      </c>
      <c r="E118" s="830">
        <v>31422258.850000001</v>
      </c>
      <c r="F118" s="830" t="s">
        <v>1704</v>
      </c>
      <c r="G118" s="836">
        <f t="shared" si="47"/>
        <v>0</v>
      </c>
      <c r="H118" s="837">
        <v>0</v>
      </c>
      <c r="I118" s="837">
        <f t="shared" si="54"/>
        <v>0</v>
      </c>
      <c r="J118" s="836">
        <f t="shared" si="55"/>
        <v>0</v>
      </c>
      <c r="K118" s="836"/>
      <c r="L118" s="831"/>
      <c r="M118" s="837">
        <f t="shared" si="56"/>
        <v>0</v>
      </c>
      <c r="N118" s="836">
        <f t="shared" si="57"/>
        <v>31422258.850000001</v>
      </c>
      <c r="O118" s="837">
        <v>6</v>
      </c>
    </row>
    <row r="119" spans="1:15">
      <c r="A119" s="521" t="s">
        <v>1973</v>
      </c>
      <c r="B119" s="647">
        <v>456</v>
      </c>
      <c r="C119" s="520" t="s">
        <v>1974</v>
      </c>
      <c r="D119" s="520" t="s">
        <v>1975</v>
      </c>
      <c r="E119" s="830">
        <v>-31422258.850000001</v>
      </c>
      <c r="F119" s="830" t="s">
        <v>1704</v>
      </c>
      <c r="G119" s="836">
        <f t="shared" si="47"/>
        <v>0</v>
      </c>
      <c r="H119" s="837">
        <v>0</v>
      </c>
      <c r="I119" s="837">
        <f t="shared" si="54"/>
        <v>0</v>
      </c>
      <c r="J119" s="836">
        <f t="shared" si="55"/>
        <v>0</v>
      </c>
      <c r="K119" s="836"/>
      <c r="L119" s="831"/>
      <c r="M119" s="837">
        <f t="shared" si="56"/>
        <v>0</v>
      </c>
      <c r="N119" s="836">
        <f t="shared" si="57"/>
        <v>-31422258.850000001</v>
      </c>
      <c r="O119" s="837">
        <v>6</v>
      </c>
    </row>
    <row r="120" spans="1:15">
      <c r="A120" s="521" t="s">
        <v>1976</v>
      </c>
      <c r="B120" s="647">
        <v>456</v>
      </c>
      <c r="C120" s="520" t="s">
        <v>1977</v>
      </c>
      <c r="D120" s="520" t="s">
        <v>1978</v>
      </c>
      <c r="E120" s="830">
        <v>0</v>
      </c>
      <c r="F120" s="830" t="s">
        <v>1703</v>
      </c>
      <c r="G120" s="836">
        <f t="shared" si="47"/>
        <v>0</v>
      </c>
      <c r="H120" s="837">
        <v>0</v>
      </c>
      <c r="I120" s="837">
        <f t="shared" si="54"/>
        <v>0</v>
      </c>
      <c r="J120" s="836">
        <f t="shared" si="55"/>
        <v>0</v>
      </c>
      <c r="K120" s="982" t="s">
        <v>1488</v>
      </c>
      <c r="L120" s="831">
        <v>0</v>
      </c>
      <c r="M120" s="837">
        <f t="shared" si="56"/>
        <v>0</v>
      </c>
      <c r="N120" s="836">
        <f t="shared" ref="N120:N121" si="58">IF(F120=$N$2,E120,0)</f>
        <v>0</v>
      </c>
      <c r="O120" s="837">
        <v>2</v>
      </c>
    </row>
    <row r="121" spans="1:15">
      <c r="A121" s="521" t="s">
        <v>1979</v>
      </c>
      <c r="B121" s="647">
        <v>456</v>
      </c>
      <c r="C121" s="520" t="s">
        <v>1980</v>
      </c>
      <c r="D121" s="520" t="s">
        <v>1981</v>
      </c>
      <c r="E121" s="838">
        <v>0</v>
      </c>
      <c r="F121" s="830" t="s">
        <v>1703</v>
      </c>
      <c r="G121" s="836">
        <f t="shared" si="47"/>
        <v>0</v>
      </c>
      <c r="H121" s="837">
        <v>0</v>
      </c>
      <c r="I121" s="837">
        <f t="shared" si="54"/>
        <v>0</v>
      </c>
      <c r="J121" s="836">
        <f t="shared" si="55"/>
        <v>0</v>
      </c>
      <c r="K121" s="982" t="s">
        <v>1488</v>
      </c>
      <c r="L121" s="838">
        <v>0</v>
      </c>
      <c r="M121" s="837">
        <f t="shared" si="56"/>
        <v>0</v>
      </c>
      <c r="N121" s="836">
        <f t="shared" si="58"/>
        <v>0</v>
      </c>
      <c r="O121" s="837">
        <v>2</v>
      </c>
    </row>
    <row r="122" spans="1:15">
      <c r="A122" s="521" t="s">
        <v>1982</v>
      </c>
      <c r="B122" s="647">
        <v>456</v>
      </c>
      <c r="C122" s="520" t="s">
        <v>1983</v>
      </c>
      <c r="D122" s="520" t="s">
        <v>1984</v>
      </c>
      <c r="E122" s="830">
        <v>47290.87</v>
      </c>
      <c r="F122" s="830" t="s">
        <v>1702</v>
      </c>
      <c r="G122" s="836">
        <f t="shared" si="47"/>
        <v>47290.87</v>
      </c>
      <c r="H122" s="837">
        <v>0</v>
      </c>
      <c r="I122" s="837">
        <f t="shared" si="54"/>
        <v>47290.87</v>
      </c>
      <c r="J122" s="836">
        <f t="shared" si="55"/>
        <v>0</v>
      </c>
      <c r="K122" s="836"/>
      <c r="L122" s="831"/>
      <c r="M122" s="837">
        <f t="shared" si="56"/>
        <v>0</v>
      </c>
      <c r="N122" s="836">
        <f t="shared" ref="N122:N137" si="59">IF(F122=$N$2,E122,0)</f>
        <v>0</v>
      </c>
      <c r="O122" s="837">
        <v>1</v>
      </c>
    </row>
    <row r="123" spans="1:15">
      <c r="A123" s="521" t="s">
        <v>1985</v>
      </c>
      <c r="B123" s="647">
        <v>456</v>
      </c>
      <c r="C123" s="520" t="s">
        <v>1986</v>
      </c>
      <c r="D123" s="520" t="s">
        <v>1987</v>
      </c>
      <c r="E123" s="830">
        <v>7877640.4199999999</v>
      </c>
      <c r="F123" s="830" t="s">
        <v>1702</v>
      </c>
      <c r="G123" s="836">
        <f t="shared" si="47"/>
        <v>7877640.4199999999</v>
      </c>
      <c r="H123" s="837">
        <v>0</v>
      </c>
      <c r="I123" s="837">
        <f t="shared" si="54"/>
        <v>7877640.4199999999</v>
      </c>
      <c r="J123" s="836">
        <f t="shared" si="55"/>
        <v>0</v>
      </c>
      <c r="K123" s="836"/>
      <c r="L123" s="831"/>
      <c r="M123" s="837">
        <f t="shared" si="56"/>
        <v>0</v>
      </c>
      <c r="N123" s="836">
        <f t="shared" si="59"/>
        <v>0</v>
      </c>
      <c r="O123" s="837">
        <v>4</v>
      </c>
    </row>
    <row r="124" spans="1:15">
      <c r="A124" s="521" t="s">
        <v>1988</v>
      </c>
      <c r="B124" s="647">
        <v>456</v>
      </c>
      <c r="C124" s="520" t="s">
        <v>1989</v>
      </c>
      <c r="D124" s="520" t="s">
        <v>1990</v>
      </c>
      <c r="E124" s="830">
        <v>32380</v>
      </c>
      <c r="F124" s="830" t="s">
        <v>1702</v>
      </c>
      <c r="G124" s="836">
        <f t="shared" si="47"/>
        <v>32380</v>
      </c>
      <c r="H124" s="837">
        <v>0</v>
      </c>
      <c r="I124" s="837">
        <f t="shared" si="54"/>
        <v>32380</v>
      </c>
      <c r="J124" s="836">
        <f t="shared" si="55"/>
        <v>0</v>
      </c>
      <c r="K124" s="836"/>
      <c r="L124" s="831"/>
      <c r="M124" s="837">
        <f t="shared" si="56"/>
        <v>0</v>
      </c>
      <c r="N124" s="836">
        <f t="shared" si="59"/>
        <v>0</v>
      </c>
      <c r="O124" s="837">
        <v>4</v>
      </c>
    </row>
    <row r="125" spans="1:15">
      <c r="A125" s="521" t="s">
        <v>1991</v>
      </c>
      <c r="B125" s="647">
        <v>456</v>
      </c>
      <c r="C125" s="520" t="s">
        <v>1992</v>
      </c>
      <c r="D125" s="520" t="s">
        <v>1993</v>
      </c>
      <c r="E125" s="830"/>
      <c r="F125" s="830" t="s">
        <v>1702</v>
      </c>
      <c r="G125" s="836">
        <f t="shared" si="47"/>
        <v>0</v>
      </c>
      <c r="H125" s="837">
        <v>0</v>
      </c>
      <c r="I125" s="837">
        <f t="shared" si="54"/>
        <v>0</v>
      </c>
      <c r="J125" s="836">
        <f t="shared" si="55"/>
        <v>0</v>
      </c>
      <c r="K125" s="836"/>
      <c r="L125" s="831"/>
      <c r="M125" s="837">
        <f t="shared" si="56"/>
        <v>0</v>
      </c>
      <c r="N125" s="836">
        <f t="shared" si="59"/>
        <v>0</v>
      </c>
      <c r="O125" s="837">
        <v>4</v>
      </c>
    </row>
    <row r="126" spans="1:15">
      <c r="A126" s="521" t="s">
        <v>1994</v>
      </c>
      <c r="B126" s="647">
        <v>456</v>
      </c>
      <c r="C126" s="520" t="s">
        <v>1995</v>
      </c>
      <c r="D126" s="520" t="s">
        <v>1996</v>
      </c>
      <c r="E126" s="830"/>
      <c r="F126" s="830" t="s">
        <v>1702</v>
      </c>
      <c r="G126" s="836">
        <f t="shared" si="47"/>
        <v>0</v>
      </c>
      <c r="H126" s="837">
        <v>0</v>
      </c>
      <c r="I126" s="837">
        <f t="shared" si="54"/>
        <v>0</v>
      </c>
      <c r="J126" s="836">
        <f t="shared" si="55"/>
        <v>0</v>
      </c>
      <c r="K126" s="836"/>
      <c r="L126" s="831"/>
      <c r="M126" s="837">
        <f t="shared" si="56"/>
        <v>0</v>
      </c>
      <c r="N126" s="836">
        <f t="shared" si="59"/>
        <v>0</v>
      </c>
      <c r="O126" s="837">
        <v>1</v>
      </c>
    </row>
    <row r="127" spans="1:15">
      <c r="A127" s="521" t="s">
        <v>1997</v>
      </c>
      <c r="B127" s="647">
        <v>456</v>
      </c>
      <c r="C127" s="520" t="s">
        <v>1998</v>
      </c>
      <c r="D127" s="520" t="s">
        <v>1999</v>
      </c>
      <c r="E127" s="830"/>
      <c r="F127" s="830" t="s">
        <v>1702</v>
      </c>
      <c r="G127" s="836">
        <f t="shared" si="47"/>
        <v>0</v>
      </c>
      <c r="H127" s="837">
        <v>0</v>
      </c>
      <c r="I127" s="837">
        <f t="shared" si="54"/>
        <v>0</v>
      </c>
      <c r="J127" s="836">
        <f t="shared" si="55"/>
        <v>0</v>
      </c>
      <c r="K127" s="836"/>
      <c r="L127" s="831"/>
      <c r="M127" s="837">
        <f t="shared" si="56"/>
        <v>0</v>
      </c>
      <c r="N127" s="836">
        <f t="shared" si="59"/>
        <v>0</v>
      </c>
      <c r="O127" s="837">
        <v>4</v>
      </c>
    </row>
    <row r="128" spans="1:15">
      <c r="A128" s="521" t="s">
        <v>2000</v>
      </c>
      <c r="B128" s="647">
        <v>456</v>
      </c>
      <c r="C128" s="520" t="s">
        <v>2001</v>
      </c>
      <c r="D128" s="520" t="s">
        <v>2002</v>
      </c>
      <c r="E128" s="830">
        <v>455407.31</v>
      </c>
      <c r="F128" s="830" t="s">
        <v>1702</v>
      </c>
      <c r="G128" s="836">
        <f t="shared" si="47"/>
        <v>455407.31</v>
      </c>
      <c r="H128" s="831">
        <v>5546.04</v>
      </c>
      <c r="I128" s="837">
        <f t="shared" si="54"/>
        <v>449861.27</v>
      </c>
      <c r="J128" s="836">
        <f t="shared" si="55"/>
        <v>0</v>
      </c>
      <c r="K128" s="836"/>
      <c r="L128" s="831"/>
      <c r="M128" s="837">
        <f t="shared" si="56"/>
        <v>0</v>
      </c>
      <c r="N128" s="836">
        <f t="shared" si="59"/>
        <v>0</v>
      </c>
      <c r="O128" s="837">
        <v>8</v>
      </c>
    </row>
    <row r="129" spans="1:15">
      <c r="A129" s="521" t="s">
        <v>2003</v>
      </c>
      <c r="B129" s="647">
        <v>456</v>
      </c>
      <c r="C129" s="520" t="s">
        <v>2004</v>
      </c>
      <c r="D129" s="520" t="s">
        <v>2005</v>
      </c>
      <c r="E129" s="830">
        <v>3043707.75</v>
      </c>
      <c r="F129" s="830" t="s">
        <v>1702</v>
      </c>
      <c r="G129" s="836">
        <f t="shared" si="47"/>
        <v>3043707.75</v>
      </c>
      <c r="H129" s="837">
        <v>0</v>
      </c>
      <c r="I129" s="837">
        <f t="shared" si="54"/>
        <v>3043707.75</v>
      </c>
      <c r="J129" s="836">
        <f t="shared" si="55"/>
        <v>0</v>
      </c>
      <c r="K129" s="836"/>
      <c r="L129" s="831"/>
      <c r="M129" s="837">
        <f t="shared" si="56"/>
        <v>0</v>
      </c>
      <c r="N129" s="836">
        <f t="shared" si="59"/>
        <v>0</v>
      </c>
      <c r="O129" s="837">
        <v>4</v>
      </c>
    </row>
    <row r="130" spans="1:15">
      <c r="A130" s="521" t="s">
        <v>2006</v>
      </c>
      <c r="B130" s="647">
        <v>456</v>
      </c>
      <c r="C130" s="520" t="s">
        <v>2007</v>
      </c>
      <c r="D130" s="520" t="s">
        <v>2008</v>
      </c>
      <c r="E130" s="830">
        <v>732.15</v>
      </c>
      <c r="F130" s="830" t="s">
        <v>1702</v>
      </c>
      <c r="G130" s="836">
        <f t="shared" si="47"/>
        <v>732.15</v>
      </c>
      <c r="H130" s="837">
        <v>0</v>
      </c>
      <c r="I130" s="837">
        <f t="shared" si="54"/>
        <v>732.15</v>
      </c>
      <c r="J130" s="836">
        <f t="shared" si="55"/>
        <v>0</v>
      </c>
      <c r="K130" s="836"/>
      <c r="L130" s="831"/>
      <c r="M130" s="837">
        <f t="shared" si="56"/>
        <v>0</v>
      </c>
      <c r="N130" s="836">
        <f t="shared" si="59"/>
        <v>0</v>
      </c>
      <c r="O130" s="837">
        <v>4</v>
      </c>
    </row>
    <row r="131" spans="1:15">
      <c r="A131" s="521" t="s">
        <v>2009</v>
      </c>
      <c r="B131" s="647">
        <v>456</v>
      </c>
      <c r="C131" s="520" t="s">
        <v>2010</v>
      </c>
      <c r="D131" s="520" t="s">
        <v>2011</v>
      </c>
      <c r="E131" s="830">
        <v>1619255.12</v>
      </c>
      <c r="F131" s="830" t="s">
        <v>1702</v>
      </c>
      <c r="G131" s="836">
        <f t="shared" si="47"/>
        <v>1619255.12</v>
      </c>
      <c r="H131" s="837">
        <v>0</v>
      </c>
      <c r="I131" s="837">
        <f t="shared" si="54"/>
        <v>1619255.12</v>
      </c>
      <c r="J131" s="836">
        <f t="shared" si="55"/>
        <v>0</v>
      </c>
      <c r="K131" s="836"/>
      <c r="L131" s="831"/>
      <c r="M131" s="837">
        <f t="shared" si="56"/>
        <v>0</v>
      </c>
      <c r="N131" s="836">
        <f t="shared" si="59"/>
        <v>0</v>
      </c>
      <c r="O131" s="837">
        <v>6</v>
      </c>
    </row>
    <row r="132" spans="1:15">
      <c r="A132" s="521" t="s">
        <v>2012</v>
      </c>
      <c r="B132" s="647">
        <v>456</v>
      </c>
      <c r="C132" s="521" t="s">
        <v>1849</v>
      </c>
      <c r="D132" s="520" t="s">
        <v>1850</v>
      </c>
      <c r="E132" s="830"/>
      <c r="F132" s="830" t="s">
        <v>1702</v>
      </c>
      <c r="G132" s="836">
        <f t="shared" si="47"/>
        <v>0</v>
      </c>
      <c r="H132" s="837">
        <v>0</v>
      </c>
      <c r="I132" s="837">
        <f t="shared" si="54"/>
        <v>0</v>
      </c>
      <c r="J132" s="836">
        <f t="shared" si="55"/>
        <v>0</v>
      </c>
      <c r="K132" s="836"/>
      <c r="L132" s="831"/>
      <c r="M132" s="837">
        <f t="shared" si="56"/>
        <v>0</v>
      </c>
      <c r="N132" s="836">
        <f t="shared" si="59"/>
        <v>0</v>
      </c>
      <c r="O132" s="837">
        <v>1</v>
      </c>
    </row>
    <row r="133" spans="1:15">
      <c r="A133" s="521" t="s">
        <v>2013</v>
      </c>
      <c r="B133" s="647">
        <v>456</v>
      </c>
      <c r="C133" s="647">
        <v>4186911</v>
      </c>
      <c r="D133" s="300" t="s">
        <v>2014</v>
      </c>
      <c r="E133" s="830">
        <v>3353919</v>
      </c>
      <c r="F133" s="830" t="s">
        <v>1704</v>
      </c>
      <c r="G133" s="836">
        <f t="shared" si="47"/>
        <v>0</v>
      </c>
      <c r="H133" s="837">
        <v>0</v>
      </c>
      <c r="I133" s="837">
        <f t="shared" si="54"/>
        <v>0</v>
      </c>
      <c r="J133" s="836">
        <f t="shared" si="55"/>
        <v>0</v>
      </c>
      <c r="K133" s="836"/>
      <c r="L133" s="831"/>
      <c r="M133" s="837">
        <f t="shared" si="56"/>
        <v>0</v>
      </c>
      <c r="N133" s="836">
        <f t="shared" si="59"/>
        <v>3353919</v>
      </c>
      <c r="O133" s="837">
        <v>6</v>
      </c>
    </row>
    <row r="134" spans="1:15">
      <c r="A134" s="521" t="s">
        <v>1940</v>
      </c>
      <c r="B134" s="647">
        <v>456</v>
      </c>
      <c r="C134" s="647">
        <v>4186925</v>
      </c>
      <c r="D134" s="300" t="s">
        <v>2015</v>
      </c>
      <c r="E134" s="830">
        <v>551751564</v>
      </c>
      <c r="F134" s="830" t="s">
        <v>1704</v>
      </c>
      <c r="G134" s="836">
        <f t="shared" si="47"/>
        <v>0</v>
      </c>
      <c r="H134" s="837">
        <v>0</v>
      </c>
      <c r="I134" s="837">
        <f t="shared" si="54"/>
        <v>0</v>
      </c>
      <c r="J134" s="836">
        <f t="shared" si="55"/>
        <v>0</v>
      </c>
      <c r="K134" s="836"/>
      <c r="L134" s="831"/>
      <c r="M134" s="837">
        <f t="shared" si="56"/>
        <v>0</v>
      </c>
      <c r="N134" s="836">
        <f t="shared" si="59"/>
        <v>551751564</v>
      </c>
      <c r="O134" s="837">
        <v>6</v>
      </c>
    </row>
    <row r="135" spans="1:15">
      <c r="A135" s="521" t="s">
        <v>1943</v>
      </c>
      <c r="B135" s="647">
        <v>456</v>
      </c>
      <c r="C135" s="647">
        <v>4186132</v>
      </c>
      <c r="D135" s="300" t="s">
        <v>2016</v>
      </c>
      <c r="E135" s="830">
        <v>50676.99</v>
      </c>
      <c r="F135" s="830" t="s">
        <v>1702</v>
      </c>
      <c r="G135" s="836">
        <f t="shared" ref="G135:G140" si="60">IF(F135=$G$2,E135,0)</f>
        <v>50676.99</v>
      </c>
      <c r="H135" s="837">
        <v>0</v>
      </c>
      <c r="I135" s="837">
        <f t="shared" ref="I135:I140" si="61">G135-H135</f>
        <v>50676.99</v>
      </c>
      <c r="J135" s="836">
        <f t="shared" ref="J135:J140" si="62">IF(F135=$J$2,E135,0)</f>
        <v>0</v>
      </c>
      <c r="K135" s="836"/>
      <c r="L135" s="831"/>
      <c r="M135" s="837">
        <f t="shared" ref="M135:M140" si="63">J135-L135</f>
        <v>0</v>
      </c>
      <c r="N135" s="836">
        <f t="shared" si="59"/>
        <v>0</v>
      </c>
      <c r="O135" s="837">
        <v>4</v>
      </c>
    </row>
    <row r="136" spans="1:15">
      <c r="A136" s="521" t="s">
        <v>1946</v>
      </c>
      <c r="B136" s="647">
        <v>456</v>
      </c>
      <c r="C136" s="647">
        <v>4186116</v>
      </c>
      <c r="D136" s="300" t="s">
        <v>2017</v>
      </c>
      <c r="E136" s="830"/>
      <c r="F136" s="830" t="s">
        <v>1702</v>
      </c>
      <c r="G136" s="836">
        <f t="shared" si="60"/>
        <v>0</v>
      </c>
      <c r="H136" s="837">
        <v>0</v>
      </c>
      <c r="I136" s="837">
        <f t="shared" si="61"/>
        <v>0</v>
      </c>
      <c r="J136" s="836">
        <f t="shared" si="62"/>
        <v>0</v>
      </c>
      <c r="K136" s="836"/>
      <c r="L136" s="831"/>
      <c r="M136" s="837">
        <f t="shared" si="63"/>
        <v>0</v>
      </c>
      <c r="N136" s="836">
        <f t="shared" si="59"/>
        <v>0</v>
      </c>
      <c r="O136" s="837">
        <v>4</v>
      </c>
    </row>
    <row r="137" spans="1:15">
      <c r="A137" s="521" t="s">
        <v>2018</v>
      </c>
      <c r="B137" s="647">
        <v>456</v>
      </c>
      <c r="C137" s="647">
        <v>4186115</v>
      </c>
      <c r="D137" t="s">
        <v>2019</v>
      </c>
      <c r="E137" s="830">
        <v>-109978.67</v>
      </c>
      <c r="F137" s="830" t="s">
        <v>1702</v>
      </c>
      <c r="G137" s="836">
        <f t="shared" si="60"/>
        <v>-109978.67</v>
      </c>
      <c r="H137" s="837">
        <v>0</v>
      </c>
      <c r="I137" s="837">
        <f t="shared" si="61"/>
        <v>-109978.67</v>
      </c>
      <c r="J137" s="836">
        <f t="shared" si="62"/>
        <v>0</v>
      </c>
      <c r="K137" s="836"/>
      <c r="L137" s="831"/>
      <c r="M137" s="837">
        <f t="shared" si="63"/>
        <v>0</v>
      </c>
      <c r="N137" s="836">
        <f t="shared" si="59"/>
        <v>0</v>
      </c>
      <c r="O137" s="837">
        <v>4</v>
      </c>
    </row>
    <row r="138" spans="1:15">
      <c r="A138" s="521" t="s">
        <v>2020</v>
      </c>
      <c r="B138" s="647">
        <v>456</v>
      </c>
      <c r="C138" s="647">
        <v>4186156</v>
      </c>
      <c r="D138" s="300" t="s">
        <v>2021</v>
      </c>
      <c r="E138" s="830">
        <v>87694.67</v>
      </c>
      <c r="F138" s="830" t="s">
        <v>1704</v>
      </c>
      <c r="G138" s="836">
        <f>H138+I138</f>
        <v>5840.4650220000003</v>
      </c>
      <c r="H138" s="837">
        <f>E138*D285</f>
        <v>5840.4650220000003</v>
      </c>
      <c r="I138" s="837">
        <v>0</v>
      </c>
      <c r="J138" s="836">
        <f t="shared" si="62"/>
        <v>0</v>
      </c>
      <c r="K138" s="836"/>
      <c r="L138" s="831"/>
      <c r="M138" s="837">
        <f>J138-L138</f>
        <v>0</v>
      </c>
      <c r="N138" s="836">
        <f>IF(F138=$N$2,E138-H138,0)</f>
        <v>81854.204977999994</v>
      </c>
      <c r="O138" s="837" t="s">
        <v>1817</v>
      </c>
    </row>
    <row r="139" spans="1:15">
      <c r="A139" s="521" t="s">
        <v>2022</v>
      </c>
      <c r="B139" s="647">
        <v>456</v>
      </c>
      <c r="C139" s="520" t="s">
        <v>2023</v>
      </c>
      <c r="D139" s="300" t="s">
        <v>2024</v>
      </c>
      <c r="E139" s="830">
        <v>84403272.849999994</v>
      </c>
      <c r="F139" s="830" t="s">
        <v>1702</v>
      </c>
      <c r="G139" s="836">
        <f t="shared" si="60"/>
        <v>84403272.849999994</v>
      </c>
      <c r="H139" s="837">
        <v>0</v>
      </c>
      <c r="I139" s="837">
        <f t="shared" si="61"/>
        <v>84403272.849999994</v>
      </c>
      <c r="J139" s="836">
        <f t="shared" si="62"/>
        <v>0</v>
      </c>
      <c r="K139" s="836"/>
      <c r="L139" s="831"/>
      <c r="M139" s="837">
        <f t="shared" si="63"/>
        <v>0</v>
      </c>
      <c r="N139" s="836">
        <f>IF(F139=$N$2,E139,0)</f>
        <v>0</v>
      </c>
      <c r="O139" s="837">
        <v>4</v>
      </c>
    </row>
    <row r="140" spans="1:15">
      <c r="A140" s="521" t="s">
        <v>2025</v>
      </c>
      <c r="B140" s="647">
        <v>456</v>
      </c>
      <c r="C140" s="520" t="s">
        <v>1888</v>
      </c>
      <c r="D140" s="300" t="s">
        <v>2026</v>
      </c>
      <c r="E140" s="830"/>
      <c r="F140" s="830" t="s">
        <v>1702</v>
      </c>
      <c r="G140" s="836">
        <f t="shared" si="60"/>
        <v>0</v>
      </c>
      <c r="H140" s="837">
        <f>G140</f>
        <v>0</v>
      </c>
      <c r="I140" s="837">
        <f t="shared" si="61"/>
        <v>0</v>
      </c>
      <c r="J140" s="836">
        <f t="shared" si="62"/>
        <v>0</v>
      </c>
      <c r="K140" s="836"/>
      <c r="L140" s="831"/>
      <c r="M140" s="837">
        <f t="shared" si="63"/>
        <v>0</v>
      </c>
      <c r="N140" s="836">
        <f>IF(F140=$N$2,E140,0)</f>
        <v>0</v>
      </c>
      <c r="O140" s="837">
        <v>5</v>
      </c>
    </row>
    <row r="141" spans="1:15">
      <c r="A141" s="521" t="s">
        <v>2027</v>
      </c>
      <c r="B141" s="647">
        <v>456</v>
      </c>
      <c r="C141" s="647">
        <v>4186732</v>
      </c>
      <c r="D141" s="300" t="s">
        <v>2028</v>
      </c>
      <c r="E141" s="830"/>
      <c r="F141" s="830" t="s">
        <v>1703</v>
      </c>
      <c r="G141" s="836">
        <f>IF(F141=$G$2,E141,0)</f>
        <v>0</v>
      </c>
      <c r="H141" s="837">
        <v>0</v>
      </c>
      <c r="I141" s="837">
        <f t="shared" ref="I141" si="64">G141-H141</f>
        <v>0</v>
      </c>
      <c r="J141" s="836">
        <f t="shared" ref="J141" si="65">IF(F141=$J$2,E141,0)</f>
        <v>0</v>
      </c>
      <c r="K141" s="836" t="s">
        <v>1488</v>
      </c>
      <c r="L141" s="831"/>
      <c r="M141" s="837">
        <f t="shared" ref="M141" si="66">J141-L141</f>
        <v>0</v>
      </c>
      <c r="N141" s="836">
        <f>IF(F141=$N$2,E141,0)</f>
        <v>0</v>
      </c>
      <c r="O141" s="837">
        <v>2</v>
      </c>
    </row>
    <row r="142" spans="1:15">
      <c r="A142" s="521" t="s">
        <v>2029</v>
      </c>
      <c r="B142" s="647">
        <v>456</v>
      </c>
      <c r="C142" s="799">
        <v>4171023</v>
      </c>
      <c r="D142" s="804" t="s">
        <v>2030</v>
      </c>
      <c r="E142" s="830">
        <v>36957718.939999998</v>
      </c>
      <c r="F142" s="830" t="s">
        <v>1704</v>
      </c>
      <c r="G142" s="836">
        <f t="shared" ref="G142:G152" si="67">IF(F142=$G$2,E142,0)</f>
        <v>0</v>
      </c>
      <c r="H142" s="837">
        <v>0</v>
      </c>
      <c r="I142" s="837">
        <f t="shared" ref="I142:I152" si="68">G142-H142</f>
        <v>0</v>
      </c>
      <c r="J142" s="836">
        <f t="shared" ref="J142:J152" si="69">IF(F142=$J$2,E142,0)</f>
        <v>0</v>
      </c>
      <c r="K142" s="836"/>
      <c r="L142" s="831"/>
      <c r="M142" s="837">
        <f t="shared" ref="M142:M152" si="70">J142-L142</f>
        <v>0</v>
      </c>
      <c r="N142" s="836">
        <f t="shared" ref="N142:N152" si="71">IF(F142=$N$2,E142,0)</f>
        <v>36957718.939999998</v>
      </c>
      <c r="O142" s="837">
        <v>6</v>
      </c>
    </row>
    <row r="143" spans="1:15">
      <c r="A143" s="521" t="s">
        <v>2031</v>
      </c>
      <c r="B143" s="647">
        <v>456</v>
      </c>
      <c r="C143" s="805">
        <v>4186182</v>
      </c>
      <c r="D143" s="802" t="s">
        <v>2032</v>
      </c>
      <c r="E143" s="830"/>
      <c r="F143" s="830" t="s">
        <v>1704</v>
      </c>
      <c r="G143" s="836">
        <f t="shared" si="67"/>
        <v>0</v>
      </c>
      <c r="H143" s="837">
        <v>0</v>
      </c>
      <c r="I143" s="837">
        <f t="shared" si="68"/>
        <v>0</v>
      </c>
      <c r="J143" s="836">
        <f t="shared" si="69"/>
        <v>0</v>
      </c>
      <c r="K143" s="836"/>
      <c r="L143" s="831"/>
      <c r="M143" s="837">
        <f t="shared" si="70"/>
        <v>0</v>
      </c>
      <c r="N143" s="836">
        <f t="shared" si="71"/>
        <v>0</v>
      </c>
      <c r="O143" s="837">
        <v>6</v>
      </c>
    </row>
    <row r="144" spans="1:15" s="251" customFormat="1">
      <c r="A144" s="521" t="s">
        <v>2033</v>
      </c>
      <c r="B144" s="647">
        <v>456</v>
      </c>
      <c r="C144" s="520" t="s">
        <v>2034</v>
      </c>
      <c r="D144" s="300" t="s">
        <v>2035</v>
      </c>
      <c r="E144" s="830"/>
      <c r="F144" s="830" t="s">
        <v>1702</v>
      </c>
      <c r="G144" s="836">
        <f t="shared" si="67"/>
        <v>0</v>
      </c>
      <c r="H144" s="837">
        <v>0</v>
      </c>
      <c r="I144" s="837">
        <f t="shared" si="68"/>
        <v>0</v>
      </c>
      <c r="J144" s="836">
        <f t="shared" si="69"/>
        <v>0</v>
      </c>
      <c r="K144" s="836"/>
      <c r="L144" s="831"/>
      <c r="M144" s="837">
        <f t="shared" si="70"/>
        <v>0</v>
      </c>
      <c r="N144" s="836">
        <f t="shared" si="71"/>
        <v>0</v>
      </c>
      <c r="O144" s="837">
        <v>1</v>
      </c>
    </row>
    <row r="145" spans="1:15" s="251" customFormat="1">
      <c r="A145" s="521" t="s">
        <v>2036</v>
      </c>
      <c r="B145" s="647">
        <v>456</v>
      </c>
      <c r="C145" s="520" t="s">
        <v>2037</v>
      </c>
      <c r="D145" s="300" t="s">
        <v>2038</v>
      </c>
      <c r="E145" s="830"/>
      <c r="F145" s="830" t="s">
        <v>1702</v>
      </c>
      <c r="G145" s="836">
        <f t="shared" si="67"/>
        <v>0</v>
      </c>
      <c r="H145" s="837">
        <v>0</v>
      </c>
      <c r="I145" s="837">
        <f t="shared" si="68"/>
        <v>0</v>
      </c>
      <c r="J145" s="836">
        <f t="shared" si="69"/>
        <v>0</v>
      </c>
      <c r="K145" s="836"/>
      <c r="L145" s="831"/>
      <c r="M145" s="837">
        <f t="shared" si="70"/>
        <v>0</v>
      </c>
      <c r="N145" s="836">
        <f t="shared" si="71"/>
        <v>0</v>
      </c>
      <c r="O145" s="837">
        <v>1</v>
      </c>
    </row>
    <row r="146" spans="1:15">
      <c r="A146" s="1083" t="s">
        <v>2039</v>
      </c>
      <c r="B146" s="1079">
        <v>456</v>
      </c>
      <c r="C146" s="1079">
        <v>4186115</v>
      </c>
      <c r="D146" s="1081" t="s">
        <v>2040</v>
      </c>
      <c r="E146" s="889"/>
      <c r="F146" s="889" t="s">
        <v>1704</v>
      </c>
      <c r="G146" s="840">
        <f t="shared" si="67"/>
        <v>0</v>
      </c>
      <c r="H146" s="1084">
        <v>0</v>
      </c>
      <c r="I146" s="1084">
        <f t="shared" si="68"/>
        <v>0</v>
      </c>
      <c r="J146" s="840">
        <f t="shared" si="69"/>
        <v>0</v>
      </c>
      <c r="K146" s="840"/>
      <c r="L146" s="831"/>
      <c r="M146" s="1084">
        <f t="shared" si="70"/>
        <v>0</v>
      </c>
      <c r="N146" s="840">
        <f t="shared" si="71"/>
        <v>0</v>
      </c>
      <c r="O146" s="1084">
        <v>6</v>
      </c>
    </row>
    <row r="147" spans="1:15">
      <c r="A147" s="890" t="s">
        <v>3022</v>
      </c>
      <c r="B147" s="872">
        <v>456</v>
      </c>
      <c r="C147" s="872">
        <v>4186182</v>
      </c>
      <c r="D147" s="614" t="s">
        <v>3028</v>
      </c>
      <c r="E147" s="889">
        <v>30000</v>
      </c>
      <c r="F147" s="889" t="s">
        <v>1704</v>
      </c>
      <c r="G147" s="830">
        <f t="shared" si="67"/>
        <v>0</v>
      </c>
      <c r="H147" s="831">
        <v>0</v>
      </c>
      <c r="I147" s="831">
        <f t="shared" si="68"/>
        <v>0</v>
      </c>
      <c r="J147" s="830">
        <f t="shared" si="69"/>
        <v>0</v>
      </c>
      <c r="K147" s="830"/>
      <c r="L147" s="831"/>
      <c r="M147" s="831">
        <f t="shared" si="70"/>
        <v>0</v>
      </c>
      <c r="N147" s="830">
        <f t="shared" si="71"/>
        <v>30000</v>
      </c>
      <c r="O147" s="831" t="s">
        <v>3034</v>
      </c>
    </row>
    <row r="148" spans="1:15">
      <c r="A148" s="890" t="s">
        <v>3023</v>
      </c>
      <c r="B148" s="872">
        <v>456</v>
      </c>
      <c r="C148" s="872">
        <v>4186189</v>
      </c>
      <c r="D148" s="614" t="s">
        <v>3029</v>
      </c>
      <c r="E148" s="889">
        <v>167336.66</v>
      </c>
      <c r="F148" s="830" t="s">
        <v>1704</v>
      </c>
      <c r="G148" s="830">
        <f t="shared" si="67"/>
        <v>0</v>
      </c>
      <c r="H148" s="831">
        <v>0</v>
      </c>
      <c r="I148" s="831">
        <f t="shared" si="68"/>
        <v>0</v>
      </c>
      <c r="J148" s="830">
        <f t="shared" si="69"/>
        <v>0</v>
      </c>
      <c r="K148" s="830"/>
      <c r="L148" s="831"/>
      <c r="M148" s="831">
        <f t="shared" si="70"/>
        <v>0</v>
      </c>
      <c r="N148" s="830">
        <f t="shared" si="71"/>
        <v>167336.66</v>
      </c>
      <c r="O148" s="831" t="s">
        <v>3034</v>
      </c>
    </row>
    <row r="149" spans="1:15">
      <c r="A149" s="890" t="s">
        <v>3024</v>
      </c>
      <c r="B149" s="872">
        <v>456</v>
      </c>
      <c r="C149" s="872">
        <v>4196201</v>
      </c>
      <c r="D149" s="614" t="s">
        <v>3030</v>
      </c>
      <c r="E149" s="889">
        <v>-195874.93</v>
      </c>
      <c r="F149" s="830" t="s">
        <v>1702</v>
      </c>
      <c r="G149" s="830">
        <f t="shared" si="67"/>
        <v>-195874.93</v>
      </c>
      <c r="H149" s="831">
        <v>368506.29264222702</v>
      </c>
      <c r="I149" s="831">
        <f t="shared" si="68"/>
        <v>-564381.22264222708</v>
      </c>
      <c r="J149" s="830">
        <f t="shared" si="69"/>
        <v>0</v>
      </c>
      <c r="K149" s="830"/>
      <c r="L149" s="831"/>
      <c r="M149" s="831">
        <f t="shared" si="70"/>
        <v>0</v>
      </c>
      <c r="N149" s="830">
        <f t="shared" si="71"/>
        <v>0</v>
      </c>
      <c r="O149" s="831">
        <v>8</v>
      </c>
    </row>
    <row r="150" spans="1:15">
      <c r="A150" s="890" t="s">
        <v>3025</v>
      </c>
      <c r="B150" s="872">
        <v>456</v>
      </c>
      <c r="C150" s="872">
        <v>4196202</v>
      </c>
      <c r="D150" s="614" t="s">
        <v>3031</v>
      </c>
      <c r="E150" s="889">
        <v>72533.78</v>
      </c>
      <c r="F150" s="830" t="s">
        <v>1702</v>
      </c>
      <c r="G150" s="830">
        <f t="shared" si="67"/>
        <v>72533.78</v>
      </c>
      <c r="H150" s="831">
        <v>72533.775949999996</v>
      </c>
      <c r="I150" s="831">
        <f t="shared" si="68"/>
        <v>4.0500000031897798E-3</v>
      </c>
      <c r="J150" s="830">
        <f t="shared" si="69"/>
        <v>0</v>
      </c>
      <c r="K150" s="830"/>
      <c r="L150" s="831"/>
      <c r="M150" s="831">
        <f t="shared" si="70"/>
        <v>0</v>
      </c>
      <c r="N150" s="830">
        <f t="shared" si="71"/>
        <v>0</v>
      </c>
      <c r="O150" s="831">
        <v>8</v>
      </c>
    </row>
    <row r="151" spans="1:15">
      <c r="A151" s="890" t="s">
        <v>3026</v>
      </c>
      <c r="B151" s="872">
        <v>456</v>
      </c>
      <c r="C151" s="872">
        <v>4196203</v>
      </c>
      <c r="D151" s="614" t="s">
        <v>3032</v>
      </c>
      <c r="E151" s="889">
        <v>8780491.3599999994</v>
      </c>
      <c r="F151" s="830" t="s">
        <v>1702</v>
      </c>
      <c r="G151" s="830">
        <f t="shared" si="67"/>
        <v>8780491.3599999994</v>
      </c>
      <c r="H151" s="831">
        <v>0</v>
      </c>
      <c r="I151" s="831">
        <f t="shared" si="68"/>
        <v>8780491.3599999994</v>
      </c>
      <c r="J151" s="830">
        <f t="shared" si="69"/>
        <v>0</v>
      </c>
      <c r="K151" s="830"/>
      <c r="L151" s="831"/>
      <c r="M151" s="831">
        <f t="shared" si="70"/>
        <v>0</v>
      </c>
      <c r="N151" s="830">
        <f t="shared" si="71"/>
        <v>0</v>
      </c>
      <c r="O151" s="831">
        <v>4</v>
      </c>
    </row>
    <row r="152" spans="1:15">
      <c r="A152" s="1109" t="s">
        <v>3027</v>
      </c>
      <c r="B152" s="872">
        <v>456</v>
      </c>
      <c r="C152" s="872">
        <v>4196204</v>
      </c>
      <c r="D152" s="614" t="s">
        <v>3033</v>
      </c>
      <c r="E152" s="889">
        <v>2791067.48</v>
      </c>
      <c r="F152" s="830" t="s">
        <v>1702</v>
      </c>
      <c r="G152" s="830">
        <f t="shared" si="67"/>
        <v>2791067.48</v>
      </c>
      <c r="H152" s="831">
        <v>1274480.6419899999</v>
      </c>
      <c r="I152" s="831">
        <f t="shared" si="68"/>
        <v>1516586.8380100001</v>
      </c>
      <c r="J152" s="830">
        <f t="shared" si="69"/>
        <v>0</v>
      </c>
      <c r="K152" s="830"/>
      <c r="L152" s="831"/>
      <c r="M152" s="831">
        <f t="shared" si="70"/>
        <v>0</v>
      </c>
      <c r="N152" s="830">
        <f t="shared" si="71"/>
        <v>0</v>
      </c>
      <c r="O152" s="831">
        <v>8</v>
      </c>
    </row>
    <row r="153" spans="1:15">
      <c r="A153" s="1097"/>
      <c r="B153" s="872"/>
      <c r="C153" s="872"/>
      <c r="D153" s="614"/>
      <c r="E153" s="889"/>
      <c r="F153" s="830"/>
      <c r="G153" s="830"/>
      <c r="H153" s="831"/>
      <c r="I153" s="831"/>
      <c r="J153" s="830"/>
      <c r="K153" s="830"/>
      <c r="L153" s="831"/>
      <c r="M153" s="831"/>
      <c r="N153" s="830"/>
      <c r="O153" s="831"/>
    </row>
    <row r="154" spans="1:15">
      <c r="A154" s="613"/>
      <c r="B154" s="872"/>
      <c r="C154" s="874"/>
      <c r="D154" s="614"/>
      <c r="E154" s="556"/>
      <c r="F154" s="556"/>
      <c r="G154" s="981"/>
      <c r="H154" s="412"/>
      <c r="I154" s="412"/>
      <c r="J154" s="585"/>
      <c r="K154" s="585"/>
      <c r="L154" s="412"/>
      <c r="M154" s="412"/>
      <c r="N154" s="585"/>
      <c r="O154" s="615"/>
    </row>
    <row r="155" spans="1:15" ht="13">
      <c r="A155" s="521">
        <v>13</v>
      </c>
      <c r="B155" s="1125" t="s">
        <v>2041</v>
      </c>
      <c r="C155" s="1126"/>
      <c r="D155" s="1127"/>
      <c r="E155" s="165">
        <f>SUM(E85:E154)</f>
        <v>731087221.32000005</v>
      </c>
      <c r="F155" s="172"/>
      <c r="G155" s="165">
        <f>SUM(G85:G154)</f>
        <v>136487121.65045598</v>
      </c>
      <c r="H155" s="165">
        <f>SUM(H85:H154)</f>
        <v>1727324.031038227</v>
      </c>
      <c r="I155" s="165">
        <f>SUM(I85:I154)</f>
        <v>134759797.61941776</v>
      </c>
      <c r="J155" s="165">
        <f>SUM(J85:J154)</f>
        <v>2251865.19</v>
      </c>
      <c r="K155" s="172"/>
      <c r="L155" s="165">
        <f>SUM(L85:L154)</f>
        <v>41824.480996776198</v>
      </c>
      <c r="M155" s="165">
        <f>SUM(M85:M154)</f>
        <v>2210040.7090032236</v>
      </c>
      <c r="N155" s="165">
        <f>SUM(N85:N154)</f>
        <v>592348234.47954404</v>
      </c>
      <c r="O155" s="111"/>
    </row>
    <row r="156" spans="1:15" ht="25.5" customHeight="1">
      <c r="A156" s="521">
        <v>14</v>
      </c>
      <c r="B156" s="1149" t="s">
        <v>2042</v>
      </c>
      <c r="C156" s="1150"/>
      <c r="D156" s="1151"/>
      <c r="E156" s="612">
        <v>731087221</v>
      </c>
      <c r="F156" s="164"/>
      <c r="G156" s="178"/>
      <c r="H156" s="164"/>
      <c r="I156" s="164"/>
      <c r="J156" s="178"/>
      <c r="K156" s="164"/>
      <c r="L156" s="161"/>
      <c r="M156" s="161"/>
      <c r="N156" s="161"/>
      <c r="O156" s="2"/>
    </row>
    <row r="157" spans="1:15" ht="13">
      <c r="A157" s="4"/>
      <c r="B157" s="1"/>
      <c r="C157" s="114"/>
      <c r="D157" s="114"/>
      <c r="E157" s="161"/>
      <c r="F157" s="161"/>
      <c r="G157" s="161"/>
      <c r="H157" s="164"/>
      <c r="I157" s="164"/>
      <c r="J157" s="161"/>
      <c r="K157" s="164"/>
      <c r="L157" s="161"/>
      <c r="M157" s="161"/>
      <c r="N157" s="161"/>
      <c r="O157" s="2"/>
    </row>
    <row r="158" spans="1:15">
      <c r="A158" s="521" t="s">
        <v>2043</v>
      </c>
      <c r="B158" s="647">
        <v>456.1</v>
      </c>
      <c r="C158" s="520" t="s">
        <v>2044</v>
      </c>
      <c r="D158" s="520" t="s">
        <v>2045</v>
      </c>
      <c r="E158" s="838">
        <v>2400</v>
      </c>
      <c r="F158" s="830" t="s">
        <v>1702</v>
      </c>
      <c r="G158" s="836">
        <f t="shared" ref="G158:G170" si="72">IF(F158=$G$2,E158,0)</f>
        <v>2400</v>
      </c>
      <c r="H158" s="837">
        <f>G158</f>
        <v>2400</v>
      </c>
      <c r="I158" s="837">
        <f t="shared" ref="I158:I177" si="73">G158-H158</f>
        <v>0</v>
      </c>
      <c r="J158" s="836">
        <f t="shared" ref="J158:J171" si="74">IF(F158=$J$2,E158,0)</f>
        <v>0</v>
      </c>
      <c r="K158" s="982"/>
      <c r="L158" s="831"/>
      <c r="M158" s="837">
        <f>J158-L158</f>
        <v>0</v>
      </c>
      <c r="N158" s="836">
        <f t="shared" ref="N158:N177" si="75">IF(F158=$N$2,E158,0)</f>
        <v>0</v>
      </c>
      <c r="O158" s="837">
        <v>5</v>
      </c>
    </row>
    <row r="159" spans="1:15">
      <c r="A159" s="521" t="s">
        <v>2046</v>
      </c>
      <c r="B159" s="647">
        <v>456.1</v>
      </c>
      <c r="C159" s="520" t="s">
        <v>2047</v>
      </c>
      <c r="D159" s="520" t="s">
        <v>2048</v>
      </c>
      <c r="E159" s="838">
        <v>296028</v>
      </c>
      <c r="F159" s="830" t="s">
        <v>1702</v>
      </c>
      <c r="G159" s="836">
        <f t="shared" si="72"/>
        <v>296028</v>
      </c>
      <c r="H159" s="837">
        <v>0</v>
      </c>
      <c r="I159" s="837">
        <f t="shared" si="73"/>
        <v>296028</v>
      </c>
      <c r="J159" s="836">
        <f t="shared" si="74"/>
        <v>0</v>
      </c>
      <c r="K159" s="982"/>
      <c r="L159" s="831"/>
      <c r="M159" s="837">
        <f>J159-L159</f>
        <v>0</v>
      </c>
      <c r="N159" s="836">
        <f t="shared" si="75"/>
        <v>0</v>
      </c>
      <c r="O159" s="837">
        <v>4</v>
      </c>
    </row>
    <row r="160" spans="1:15">
      <c r="A160" s="521" t="s">
        <v>2049</v>
      </c>
      <c r="B160" s="647">
        <v>456.1</v>
      </c>
      <c r="C160" s="520" t="s">
        <v>2050</v>
      </c>
      <c r="D160" s="520" t="s">
        <v>2051</v>
      </c>
      <c r="E160" s="838">
        <v>898962.96</v>
      </c>
      <c r="F160" s="830" t="s">
        <v>1702</v>
      </c>
      <c r="G160" s="836">
        <f t="shared" si="72"/>
        <v>898962.96</v>
      </c>
      <c r="H160" s="837">
        <v>0</v>
      </c>
      <c r="I160" s="837">
        <f t="shared" si="73"/>
        <v>898962.96</v>
      </c>
      <c r="J160" s="836">
        <f t="shared" si="74"/>
        <v>0</v>
      </c>
      <c r="K160" s="982"/>
      <c r="L160" s="831"/>
      <c r="M160" s="837">
        <f>J160-L160</f>
        <v>0</v>
      </c>
      <c r="N160" s="836">
        <f t="shared" si="75"/>
        <v>0</v>
      </c>
      <c r="O160" s="837">
        <v>4</v>
      </c>
    </row>
    <row r="161" spans="1:15">
      <c r="A161" s="521" t="s">
        <v>2052</v>
      </c>
      <c r="B161" s="647">
        <v>456.1</v>
      </c>
      <c r="C161" s="520" t="s">
        <v>2053</v>
      </c>
      <c r="D161" s="520" t="s">
        <v>2054</v>
      </c>
      <c r="E161" s="838">
        <v>137027.74</v>
      </c>
      <c r="F161" s="830" t="s">
        <v>1704</v>
      </c>
      <c r="G161" s="836">
        <f t="shared" si="72"/>
        <v>0</v>
      </c>
      <c r="H161" s="837">
        <v>0</v>
      </c>
      <c r="I161" s="837">
        <f t="shared" si="73"/>
        <v>0</v>
      </c>
      <c r="J161" s="836">
        <f t="shared" si="74"/>
        <v>0</v>
      </c>
      <c r="K161" s="982"/>
      <c r="L161" s="831"/>
      <c r="M161" s="837">
        <f>J161-L161</f>
        <v>0</v>
      </c>
      <c r="N161" s="836">
        <f t="shared" si="75"/>
        <v>137027.74</v>
      </c>
      <c r="O161" s="837">
        <v>6</v>
      </c>
    </row>
    <row r="162" spans="1:15">
      <c r="A162" s="521" t="s">
        <v>2055</v>
      </c>
      <c r="B162" s="647">
        <v>456.1</v>
      </c>
      <c r="C162" s="520" t="s">
        <v>2056</v>
      </c>
      <c r="D162" s="520" t="s">
        <v>2057</v>
      </c>
      <c r="E162" s="838">
        <f>83289776.06+1639100</f>
        <v>84928876.060000002</v>
      </c>
      <c r="F162" s="830" t="s">
        <v>1704</v>
      </c>
      <c r="G162" s="836">
        <f t="shared" si="72"/>
        <v>0</v>
      </c>
      <c r="H162" s="837">
        <v>0</v>
      </c>
      <c r="I162" s="837">
        <f t="shared" si="73"/>
        <v>0</v>
      </c>
      <c r="J162" s="836">
        <f t="shared" si="74"/>
        <v>0</v>
      </c>
      <c r="K162" s="982"/>
      <c r="L162" s="831"/>
      <c r="M162" s="837">
        <f>J162-L162</f>
        <v>0</v>
      </c>
      <c r="N162" s="836">
        <f t="shared" si="75"/>
        <v>84928876.060000002</v>
      </c>
      <c r="O162" s="837">
        <v>6</v>
      </c>
    </row>
    <row r="163" spans="1:15">
      <c r="A163" s="521" t="s">
        <v>2058</v>
      </c>
      <c r="B163" s="647">
        <v>456.1</v>
      </c>
      <c r="C163" s="520" t="s">
        <v>2059</v>
      </c>
      <c r="D163" s="520" t="s">
        <v>2060</v>
      </c>
      <c r="E163" s="838"/>
      <c r="F163" s="830" t="s">
        <v>1704</v>
      </c>
      <c r="G163" s="836">
        <f t="shared" si="72"/>
        <v>0</v>
      </c>
      <c r="H163" s="837">
        <v>0</v>
      </c>
      <c r="I163" s="837">
        <f t="shared" si="73"/>
        <v>0</v>
      </c>
      <c r="J163" s="836">
        <f t="shared" si="74"/>
        <v>0</v>
      </c>
      <c r="K163" s="982"/>
      <c r="L163" s="831"/>
      <c r="M163" s="837">
        <f t="shared" ref="M163" si="76">J163-L163</f>
        <v>0</v>
      </c>
      <c r="N163" s="836">
        <f t="shared" si="75"/>
        <v>0</v>
      </c>
      <c r="O163" s="837">
        <v>6</v>
      </c>
    </row>
    <row r="164" spans="1:15">
      <c r="A164" s="521" t="s">
        <v>2061</v>
      </c>
      <c r="B164" s="647">
        <v>456.1</v>
      </c>
      <c r="C164" s="520" t="s">
        <v>2062</v>
      </c>
      <c r="D164" s="520" t="s">
        <v>2063</v>
      </c>
      <c r="E164" s="838">
        <v>39722400</v>
      </c>
      <c r="F164" s="830" t="s">
        <v>1702</v>
      </c>
      <c r="G164" s="836">
        <f t="shared" si="72"/>
        <v>39722400</v>
      </c>
      <c r="H164" s="837">
        <f>G164</f>
        <v>39722400</v>
      </c>
      <c r="I164" s="837">
        <f t="shared" si="73"/>
        <v>0</v>
      </c>
      <c r="J164" s="836">
        <f t="shared" si="74"/>
        <v>0</v>
      </c>
      <c r="K164" s="982"/>
      <c r="L164" s="831"/>
      <c r="M164" s="837">
        <f t="shared" ref="M164:M177" si="77">J164-L164</f>
        <v>0</v>
      </c>
      <c r="N164" s="836">
        <f t="shared" si="75"/>
        <v>0</v>
      </c>
      <c r="O164" s="837">
        <v>5</v>
      </c>
    </row>
    <row r="165" spans="1:15">
      <c r="A165" s="521" t="s">
        <v>2064</v>
      </c>
      <c r="B165" s="647">
        <v>456.1</v>
      </c>
      <c r="C165" s="520" t="s">
        <v>2065</v>
      </c>
      <c r="D165" s="520" t="s">
        <v>2066</v>
      </c>
      <c r="E165" s="838">
        <v>9214286.3599999994</v>
      </c>
      <c r="F165" s="830" t="s">
        <v>1702</v>
      </c>
      <c r="G165" s="836">
        <f t="shared" si="72"/>
        <v>9214286.3599999994</v>
      </c>
      <c r="H165" s="837">
        <v>0</v>
      </c>
      <c r="I165" s="837">
        <f t="shared" si="73"/>
        <v>9214286.3599999994</v>
      </c>
      <c r="J165" s="836">
        <f t="shared" si="74"/>
        <v>0</v>
      </c>
      <c r="K165" s="982"/>
      <c r="L165" s="831"/>
      <c r="M165" s="837">
        <f t="shared" si="77"/>
        <v>0</v>
      </c>
      <c r="N165" s="836">
        <f t="shared" si="75"/>
        <v>0</v>
      </c>
      <c r="O165" s="837">
        <v>4</v>
      </c>
    </row>
    <row r="166" spans="1:15">
      <c r="A166" s="521" t="s">
        <v>2067</v>
      </c>
      <c r="B166" s="647">
        <v>456.1</v>
      </c>
      <c r="C166" s="520" t="s">
        <v>2068</v>
      </c>
      <c r="D166" s="520" t="s">
        <v>2069</v>
      </c>
      <c r="E166" s="838"/>
      <c r="F166" s="830" t="s">
        <v>1702</v>
      </c>
      <c r="G166" s="836">
        <f t="shared" si="72"/>
        <v>0</v>
      </c>
      <c r="H166" s="837">
        <v>0</v>
      </c>
      <c r="I166" s="837">
        <f t="shared" si="73"/>
        <v>0</v>
      </c>
      <c r="J166" s="836">
        <f t="shared" si="74"/>
        <v>0</v>
      </c>
      <c r="K166" s="982"/>
      <c r="L166" s="831"/>
      <c r="M166" s="837">
        <f t="shared" si="77"/>
        <v>0</v>
      </c>
      <c r="N166" s="836">
        <f t="shared" si="75"/>
        <v>0</v>
      </c>
      <c r="O166" s="837">
        <v>4</v>
      </c>
    </row>
    <row r="167" spans="1:15">
      <c r="A167" s="521" t="s">
        <v>2070</v>
      </c>
      <c r="B167" s="647">
        <v>456.1</v>
      </c>
      <c r="C167" s="520" t="s">
        <v>2071</v>
      </c>
      <c r="D167" s="520" t="s">
        <v>2072</v>
      </c>
      <c r="E167" s="838"/>
      <c r="F167" s="830" t="s">
        <v>1702</v>
      </c>
      <c r="G167" s="836">
        <f t="shared" si="72"/>
        <v>0</v>
      </c>
      <c r="H167" s="837">
        <v>0</v>
      </c>
      <c r="I167" s="837">
        <f t="shared" si="73"/>
        <v>0</v>
      </c>
      <c r="J167" s="836">
        <f t="shared" si="74"/>
        <v>0</v>
      </c>
      <c r="K167" s="982"/>
      <c r="L167" s="831"/>
      <c r="M167" s="837">
        <f t="shared" si="77"/>
        <v>0</v>
      </c>
      <c r="N167" s="836">
        <f t="shared" si="75"/>
        <v>0</v>
      </c>
      <c r="O167" s="837">
        <v>4</v>
      </c>
    </row>
    <row r="168" spans="1:15">
      <c r="A168" s="521" t="s">
        <v>2073</v>
      </c>
      <c r="B168" s="647">
        <v>456.1</v>
      </c>
      <c r="C168" s="520" t="s">
        <v>2074</v>
      </c>
      <c r="D168" s="520" t="s">
        <v>2075</v>
      </c>
      <c r="E168" s="838">
        <v>402147.6</v>
      </c>
      <c r="F168" s="830" t="s">
        <v>1702</v>
      </c>
      <c r="G168" s="836">
        <f t="shared" si="72"/>
        <v>402147.6</v>
      </c>
      <c r="H168" s="837">
        <v>0</v>
      </c>
      <c r="I168" s="837">
        <f t="shared" si="73"/>
        <v>402147.6</v>
      </c>
      <c r="J168" s="836">
        <f t="shared" si="74"/>
        <v>0</v>
      </c>
      <c r="K168" s="982"/>
      <c r="L168" s="831"/>
      <c r="M168" s="837">
        <f t="shared" si="77"/>
        <v>0</v>
      </c>
      <c r="N168" s="836">
        <f t="shared" si="75"/>
        <v>0</v>
      </c>
      <c r="O168" s="837">
        <v>4</v>
      </c>
    </row>
    <row r="169" spans="1:15">
      <c r="A169" s="521" t="s">
        <v>2076</v>
      </c>
      <c r="B169" s="647">
        <v>456.1</v>
      </c>
      <c r="C169" s="520" t="s">
        <v>2077</v>
      </c>
      <c r="D169" s="520" t="s">
        <v>2078</v>
      </c>
      <c r="E169" s="838"/>
      <c r="F169" s="830" t="s">
        <v>1702</v>
      </c>
      <c r="G169" s="836">
        <f t="shared" si="72"/>
        <v>0</v>
      </c>
      <c r="H169" s="837">
        <v>0</v>
      </c>
      <c r="I169" s="837">
        <f t="shared" si="73"/>
        <v>0</v>
      </c>
      <c r="J169" s="836">
        <f t="shared" si="74"/>
        <v>0</v>
      </c>
      <c r="K169" s="982"/>
      <c r="L169" s="831"/>
      <c r="M169" s="837">
        <f t="shared" si="77"/>
        <v>0</v>
      </c>
      <c r="N169" s="836">
        <f t="shared" si="75"/>
        <v>0</v>
      </c>
      <c r="O169" s="837">
        <v>4</v>
      </c>
    </row>
    <row r="170" spans="1:15">
      <c r="A170" s="521" t="s">
        <v>2079</v>
      </c>
      <c r="B170" s="647">
        <v>456.1</v>
      </c>
      <c r="C170" s="520" t="s">
        <v>2080</v>
      </c>
      <c r="D170" s="520" t="s">
        <v>2081</v>
      </c>
      <c r="E170" s="838"/>
      <c r="F170" s="830" t="s">
        <v>1702</v>
      </c>
      <c r="G170" s="836">
        <f t="shared" si="72"/>
        <v>0</v>
      </c>
      <c r="H170" s="837">
        <v>0</v>
      </c>
      <c r="I170" s="837">
        <f t="shared" si="73"/>
        <v>0</v>
      </c>
      <c r="J170" s="836">
        <f t="shared" si="74"/>
        <v>0</v>
      </c>
      <c r="K170" s="982"/>
      <c r="L170" s="831"/>
      <c r="M170" s="837">
        <f t="shared" si="77"/>
        <v>0</v>
      </c>
      <c r="N170" s="836">
        <f t="shared" si="75"/>
        <v>0</v>
      </c>
      <c r="O170" s="837">
        <v>4</v>
      </c>
    </row>
    <row r="171" spans="1:15">
      <c r="A171" s="521" t="s">
        <v>2082</v>
      </c>
      <c r="B171" s="647">
        <v>456.1</v>
      </c>
      <c r="C171" s="520" t="s">
        <v>2083</v>
      </c>
      <c r="D171" s="520" t="s">
        <v>2084</v>
      </c>
      <c r="E171" s="838">
        <v>651331.07999999996</v>
      </c>
      <c r="F171" s="830" t="s">
        <v>1702</v>
      </c>
      <c r="G171" s="836">
        <f t="shared" ref="G171" si="78">IF(F171=$G$2,E171,0)</f>
        <v>651331.07999999996</v>
      </c>
      <c r="H171" s="837">
        <v>0</v>
      </c>
      <c r="I171" s="837">
        <f t="shared" si="73"/>
        <v>651331.07999999996</v>
      </c>
      <c r="J171" s="836">
        <f t="shared" si="74"/>
        <v>0</v>
      </c>
      <c r="K171" s="982"/>
      <c r="L171" s="831"/>
      <c r="M171" s="837">
        <f t="shared" si="77"/>
        <v>0</v>
      </c>
      <c r="N171" s="836">
        <f t="shared" si="75"/>
        <v>0</v>
      </c>
      <c r="O171" s="837">
        <v>4</v>
      </c>
    </row>
    <row r="172" spans="1:15">
      <c r="A172" s="521" t="s">
        <v>2085</v>
      </c>
      <c r="B172" s="647">
        <v>456.1</v>
      </c>
      <c r="C172" s="520" t="s">
        <v>2086</v>
      </c>
      <c r="D172" s="520" t="s">
        <v>2087</v>
      </c>
      <c r="E172" s="838">
        <v>207840.12</v>
      </c>
      <c r="F172" s="830" t="s">
        <v>1702</v>
      </c>
      <c r="G172" s="836">
        <f t="shared" ref="G172:G177" si="79">IF(F172=$G$2,E172,0)</f>
        <v>207840.12</v>
      </c>
      <c r="H172" s="837">
        <v>0</v>
      </c>
      <c r="I172" s="837">
        <f t="shared" si="73"/>
        <v>207840.12</v>
      </c>
      <c r="J172" s="836">
        <f t="shared" ref="J172" si="80">IF(F172=$J$2,E172,0)</f>
        <v>0</v>
      </c>
      <c r="K172" s="982"/>
      <c r="L172" s="831"/>
      <c r="M172" s="837">
        <f t="shared" si="77"/>
        <v>0</v>
      </c>
      <c r="N172" s="836">
        <f t="shared" si="75"/>
        <v>0</v>
      </c>
      <c r="O172" s="837">
        <v>4</v>
      </c>
    </row>
    <row r="173" spans="1:15">
      <c r="A173" s="521" t="s">
        <v>2088</v>
      </c>
      <c r="B173" s="647">
        <v>456.1</v>
      </c>
      <c r="C173" s="520" t="s">
        <v>2089</v>
      </c>
      <c r="D173" s="520" t="s">
        <v>2090</v>
      </c>
      <c r="E173" s="838">
        <v>42492.12</v>
      </c>
      <c r="F173" s="830" t="s">
        <v>1702</v>
      </c>
      <c r="G173" s="836">
        <f t="shared" si="79"/>
        <v>42492.12</v>
      </c>
      <c r="H173" s="837">
        <v>0</v>
      </c>
      <c r="I173" s="837">
        <f t="shared" si="73"/>
        <v>42492.12</v>
      </c>
      <c r="J173" s="836">
        <f>IF(F173=$J$2,E173,0)</f>
        <v>0</v>
      </c>
      <c r="K173" s="982"/>
      <c r="L173" s="831"/>
      <c r="M173" s="837">
        <f t="shared" si="77"/>
        <v>0</v>
      </c>
      <c r="N173" s="836">
        <f t="shared" si="75"/>
        <v>0</v>
      </c>
      <c r="O173" s="837">
        <v>4</v>
      </c>
    </row>
    <row r="174" spans="1:15">
      <c r="A174" s="521" t="s">
        <v>2091</v>
      </c>
      <c r="B174" s="647">
        <v>456.1</v>
      </c>
      <c r="C174" s="520" t="s">
        <v>2092</v>
      </c>
      <c r="D174" s="520" t="s">
        <v>2093</v>
      </c>
      <c r="E174" s="838"/>
      <c r="F174" s="830" t="s">
        <v>1704</v>
      </c>
      <c r="G174" s="836">
        <f t="shared" si="79"/>
        <v>0</v>
      </c>
      <c r="H174" s="837">
        <v>0</v>
      </c>
      <c r="I174" s="837">
        <f t="shared" si="73"/>
        <v>0</v>
      </c>
      <c r="J174" s="836">
        <f>IF(F174=$J$2,E174,0)</f>
        <v>0</v>
      </c>
      <c r="K174" s="982"/>
      <c r="L174" s="831"/>
      <c r="M174" s="837">
        <f t="shared" si="77"/>
        <v>0</v>
      </c>
      <c r="N174" s="836">
        <f t="shared" si="75"/>
        <v>0</v>
      </c>
      <c r="O174" s="837">
        <v>6</v>
      </c>
    </row>
    <row r="175" spans="1:15">
      <c r="A175" s="521" t="s">
        <v>2094</v>
      </c>
      <c r="B175" s="647">
        <v>456.1</v>
      </c>
      <c r="C175" s="520" t="s">
        <v>2095</v>
      </c>
      <c r="D175" s="520" t="s">
        <v>2096</v>
      </c>
      <c r="E175" s="838">
        <v>96303.72</v>
      </c>
      <c r="F175" s="830" t="s">
        <v>1702</v>
      </c>
      <c r="G175" s="836">
        <f t="shared" si="79"/>
        <v>96303.72</v>
      </c>
      <c r="H175" s="837">
        <v>0</v>
      </c>
      <c r="I175" s="837">
        <f t="shared" si="73"/>
        <v>96303.72</v>
      </c>
      <c r="J175" s="836">
        <f>IF(F175=$J$2,E175,0)</f>
        <v>0</v>
      </c>
      <c r="K175" s="839"/>
      <c r="L175" s="831"/>
      <c r="M175" s="837">
        <f t="shared" si="77"/>
        <v>0</v>
      </c>
      <c r="N175" s="836">
        <f t="shared" si="75"/>
        <v>0</v>
      </c>
      <c r="O175" s="837">
        <v>4</v>
      </c>
    </row>
    <row r="176" spans="1:15">
      <c r="A176" s="521" t="s">
        <v>2097</v>
      </c>
      <c r="B176" s="647">
        <v>456.1</v>
      </c>
      <c r="C176" s="520" t="s">
        <v>2098</v>
      </c>
      <c r="D176" s="520" t="s">
        <v>2099</v>
      </c>
      <c r="E176" s="838">
        <v>171016.77</v>
      </c>
      <c r="F176" s="830" t="s">
        <v>1702</v>
      </c>
      <c r="G176" s="836">
        <f t="shared" si="79"/>
        <v>171016.77</v>
      </c>
      <c r="H176" s="837">
        <v>0</v>
      </c>
      <c r="I176" s="837">
        <f t="shared" si="73"/>
        <v>171016.77</v>
      </c>
      <c r="J176" s="836">
        <f>IF(F176=$J$2,E176,0)</f>
        <v>0</v>
      </c>
      <c r="K176" s="839"/>
      <c r="L176" s="831"/>
      <c r="M176" s="837">
        <f t="shared" si="77"/>
        <v>0</v>
      </c>
      <c r="N176" s="836">
        <f t="shared" si="75"/>
        <v>0</v>
      </c>
      <c r="O176" s="837">
        <v>4</v>
      </c>
    </row>
    <row r="177" spans="1:15">
      <c r="A177" s="521" t="s">
        <v>2100</v>
      </c>
      <c r="B177" s="647">
        <v>456.1</v>
      </c>
      <c r="C177" s="520" t="s">
        <v>2101</v>
      </c>
      <c r="D177" s="300" t="s">
        <v>2102</v>
      </c>
      <c r="E177" s="838">
        <v>2910778.89</v>
      </c>
      <c r="F177" s="838" t="s">
        <v>1704</v>
      </c>
      <c r="G177" s="836">
        <f t="shared" si="79"/>
        <v>0</v>
      </c>
      <c r="H177" s="837">
        <v>0</v>
      </c>
      <c r="I177" s="837">
        <f t="shared" si="73"/>
        <v>0</v>
      </c>
      <c r="J177" s="836">
        <f>IF(F177=$J$2,E177,0)</f>
        <v>0</v>
      </c>
      <c r="K177" s="839"/>
      <c r="L177" s="831"/>
      <c r="M177" s="837">
        <f t="shared" si="77"/>
        <v>0</v>
      </c>
      <c r="N177" s="836">
        <f t="shared" si="75"/>
        <v>2910778.89</v>
      </c>
      <c r="O177" s="837">
        <v>6</v>
      </c>
    </row>
    <row r="178" spans="1:15">
      <c r="A178" s="521" t="s">
        <v>2103</v>
      </c>
      <c r="B178" s="799">
        <v>456.1</v>
      </c>
      <c r="C178" s="806" t="s">
        <v>2092</v>
      </c>
      <c r="D178" s="800" t="s">
        <v>2104</v>
      </c>
      <c r="E178" s="838"/>
      <c r="F178" s="838" t="s">
        <v>1704</v>
      </c>
      <c r="G178" s="840">
        <f t="shared" ref="G178:G181" si="81">IF(F178=$G$2,E178,0)</f>
        <v>0</v>
      </c>
      <c r="H178" s="837">
        <v>0</v>
      </c>
      <c r="I178" s="837">
        <f t="shared" ref="I178:I181" si="82">G178-H178</f>
        <v>0</v>
      </c>
      <c r="J178" s="840">
        <f t="shared" ref="J178:J181" si="83">IF(F178=$J$2,E178,0)</f>
        <v>0</v>
      </c>
      <c r="K178" s="839"/>
      <c r="L178" s="831"/>
      <c r="M178" s="837">
        <f t="shared" ref="M178:M181" si="84">J178-L178</f>
        <v>0</v>
      </c>
      <c r="N178" s="836">
        <f t="shared" ref="N178:N181" si="85">IF(F178=$N$2,E178,0)</f>
        <v>0</v>
      </c>
      <c r="O178" s="837">
        <v>6</v>
      </c>
    </row>
    <row r="179" spans="1:15">
      <c r="A179" s="521" t="s">
        <v>2105</v>
      </c>
      <c r="B179" s="799">
        <v>456.1</v>
      </c>
      <c r="C179" s="806" t="s">
        <v>2106</v>
      </c>
      <c r="D179" s="800" t="s">
        <v>2107</v>
      </c>
      <c r="E179" s="838">
        <v>65.540000000000006</v>
      </c>
      <c r="F179" s="838" t="s">
        <v>1704</v>
      </c>
      <c r="G179" s="840">
        <f t="shared" si="81"/>
        <v>0</v>
      </c>
      <c r="H179" s="837">
        <v>0</v>
      </c>
      <c r="I179" s="837">
        <f t="shared" si="82"/>
        <v>0</v>
      </c>
      <c r="J179" s="840">
        <f t="shared" si="83"/>
        <v>0</v>
      </c>
      <c r="K179" s="839"/>
      <c r="L179" s="831"/>
      <c r="M179" s="837">
        <f t="shared" si="84"/>
        <v>0</v>
      </c>
      <c r="N179" s="836">
        <f t="shared" si="85"/>
        <v>65.540000000000006</v>
      </c>
      <c r="O179" s="837">
        <v>6</v>
      </c>
    </row>
    <row r="180" spans="1:15" s="251" customFormat="1">
      <c r="A180" s="521" t="s">
        <v>2108</v>
      </c>
      <c r="B180" s="647">
        <v>456.1</v>
      </c>
      <c r="C180" s="520" t="s">
        <v>2109</v>
      </c>
      <c r="D180" s="300" t="s">
        <v>2110</v>
      </c>
      <c r="E180" s="838">
        <v>9513360</v>
      </c>
      <c r="F180" s="838" t="s">
        <v>1704</v>
      </c>
      <c r="G180" s="840">
        <f t="shared" si="81"/>
        <v>0</v>
      </c>
      <c r="H180" s="837">
        <v>0</v>
      </c>
      <c r="I180" s="837">
        <f t="shared" si="82"/>
        <v>0</v>
      </c>
      <c r="J180" s="840">
        <f t="shared" si="83"/>
        <v>0</v>
      </c>
      <c r="K180" s="839"/>
      <c r="L180" s="831"/>
      <c r="M180" s="837">
        <f t="shared" si="84"/>
        <v>0</v>
      </c>
      <c r="N180" s="836">
        <f t="shared" si="85"/>
        <v>9513360</v>
      </c>
      <c r="O180" s="837">
        <v>6</v>
      </c>
    </row>
    <row r="181" spans="1:15" s="251" customFormat="1">
      <c r="A181" s="613" t="s">
        <v>3035</v>
      </c>
      <c r="B181" s="872">
        <v>456.1</v>
      </c>
      <c r="C181" s="874" t="s">
        <v>3036</v>
      </c>
      <c r="D181" s="614" t="s">
        <v>3037</v>
      </c>
      <c r="E181" s="838">
        <v>-2116946.35</v>
      </c>
      <c r="F181" s="838" t="s">
        <v>1704</v>
      </c>
      <c r="G181" s="830">
        <f t="shared" si="81"/>
        <v>0</v>
      </c>
      <c r="H181" s="831">
        <v>0</v>
      </c>
      <c r="I181" s="831">
        <f t="shared" si="82"/>
        <v>0</v>
      </c>
      <c r="J181" s="830">
        <f t="shared" si="83"/>
        <v>0</v>
      </c>
      <c r="K181" s="838"/>
      <c r="L181" s="831"/>
      <c r="M181" s="831">
        <f t="shared" si="84"/>
        <v>0</v>
      </c>
      <c r="N181" s="830">
        <f t="shared" si="85"/>
        <v>-2116946.35</v>
      </c>
      <c r="O181" s="831">
        <v>6</v>
      </c>
    </row>
    <row r="182" spans="1:15" s="251" customFormat="1">
      <c r="A182" s="613"/>
      <c r="B182" s="872"/>
      <c r="C182" s="874"/>
      <c r="D182" s="614"/>
      <c r="E182" s="838"/>
      <c r="F182" s="838"/>
      <c r="G182" s="830"/>
      <c r="H182" s="831"/>
      <c r="I182" s="831"/>
      <c r="J182" s="830"/>
      <c r="K182" s="838"/>
      <c r="L182" s="831"/>
      <c r="M182" s="831"/>
      <c r="N182" s="830"/>
      <c r="O182" s="831"/>
    </row>
    <row r="183" spans="1:15">
      <c r="A183" s="613"/>
      <c r="B183" s="872"/>
      <c r="C183" s="874"/>
      <c r="D183" s="614"/>
      <c r="E183" s="985"/>
      <c r="F183" s="985"/>
      <c r="G183" s="981"/>
      <c r="H183" s="412"/>
      <c r="I183" s="412"/>
      <c r="J183" s="585"/>
      <c r="K183" s="985"/>
      <c r="L183" s="412"/>
      <c r="M183" s="412"/>
      <c r="N183" s="585"/>
      <c r="O183" s="615"/>
    </row>
    <row r="184" spans="1:15" ht="13">
      <c r="A184" s="521">
        <v>16</v>
      </c>
      <c r="B184" s="1125" t="s">
        <v>2111</v>
      </c>
      <c r="C184" s="1126"/>
      <c r="D184" s="1127"/>
      <c r="E184" s="165">
        <f>SUM(E158:E183)</f>
        <v>147078370.61000001</v>
      </c>
      <c r="F184" s="172"/>
      <c r="G184" s="165">
        <f>SUM(G158:G183)</f>
        <v>51705208.729999997</v>
      </c>
      <c r="H184" s="165">
        <f>SUM(H158:H183)</f>
        <v>39724800</v>
      </c>
      <c r="I184" s="165">
        <f>SUM(I158:I183)</f>
        <v>11980408.729999999</v>
      </c>
      <c r="J184" s="165">
        <f>SUM(J158:J183)</f>
        <v>0</v>
      </c>
      <c r="K184" s="172"/>
      <c r="L184" s="165">
        <f>SUM(L158:L183)</f>
        <v>0</v>
      </c>
      <c r="M184" s="165">
        <f>SUM(M158:M183)</f>
        <v>0</v>
      </c>
      <c r="N184" s="165">
        <f>SUM(N158:N183)</f>
        <v>95373161.88000001</v>
      </c>
      <c r="O184" s="111"/>
    </row>
    <row r="185" spans="1:15" ht="25.5" customHeight="1">
      <c r="A185" s="521">
        <v>17</v>
      </c>
      <c r="B185" s="1149" t="s">
        <v>2112</v>
      </c>
      <c r="C185" s="1150"/>
      <c r="D185" s="1151"/>
      <c r="E185" s="612">
        <v>147078371</v>
      </c>
      <c r="F185" s="164"/>
      <c r="G185" s="174"/>
      <c r="H185" s="164"/>
      <c r="I185" s="166"/>
      <c r="J185" s="159"/>
      <c r="K185" s="166"/>
      <c r="L185" s="159"/>
      <c r="M185" s="159"/>
      <c r="N185" s="159"/>
      <c r="O185" s="2"/>
    </row>
    <row r="186" spans="1:15" ht="13">
      <c r="A186" s="4"/>
      <c r="B186" s="1"/>
      <c r="C186" s="114"/>
      <c r="D186" s="114"/>
      <c r="E186" s="159"/>
      <c r="F186" s="159"/>
      <c r="G186" s="159"/>
      <c r="H186" s="166"/>
      <c r="I186" s="166"/>
      <c r="J186" s="159"/>
      <c r="K186" s="166"/>
      <c r="L186" s="159"/>
      <c r="M186" s="159"/>
      <c r="N186" s="159"/>
      <c r="O186" s="2"/>
    </row>
    <row r="187" spans="1:15" ht="13">
      <c r="A187" s="4"/>
      <c r="B187" s="1"/>
      <c r="C187" s="114"/>
      <c r="D187" s="114"/>
      <c r="E187" s="159"/>
      <c r="F187" s="159"/>
      <c r="G187" s="159"/>
      <c r="H187" s="166"/>
      <c r="I187" s="166"/>
      <c r="J187" s="159"/>
      <c r="K187" s="166"/>
      <c r="L187" s="159"/>
      <c r="M187" s="159"/>
      <c r="N187" s="159"/>
      <c r="O187" s="2"/>
    </row>
    <row r="188" spans="1:15" ht="13">
      <c r="A188" s="613"/>
      <c r="B188" s="820"/>
      <c r="C188" s="181"/>
      <c r="D188" s="181"/>
      <c r="E188" s="182"/>
      <c r="F188" s="182"/>
      <c r="G188" s="182"/>
      <c r="H188" s="182"/>
      <c r="I188" s="182"/>
      <c r="J188" s="182"/>
      <c r="K188" s="182"/>
      <c r="L188" s="182"/>
      <c r="M188" s="182"/>
      <c r="N188" s="182"/>
      <c r="O188" s="615"/>
    </row>
    <row r="189" spans="1:15" ht="13">
      <c r="A189" s="613"/>
      <c r="B189" s="183"/>
      <c r="C189" s="181"/>
      <c r="D189" s="181"/>
      <c r="E189" s="182"/>
      <c r="F189" s="182"/>
      <c r="G189" s="182"/>
      <c r="H189" s="182"/>
      <c r="I189" s="182"/>
      <c r="J189" s="182"/>
      <c r="K189" s="182"/>
      <c r="L189" s="182"/>
      <c r="M189" s="182"/>
      <c r="N189" s="182"/>
      <c r="O189" s="615"/>
    </row>
    <row r="190" spans="1:15" ht="13">
      <c r="A190" s="521">
        <v>19</v>
      </c>
      <c r="B190" s="1125" t="s">
        <v>2113</v>
      </c>
      <c r="C190" s="1126"/>
      <c r="D190" s="1127"/>
      <c r="E190" s="160">
        <f>SUM(E188:E189)</f>
        <v>0</v>
      </c>
      <c r="F190" s="187"/>
      <c r="G190" s="160">
        <f>SUM(G188:G189)</f>
        <v>0</v>
      </c>
      <c r="H190" s="160">
        <f>SUM(H188:H189)</f>
        <v>0</v>
      </c>
      <c r="I190" s="160">
        <f>SUM(I188:I189)</f>
        <v>0</v>
      </c>
      <c r="J190" s="160">
        <f>SUM(J188:J189)</f>
        <v>0</v>
      </c>
      <c r="K190" s="172"/>
      <c r="L190" s="160">
        <f>SUM(L188:L189)</f>
        <v>0</v>
      </c>
      <c r="M190" s="160">
        <f>SUM(M188:M189)</f>
        <v>0</v>
      </c>
      <c r="N190" s="160">
        <f>SUM(N188:N189)</f>
        <v>0</v>
      </c>
      <c r="O190" s="160"/>
    </row>
    <row r="191" spans="1:15" ht="26.25" customHeight="1">
      <c r="A191" s="521">
        <v>20</v>
      </c>
      <c r="B191" s="1136" t="s">
        <v>2114</v>
      </c>
      <c r="C191" s="1137"/>
      <c r="D191" s="1138"/>
      <c r="E191" s="163">
        <v>0</v>
      </c>
      <c r="F191" s="159"/>
      <c r="G191" s="161"/>
      <c r="H191" s="164"/>
      <c r="I191" s="164"/>
      <c r="J191" s="161"/>
      <c r="K191" s="164"/>
      <c r="L191" s="161"/>
      <c r="M191" s="161"/>
      <c r="N191" s="161"/>
      <c r="O191" s="115"/>
    </row>
    <row r="192" spans="1:15" ht="13">
      <c r="A192" s="4"/>
      <c r="B192" s="1"/>
      <c r="C192" s="114"/>
      <c r="D192" s="114"/>
      <c r="E192" s="159"/>
      <c r="F192" s="159"/>
      <c r="G192" s="161"/>
      <c r="H192" s="164"/>
      <c r="I192" s="164"/>
      <c r="J192" s="161"/>
      <c r="K192" s="164"/>
      <c r="L192" s="161"/>
      <c r="M192" s="161"/>
      <c r="N192" s="161"/>
      <c r="O192" s="115"/>
    </row>
    <row r="193" spans="1:15" ht="13">
      <c r="A193" s="613"/>
      <c r="B193" s="820"/>
      <c r="C193" s="181"/>
      <c r="D193" s="181"/>
      <c r="E193" s="182"/>
      <c r="F193" s="182"/>
      <c r="G193" s="163"/>
      <c r="H193" s="163"/>
      <c r="I193" s="163"/>
      <c r="J193" s="163"/>
      <c r="K193" s="163"/>
      <c r="L193" s="163"/>
      <c r="M193" s="163"/>
      <c r="N193" s="163"/>
      <c r="O193" s="412"/>
    </row>
    <row r="194" spans="1:15" ht="13">
      <c r="A194" s="613"/>
      <c r="B194" s="183"/>
      <c r="C194" s="181"/>
      <c r="D194" s="181"/>
      <c r="E194" s="182"/>
      <c r="F194" s="182"/>
      <c r="G194" s="163"/>
      <c r="H194" s="163"/>
      <c r="I194" s="163"/>
      <c r="J194" s="163"/>
      <c r="K194" s="163"/>
      <c r="L194" s="163"/>
      <c r="M194" s="163"/>
      <c r="N194" s="163"/>
      <c r="O194" s="412"/>
    </row>
    <row r="195" spans="1:15" ht="13">
      <c r="A195" s="521">
        <v>22</v>
      </c>
      <c r="B195" s="1125" t="s">
        <v>2115</v>
      </c>
      <c r="C195" s="1126"/>
      <c r="D195" s="1127"/>
      <c r="E195" s="160">
        <f>SUM(E193:E194)</f>
        <v>0</v>
      </c>
      <c r="F195" s="187"/>
      <c r="G195" s="160">
        <f>SUM(G193:G194)</f>
        <v>0</v>
      </c>
      <c r="H195" s="160">
        <f>SUM(H193:H194)</f>
        <v>0</v>
      </c>
      <c r="I195" s="160">
        <f>SUM(I193:I194)</f>
        <v>0</v>
      </c>
      <c r="J195" s="160">
        <f>SUM(J193:J194)</f>
        <v>0</v>
      </c>
      <c r="K195" s="172"/>
      <c r="L195" s="160">
        <f>SUM(L193:L194)</f>
        <v>0</v>
      </c>
      <c r="M195" s="160">
        <f>SUM(M193:M194)</f>
        <v>0</v>
      </c>
      <c r="N195" s="160">
        <f>SUM(N193:N194)</f>
        <v>0</v>
      </c>
      <c r="O195" s="160"/>
    </row>
    <row r="196" spans="1:15" ht="26.25" customHeight="1">
      <c r="A196" s="521">
        <v>23</v>
      </c>
      <c r="B196" s="1136" t="s">
        <v>2116</v>
      </c>
      <c r="C196" s="1137"/>
      <c r="D196" s="1138"/>
      <c r="E196" s="163">
        <v>0</v>
      </c>
      <c r="F196" s="159"/>
      <c r="G196" s="159"/>
      <c r="H196" s="166"/>
      <c r="I196" s="166"/>
      <c r="J196" s="159"/>
      <c r="K196" s="166"/>
      <c r="L196" s="159"/>
      <c r="M196" s="159"/>
      <c r="N196" s="159"/>
      <c r="O196" s="2"/>
    </row>
    <row r="197" spans="1:15" ht="13">
      <c r="A197" s="4"/>
      <c r="B197" s="1"/>
      <c r="C197" s="114"/>
      <c r="D197" s="114"/>
      <c r="E197" s="159"/>
      <c r="F197" s="159"/>
      <c r="G197" s="159"/>
      <c r="H197" s="166"/>
      <c r="I197" s="166"/>
      <c r="J197" s="159"/>
      <c r="K197" s="166"/>
      <c r="L197" s="159"/>
      <c r="M197" s="159"/>
      <c r="N197" s="159"/>
      <c r="O197" s="2"/>
    </row>
    <row r="198" spans="1:15" ht="13">
      <c r="A198" s="4"/>
      <c r="B198" s="1" t="s">
        <v>2117</v>
      </c>
      <c r="C198" s="114"/>
      <c r="D198" s="114"/>
      <c r="E198" s="817"/>
      <c r="F198" s="159"/>
      <c r="G198" s="159"/>
      <c r="H198" s="166"/>
      <c r="I198" s="166"/>
      <c r="J198" s="159"/>
      <c r="K198" s="166"/>
      <c r="L198" s="159"/>
      <c r="M198" s="159"/>
      <c r="N198" s="159"/>
      <c r="O198" s="2"/>
    </row>
    <row r="199" spans="1:15">
      <c r="A199" s="521" t="s">
        <v>2118</v>
      </c>
      <c r="B199" s="645">
        <v>417</v>
      </c>
      <c r="C199" s="986">
        <v>4863130</v>
      </c>
      <c r="D199" s="300" t="s">
        <v>2119</v>
      </c>
      <c r="E199" s="824">
        <v>573361.42000000004</v>
      </c>
      <c r="F199" s="556" t="s">
        <v>1703</v>
      </c>
      <c r="G199" s="978">
        <f t="shared" ref="G199:G211" si="86">IF(F199=$G$2,E199,0)</f>
        <v>0</v>
      </c>
      <c r="H199" s="518">
        <v>0</v>
      </c>
      <c r="I199" s="518">
        <f t="shared" ref="I199:I213" si="87">G199-H199</f>
        <v>0</v>
      </c>
      <c r="J199" s="978">
        <f t="shared" ref="J199:J211" si="88">IF(F199=$J$2,E199,0)</f>
        <v>573361.42000000004</v>
      </c>
      <c r="K199" s="299" t="s">
        <v>1744</v>
      </c>
      <c r="L199" s="892">
        <v>113104.119143459</v>
      </c>
      <c r="M199" s="978">
        <f t="shared" ref="M199:M215" si="89">J199-L199</f>
        <v>460257.30085654103</v>
      </c>
      <c r="N199" s="978">
        <f>IF(F199=$N$2,E199,0)</f>
        <v>0</v>
      </c>
      <c r="O199" s="299">
        <v>2</v>
      </c>
    </row>
    <row r="200" spans="1:15">
      <c r="A200" s="521" t="s">
        <v>2120</v>
      </c>
      <c r="B200" s="645">
        <v>417</v>
      </c>
      <c r="C200" s="986">
        <v>4862110</v>
      </c>
      <c r="D200" s="300" t="s">
        <v>2121</v>
      </c>
      <c r="E200" s="557">
        <v>8379562.8200000003</v>
      </c>
      <c r="F200" s="556" t="s">
        <v>1703</v>
      </c>
      <c r="G200" s="978">
        <f t="shared" si="86"/>
        <v>0</v>
      </c>
      <c r="H200" s="518">
        <v>0</v>
      </c>
      <c r="I200" s="518">
        <f t="shared" si="87"/>
        <v>0</v>
      </c>
      <c r="J200" s="978">
        <f t="shared" si="88"/>
        <v>8379562.8200000003</v>
      </c>
      <c r="K200" s="299" t="s">
        <v>1488</v>
      </c>
      <c r="L200" s="556">
        <v>1639060.64075634</v>
      </c>
      <c r="M200" s="978">
        <f t="shared" si="89"/>
        <v>6740502.1792436605</v>
      </c>
      <c r="N200" s="978">
        <f t="shared" ref="N200:N211" si="90">IF(F200=$N$2,E200,0)</f>
        <v>0</v>
      </c>
      <c r="O200" s="299">
        <v>2</v>
      </c>
    </row>
    <row r="201" spans="1:15">
      <c r="A201" s="521" t="s">
        <v>2122</v>
      </c>
      <c r="B201" s="645">
        <v>417</v>
      </c>
      <c r="C201" s="986">
        <v>4862115</v>
      </c>
      <c r="D201" s="300" t="s">
        <v>2123</v>
      </c>
      <c r="E201" s="557">
        <v>184344</v>
      </c>
      <c r="F201" s="556" t="s">
        <v>1703</v>
      </c>
      <c r="G201" s="978">
        <f t="shared" si="86"/>
        <v>0</v>
      </c>
      <c r="H201" s="518">
        <v>0</v>
      </c>
      <c r="I201" s="518">
        <f t="shared" si="87"/>
        <v>0</v>
      </c>
      <c r="J201" s="978">
        <f t="shared" si="88"/>
        <v>184344</v>
      </c>
      <c r="K201" s="299" t="s">
        <v>1488</v>
      </c>
      <c r="L201" s="556">
        <v>40978.462922407802</v>
      </c>
      <c r="M201" s="978">
        <f t="shared" si="89"/>
        <v>143365.53707759219</v>
      </c>
      <c r="N201" s="978">
        <f t="shared" si="90"/>
        <v>0</v>
      </c>
      <c r="O201" s="299">
        <v>2</v>
      </c>
    </row>
    <row r="202" spans="1:15">
      <c r="A202" s="521" t="s">
        <v>2124</v>
      </c>
      <c r="B202" s="645">
        <v>417</v>
      </c>
      <c r="C202" s="986">
        <v>4862120</v>
      </c>
      <c r="D202" s="300" t="s">
        <v>2125</v>
      </c>
      <c r="E202" s="557">
        <v>76602.759999999995</v>
      </c>
      <c r="F202" s="556" t="s">
        <v>1703</v>
      </c>
      <c r="G202" s="978">
        <f t="shared" si="86"/>
        <v>0</v>
      </c>
      <c r="H202" s="518">
        <v>0</v>
      </c>
      <c r="I202" s="518">
        <f t="shared" si="87"/>
        <v>0</v>
      </c>
      <c r="J202" s="978">
        <f t="shared" si="88"/>
        <v>76602.759999999995</v>
      </c>
      <c r="K202" s="299" t="s">
        <v>1488</v>
      </c>
      <c r="L202" s="830">
        <v>15809.9336736696</v>
      </c>
      <c r="M202" s="978">
        <f t="shared" si="89"/>
        <v>60792.826326330396</v>
      </c>
      <c r="N202" s="978">
        <f t="shared" si="90"/>
        <v>0</v>
      </c>
      <c r="O202" s="299">
        <v>2</v>
      </c>
    </row>
    <row r="203" spans="1:15">
      <c r="A203" s="521" t="s">
        <v>2126</v>
      </c>
      <c r="B203" s="645">
        <v>417</v>
      </c>
      <c r="C203" s="986">
        <v>4862135</v>
      </c>
      <c r="D203" s="300" t="s">
        <v>2127</v>
      </c>
      <c r="E203" s="825">
        <v>14836300.970000001</v>
      </c>
      <c r="F203" s="556" t="s">
        <v>1703</v>
      </c>
      <c r="G203" s="978">
        <f t="shared" si="86"/>
        <v>0</v>
      </c>
      <c r="H203" s="518">
        <v>0</v>
      </c>
      <c r="I203" s="518">
        <f t="shared" si="87"/>
        <v>0</v>
      </c>
      <c r="J203" s="978">
        <f t="shared" si="88"/>
        <v>14836300.970000001</v>
      </c>
      <c r="K203" s="299" t="s">
        <v>1488</v>
      </c>
      <c r="L203" s="825">
        <v>3047291.17094586</v>
      </c>
      <c r="M203" s="978">
        <f t="shared" si="89"/>
        <v>11789009.79905414</v>
      </c>
      <c r="N203" s="978">
        <f t="shared" si="90"/>
        <v>0</v>
      </c>
      <c r="O203" s="299">
        <v>2</v>
      </c>
    </row>
    <row r="204" spans="1:15">
      <c r="A204" s="521" t="s">
        <v>2128</v>
      </c>
      <c r="B204" s="645">
        <v>417</v>
      </c>
      <c r="C204" s="986">
        <v>4864115</v>
      </c>
      <c r="D204" s="300" t="s">
        <v>2129</v>
      </c>
      <c r="E204" s="825">
        <v>654881.18999999994</v>
      </c>
      <c r="F204" s="556" t="s">
        <v>1703</v>
      </c>
      <c r="G204" s="978">
        <f t="shared" si="86"/>
        <v>0</v>
      </c>
      <c r="H204" s="518">
        <v>0</v>
      </c>
      <c r="I204" s="518">
        <f t="shared" si="87"/>
        <v>0</v>
      </c>
      <c r="J204" s="978">
        <f t="shared" si="88"/>
        <v>654881.18999999994</v>
      </c>
      <c r="K204" s="299" t="s">
        <v>1488</v>
      </c>
      <c r="L204" s="825">
        <v>152411.02087660701</v>
      </c>
      <c r="M204" s="978">
        <f t="shared" si="89"/>
        <v>502470.1691233929</v>
      </c>
      <c r="N204" s="978">
        <f t="shared" si="90"/>
        <v>0</v>
      </c>
      <c r="O204" s="299">
        <v>2</v>
      </c>
    </row>
    <row r="205" spans="1:15">
      <c r="A205" s="521" t="s">
        <v>2130</v>
      </c>
      <c r="B205" s="645">
        <v>417</v>
      </c>
      <c r="C205" s="986">
        <v>4862125</v>
      </c>
      <c r="D205" s="300" t="s">
        <v>2131</v>
      </c>
      <c r="E205" s="825">
        <v>15101452.449999999</v>
      </c>
      <c r="F205" s="556" t="s">
        <v>1703</v>
      </c>
      <c r="G205" s="978">
        <f t="shared" si="86"/>
        <v>0</v>
      </c>
      <c r="H205" s="518">
        <v>0</v>
      </c>
      <c r="I205" s="518">
        <f t="shared" si="87"/>
        <v>0</v>
      </c>
      <c r="J205" s="978">
        <f t="shared" si="88"/>
        <v>15101452.449999999</v>
      </c>
      <c r="K205" s="299" t="s">
        <v>1488</v>
      </c>
      <c r="L205" s="830">
        <v>3015927.2880738401</v>
      </c>
      <c r="M205" s="978">
        <f t="shared" si="89"/>
        <v>12085525.16192616</v>
      </c>
      <c r="N205" s="978">
        <f t="shared" si="90"/>
        <v>0</v>
      </c>
      <c r="O205" s="299">
        <v>2</v>
      </c>
    </row>
    <row r="206" spans="1:15">
      <c r="A206" s="521" t="s">
        <v>2132</v>
      </c>
      <c r="B206" s="645">
        <v>417</v>
      </c>
      <c r="C206" s="986">
        <v>4862130</v>
      </c>
      <c r="D206" s="300" t="s">
        <v>2133</v>
      </c>
      <c r="E206" s="825">
        <v>6685301.7699999996</v>
      </c>
      <c r="F206" s="556" t="s">
        <v>1703</v>
      </c>
      <c r="G206" s="978">
        <f t="shared" si="86"/>
        <v>0</v>
      </c>
      <c r="H206" s="518">
        <v>0</v>
      </c>
      <c r="I206" s="518">
        <f t="shared" si="87"/>
        <v>0</v>
      </c>
      <c r="J206" s="978">
        <f t="shared" si="88"/>
        <v>6685301.7699999996</v>
      </c>
      <c r="K206" s="299" t="s">
        <v>1488</v>
      </c>
      <c r="L206" s="830">
        <v>1110722.82115059</v>
      </c>
      <c r="M206" s="978">
        <f t="shared" si="89"/>
        <v>5574578.9488494098</v>
      </c>
      <c r="N206" s="978">
        <f t="shared" si="90"/>
        <v>0</v>
      </c>
      <c r="O206" s="299">
        <v>2</v>
      </c>
    </row>
    <row r="207" spans="1:15">
      <c r="A207" s="521" t="s">
        <v>2134</v>
      </c>
      <c r="B207" s="645">
        <v>417</v>
      </c>
      <c r="C207" s="986">
        <v>4863120</v>
      </c>
      <c r="D207" s="300" t="s">
        <v>2135</v>
      </c>
      <c r="E207" s="825">
        <v>333819.11</v>
      </c>
      <c r="F207" s="556" t="s">
        <v>1703</v>
      </c>
      <c r="G207" s="978">
        <f t="shared" si="86"/>
        <v>0</v>
      </c>
      <c r="H207" s="518">
        <v>0</v>
      </c>
      <c r="I207" s="518">
        <f t="shared" si="87"/>
        <v>0</v>
      </c>
      <c r="J207" s="978">
        <f t="shared" si="88"/>
        <v>333819.11</v>
      </c>
      <c r="K207" s="299" t="s">
        <v>1744</v>
      </c>
      <c r="L207" s="830">
        <v>55375.325263205603</v>
      </c>
      <c r="M207" s="978">
        <f t="shared" si="89"/>
        <v>278443.78473679436</v>
      </c>
      <c r="N207" s="978">
        <f t="shared" si="90"/>
        <v>0</v>
      </c>
      <c r="O207" s="299">
        <v>2</v>
      </c>
    </row>
    <row r="208" spans="1:15">
      <c r="A208" s="521" t="s">
        <v>2136</v>
      </c>
      <c r="B208" s="645">
        <v>417</v>
      </c>
      <c r="C208" s="986">
        <v>4863110</v>
      </c>
      <c r="D208" s="300" t="s">
        <v>2137</v>
      </c>
      <c r="E208" s="825">
        <v>4055775.62</v>
      </c>
      <c r="F208" s="556" t="s">
        <v>1703</v>
      </c>
      <c r="G208" s="978">
        <f t="shared" si="86"/>
        <v>0</v>
      </c>
      <c r="H208" s="518">
        <v>0</v>
      </c>
      <c r="I208" s="518">
        <f t="shared" si="87"/>
        <v>0</v>
      </c>
      <c r="J208" s="978">
        <f t="shared" si="88"/>
        <v>4055775.62</v>
      </c>
      <c r="K208" s="299" t="s">
        <v>1744</v>
      </c>
      <c r="L208" s="830">
        <v>824400.53761213098</v>
      </c>
      <c r="M208" s="978">
        <f t="shared" si="89"/>
        <v>3231375.0823878692</v>
      </c>
      <c r="N208" s="978">
        <f t="shared" si="90"/>
        <v>0</v>
      </c>
      <c r="O208" s="299">
        <v>2</v>
      </c>
    </row>
    <row r="209" spans="1:15">
      <c r="A209" s="521" t="s">
        <v>2138</v>
      </c>
      <c r="B209" s="645">
        <v>417</v>
      </c>
      <c r="C209" s="986">
        <v>4863115</v>
      </c>
      <c r="D209" s="300" t="s">
        <v>2139</v>
      </c>
      <c r="E209" s="825">
        <v>1353320.16</v>
      </c>
      <c r="F209" s="556" t="s">
        <v>1703</v>
      </c>
      <c r="G209" s="978">
        <f t="shared" si="86"/>
        <v>0</v>
      </c>
      <c r="H209" s="518">
        <v>0</v>
      </c>
      <c r="I209" s="518">
        <f t="shared" si="87"/>
        <v>0</v>
      </c>
      <c r="J209" s="978">
        <f t="shared" si="88"/>
        <v>1353320.16</v>
      </c>
      <c r="K209" s="299" t="s">
        <v>1744</v>
      </c>
      <c r="L209" s="830">
        <v>332083.73379503802</v>
      </c>
      <c r="M209" s="978">
        <f t="shared" si="89"/>
        <v>1021236.426204962</v>
      </c>
      <c r="N209" s="978">
        <f t="shared" si="90"/>
        <v>0</v>
      </c>
      <c r="O209" s="299">
        <v>2</v>
      </c>
    </row>
    <row r="210" spans="1:15">
      <c r="A210" s="521" t="s">
        <v>2140</v>
      </c>
      <c r="B210" s="645">
        <v>417</v>
      </c>
      <c r="C210" s="986">
        <v>4863125</v>
      </c>
      <c r="D210" s="300" t="s">
        <v>2141</v>
      </c>
      <c r="E210" s="825">
        <v>1588473.28</v>
      </c>
      <c r="F210" s="556" t="s">
        <v>1703</v>
      </c>
      <c r="G210" s="978">
        <f t="shared" si="86"/>
        <v>0</v>
      </c>
      <c r="H210" s="518">
        <v>0</v>
      </c>
      <c r="I210" s="518">
        <f t="shared" si="87"/>
        <v>0</v>
      </c>
      <c r="J210" s="978">
        <f t="shared" si="88"/>
        <v>1588473.28</v>
      </c>
      <c r="K210" s="299" t="s">
        <v>1744</v>
      </c>
      <c r="L210" s="830">
        <v>507102.48981238803</v>
      </c>
      <c r="M210" s="978">
        <f t="shared" si="89"/>
        <v>1081370.7901876119</v>
      </c>
      <c r="N210" s="978">
        <f t="shared" si="90"/>
        <v>0</v>
      </c>
      <c r="O210" s="299">
        <v>2</v>
      </c>
    </row>
    <row r="211" spans="1:15">
      <c r="A211" s="521" t="s">
        <v>2142</v>
      </c>
      <c r="B211" s="645">
        <v>417</v>
      </c>
      <c r="C211" s="986">
        <v>4864120</v>
      </c>
      <c r="D211" s="300" t="s">
        <v>2143</v>
      </c>
      <c r="E211" s="557">
        <v>196564.86</v>
      </c>
      <c r="F211" s="556" t="s">
        <v>1703</v>
      </c>
      <c r="G211" s="978">
        <f t="shared" si="86"/>
        <v>0</v>
      </c>
      <c r="H211" s="518">
        <v>0</v>
      </c>
      <c r="I211" s="518">
        <f t="shared" si="87"/>
        <v>0</v>
      </c>
      <c r="J211" s="978">
        <f t="shared" si="88"/>
        <v>196564.86</v>
      </c>
      <c r="K211" s="299" t="s">
        <v>1488</v>
      </c>
      <c r="L211" s="556">
        <v>53544.775878402601</v>
      </c>
      <c r="M211" s="978">
        <f t="shared" si="89"/>
        <v>143020.08412159738</v>
      </c>
      <c r="N211" s="978">
        <f t="shared" si="90"/>
        <v>0</v>
      </c>
      <c r="O211" s="299">
        <v>2</v>
      </c>
    </row>
    <row r="212" spans="1:15">
      <c r="A212" s="521" t="s">
        <v>2144</v>
      </c>
      <c r="B212" s="645">
        <v>417</v>
      </c>
      <c r="C212" s="646">
        <v>4864116</v>
      </c>
      <c r="D212" s="300" t="s">
        <v>2145</v>
      </c>
      <c r="E212" s="826">
        <v>1637542.92</v>
      </c>
      <c r="F212" s="556" t="s">
        <v>1703</v>
      </c>
      <c r="G212" s="978">
        <f>IF(F212=$G$2,E212,0)</f>
        <v>0</v>
      </c>
      <c r="H212" s="518">
        <v>0</v>
      </c>
      <c r="I212" s="518">
        <f t="shared" si="87"/>
        <v>0</v>
      </c>
      <c r="J212" s="978">
        <f>IF(F212=$J$2,E212,0)</f>
        <v>1637542.92</v>
      </c>
      <c r="K212" s="299" t="s">
        <v>1488</v>
      </c>
      <c r="L212" s="848">
        <v>235876.14898686699</v>
      </c>
      <c r="M212" s="978">
        <f t="shared" si="89"/>
        <v>1401666.771013133</v>
      </c>
      <c r="N212" s="978">
        <f>IF(F212=$N$2,E212,0)</f>
        <v>0</v>
      </c>
      <c r="O212" s="299">
        <v>2</v>
      </c>
    </row>
    <row r="213" spans="1:15">
      <c r="A213" s="521" t="s">
        <v>2146</v>
      </c>
      <c r="B213" s="645">
        <v>417</v>
      </c>
      <c r="C213" s="646">
        <v>4864121</v>
      </c>
      <c r="D213" s="300" t="s">
        <v>2147</v>
      </c>
      <c r="E213" s="827">
        <v>201990.78</v>
      </c>
      <c r="F213" s="556" t="s">
        <v>1703</v>
      </c>
      <c r="G213" s="978">
        <f>IF(F213=$G$2,E213,0)</f>
        <v>0</v>
      </c>
      <c r="H213" s="518">
        <v>0</v>
      </c>
      <c r="I213" s="518">
        <f t="shared" si="87"/>
        <v>0</v>
      </c>
      <c r="J213" s="978">
        <f>IF(F213=$J$2,E213,0)</f>
        <v>201990.78</v>
      </c>
      <c r="K213" s="299" t="s">
        <v>1488</v>
      </c>
      <c r="L213" s="556">
        <v>26830.804483101601</v>
      </c>
      <c r="M213" s="978">
        <f t="shared" si="89"/>
        <v>175159.97551689838</v>
      </c>
      <c r="N213" s="978">
        <f>IF(F213=$N$2,E213,0)</f>
        <v>0</v>
      </c>
      <c r="O213" s="299">
        <v>2</v>
      </c>
    </row>
    <row r="214" spans="1:15">
      <c r="A214" s="521" t="s">
        <v>2148</v>
      </c>
      <c r="B214" s="799">
        <v>417</v>
      </c>
      <c r="C214" s="799">
        <v>4864117</v>
      </c>
      <c r="D214" s="800" t="s">
        <v>2149</v>
      </c>
      <c r="E214" s="891">
        <v>388867.82</v>
      </c>
      <c r="F214" s="556" t="s">
        <v>1703</v>
      </c>
      <c r="G214" s="978">
        <f t="shared" ref="G214:G215" si="91">IF(F214=$G$2,E214,0)</f>
        <v>0</v>
      </c>
      <c r="H214" s="518">
        <v>0</v>
      </c>
      <c r="I214" s="518">
        <f t="shared" ref="I214:I215" si="92">G214-H214</f>
        <v>0</v>
      </c>
      <c r="J214" s="978">
        <f t="shared" ref="J214:J215" si="93">IF(F214=$J$2,E214,0)</f>
        <v>388867.82</v>
      </c>
      <c r="K214" s="299" t="s">
        <v>1488</v>
      </c>
      <c r="L214" s="556">
        <v>57749.795657155402</v>
      </c>
      <c r="M214" s="978">
        <f t="shared" si="89"/>
        <v>331118.02434284461</v>
      </c>
      <c r="N214" s="978">
        <f t="shared" ref="N214:N215" si="94">IF(F214=$N$2,E214,0)</f>
        <v>0</v>
      </c>
      <c r="O214" s="299">
        <v>2</v>
      </c>
    </row>
    <row r="215" spans="1:15">
      <c r="A215" s="521" t="s">
        <v>2150</v>
      </c>
      <c r="B215" s="799">
        <v>417</v>
      </c>
      <c r="C215" s="799">
        <v>4864122</v>
      </c>
      <c r="D215" s="800" t="s">
        <v>2151</v>
      </c>
      <c r="E215" s="891">
        <v>59022.31</v>
      </c>
      <c r="F215" s="556" t="s">
        <v>1703</v>
      </c>
      <c r="G215" s="978">
        <f t="shared" si="91"/>
        <v>0</v>
      </c>
      <c r="H215" s="518">
        <v>0</v>
      </c>
      <c r="I215" s="518">
        <f t="shared" si="92"/>
        <v>0</v>
      </c>
      <c r="J215" s="978">
        <f t="shared" si="93"/>
        <v>59022.31</v>
      </c>
      <c r="K215" s="299" t="s">
        <v>1488</v>
      </c>
      <c r="L215" s="556">
        <v>30729.664774426601</v>
      </c>
      <c r="M215" s="978">
        <f t="shared" si="89"/>
        <v>28292.645225573397</v>
      </c>
      <c r="N215" s="978">
        <f t="shared" si="94"/>
        <v>0</v>
      </c>
      <c r="O215" s="299">
        <v>2</v>
      </c>
    </row>
    <row r="216" spans="1:15" s="251" customFormat="1">
      <c r="A216" s="521" t="s">
        <v>2152</v>
      </c>
      <c r="B216" s="645">
        <v>417</v>
      </c>
      <c r="C216" s="646">
        <v>4864200</v>
      </c>
      <c r="D216" s="300" t="s">
        <v>2153</v>
      </c>
      <c r="E216" s="830">
        <v>39363.879999999997</v>
      </c>
      <c r="F216" s="556" t="s">
        <v>1703</v>
      </c>
      <c r="G216" s="978">
        <f t="shared" ref="G216:G224" si="95">IF(F216=$G$2,E216,0)</f>
        <v>0</v>
      </c>
      <c r="H216" s="518">
        <v>0</v>
      </c>
      <c r="I216" s="518">
        <f t="shared" ref="I216:I224" si="96">G216-H216</f>
        <v>0</v>
      </c>
      <c r="J216" s="978">
        <f t="shared" ref="J216:J224" si="97">IF(F216=$J$2,E216,0)</f>
        <v>39363.879999999997</v>
      </c>
      <c r="K216" s="299" t="s">
        <v>1488</v>
      </c>
      <c r="L216" s="556">
        <v>8832.7276990818009</v>
      </c>
      <c r="M216" s="978">
        <f t="shared" ref="M216:M224" si="98">J216-L216</f>
        <v>30531.152300918198</v>
      </c>
      <c r="N216" s="978">
        <f t="shared" ref="N216:N224" si="99">IF(F216=$N$2,E216,0)</f>
        <v>0</v>
      </c>
      <c r="O216" s="299">
        <v>2</v>
      </c>
    </row>
    <row r="217" spans="1:15" s="251" customFormat="1">
      <c r="A217" s="521" t="s">
        <v>2154</v>
      </c>
      <c r="B217" s="645">
        <v>417</v>
      </c>
      <c r="C217" s="646">
        <v>4864201</v>
      </c>
      <c r="D217" s="300" t="s">
        <v>2155</v>
      </c>
      <c r="E217" s="830">
        <v>95856</v>
      </c>
      <c r="F217" s="556" t="s">
        <v>1703</v>
      </c>
      <c r="G217" s="978">
        <f t="shared" si="95"/>
        <v>0</v>
      </c>
      <c r="H217" s="518">
        <v>0</v>
      </c>
      <c r="I217" s="518">
        <f t="shared" si="96"/>
        <v>0</v>
      </c>
      <c r="J217" s="978">
        <f t="shared" si="97"/>
        <v>95856</v>
      </c>
      <c r="K217" s="299" t="s">
        <v>1488</v>
      </c>
      <c r="L217" s="556">
        <v>19681.7150790702</v>
      </c>
      <c r="M217" s="978">
        <f t="shared" si="98"/>
        <v>76174.2849209298</v>
      </c>
      <c r="N217" s="978">
        <f t="shared" si="99"/>
        <v>0</v>
      </c>
      <c r="O217" s="299">
        <v>2</v>
      </c>
    </row>
    <row r="218" spans="1:15" s="251" customFormat="1">
      <c r="A218" s="521" t="s">
        <v>2156</v>
      </c>
      <c r="B218" s="645">
        <v>417</v>
      </c>
      <c r="C218" s="646">
        <v>4864202</v>
      </c>
      <c r="D218" s="300" t="s">
        <v>2157</v>
      </c>
      <c r="E218" s="830">
        <v>31381.919999999998</v>
      </c>
      <c r="F218" s="556" t="s">
        <v>1703</v>
      </c>
      <c r="G218" s="978">
        <f t="shared" si="95"/>
        <v>0</v>
      </c>
      <c r="H218" s="518">
        <v>0</v>
      </c>
      <c r="I218" s="518">
        <f t="shared" si="96"/>
        <v>0</v>
      </c>
      <c r="J218" s="978">
        <f t="shared" si="97"/>
        <v>31381.919999999998</v>
      </c>
      <c r="K218" s="299" t="s">
        <v>1488</v>
      </c>
      <c r="L218" s="556">
        <v>12887.054919980999</v>
      </c>
      <c r="M218" s="978">
        <f t="shared" si="98"/>
        <v>18494.865080019001</v>
      </c>
      <c r="N218" s="978">
        <f t="shared" si="99"/>
        <v>0</v>
      </c>
      <c r="O218" s="299">
        <v>2</v>
      </c>
    </row>
    <row r="219" spans="1:15" s="251" customFormat="1">
      <c r="A219" s="521" t="s">
        <v>2158</v>
      </c>
      <c r="B219" s="645">
        <v>417</v>
      </c>
      <c r="C219" s="646">
        <v>4864203</v>
      </c>
      <c r="D219" s="300" t="s">
        <v>2159</v>
      </c>
      <c r="E219" s="830">
        <v>6509.04</v>
      </c>
      <c r="F219" s="556" t="s">
        <v>1703</v>
      </c>
      <c r="G219" s="978">
        <f t="shared" si="95"/>
        <v>0</v>
      </c>
      <c r="H219" s="518">
        <v>0</v>
      </c>
      <c r="I219" s="518">
        <f t="shared" si="96"/>
        <v>0</v>
      </c>
      <c r="J219" s="978">
        <f t="shared" si="97"/>
        <v>6509.04</v>
      </c>
      <c r="K219" s="299" t="s">
        <v>1488</v>
      </c>
      <c r="L219" s="556">
        <v>2672.9330694989999</v>
      </c>
      <c r="M219" s="978">
        <f t="shared" si="98"/>
        <v>3836.1069305010001</v>
      </c>
      <c r="N219" s="978">
        <f t="shared" si="99"/>
        <v>0</v>
      </c>
      <c r="O219" s="299">
        <v>2</v>
      </c>
    </row>
    <row r="220" spans="1:15" s="251" customFormat="1">
      <c r="A220" s="521" t="s">
        <v>2160</v>
      </c>
      <c r="B220" s="645">
        <v>417</v>
      </c>
      <c r="C220" s="646">
        <v>4862105</v>
      </c>
      <c r="D220" s="300" t="s">
        <v>2161</v>
      </c>
      <c r="E220" s="830">
        <v>0</v>
      </c>
      <c r="F220" s="556" t="s">
        <v>1703</v>
      </c>
      <c r="G220" s="978">
        <f t="shared" si="95"/>
        <v>0</v>
      </c>
      <c r="H220" s="518">
        <v>0</v>
      </c>
      <c r="I220" s="518">
        <f t="shared" si="96"/>
        <v>0</v>
      </c>
      <c r="J220" s="978">
        <f t="shared" si="97"/>
        <v>0</v>
      </c>
      <c r="K220" s="299" t="s">
        <v>1488</v>
      </c>
      <c r="L220" s="556">
        <v>0</v>
      </c>
      <c r="M220" s="978">
        <f t="shared" si="98"/>
        <v>0</v>
      </c>
      <c r="N220" s="978">
        <f t="shared" si="99"/>
        <v>0</v>
      </c>
      <c r="O220" s="299">
        <v>2</v>
      </c>
    </row>
    <row r="221" spans="1:15" s="251" customFormat="1">
      <c r="A221" s="521" t="s">
        <v>2162</v>
      </c>
      <c r="B221" s="645">
        <v>417</v>
      </c>
      <c r="C221" s="646">
        <v>4863135</v>
      </c>
      <c r="D221" s="300" t="s">
        <v>2163</v>
      </c>
      <c r="E221" s="830">
        <v>0</v>
      </c>
      <c r="F221" s="556" t="s">
        <v>1703</v>
      </c>
      <c r="G221" s="978">
        <f t="shared" si="95"/>
        <v>0</v>
      </c>
      <c r="H221" s="518">
        <v>0</v>
      </c>
      <c r="I221" s="518">
        <f t="shared" si="96"/>
        <v>0</v>
      </c>
      <c r="J221" s="978">
        <f t="shared" si="97"/>
        <v>0</v>
      </c>
      <c r="K221" s="299" t="s">
        <v>1744</v>
      </c>
      <c r="L221" s="556">
        <v>0</v>
      </c>
      <c r="M221" s="978">
        <f t="shared" si="98"/>
        <v>0</v>
      </c>
      <c r="N221" s="978">
        <f t="shared" si="99"/>
        <v>0</v>
      </c>
      <c r="O221" s="299">
        <v>2</v>
      </c>
    </row>
    <row r="222" spans="1:15" s="251" customFormat="1">
      <c r="A222" s="521" t="s">
        <v>2164</v>
      </c>
      <c r="B222" s="645">
        <v>417</v>
      </c>
      <c r="C222" s="646">
        <v>4864123</v>
      </c>
      <c r="D222" s="300" t="s">
        <v>2165</v>
      </c>
      <c r="E222" s="830">
        <v>1308.8699999999999</v>
      </c>
      <c r="F222" s="556" t="s">
        <v>1703</v>
      </c>
      <c r="G222" s="978">
        <f t="shared" si="95"/>
        <v>0</v>
      </c>
      <c r="H222" s="518">
        <v>0</v>
      </c>
      <c r="I222" s="518">
        <f t="shared" si="96"/>
        <v>0</v>
      </c>
      <c r="J222" s="978">
        <f t="shared" si="97"/>
        <v>1308.8699999999999</v>
      </c>
      <c r="K222" s="299" t="s">
        <v>1488</v>
      </c>
      <c r="L222" s="556">
        <v>2977.3442438915999</v>
      </c>
      <c r="M222" s="978">
        <f t="shared" si="98"/>
        <v>-1668.4742438916001</v>
      </c>
      <c r="N222" s="978">
        <f t="shared" si="99"/>
        <v>0</v>
      </c>
      <c r="O222" s="299">
        <v>2</v>
      </c>
    </row>
    <row r="223" spans="1:15" s="251" customFormat="1">
      <c r="A223" s="521" t="s">
        <v>2166</v>
      </c>
      <c r="B223" s="645">
        <v>417</v>
      </c>
      <c r="C223" s="646">
        <v>4864124</v>
      </c>
      <c r="D223" s="300" t="s">
        <v>2167</v>
      </c>
      <c r="E223" s="830">
        <v>777139.48</v>
      </c>
      <c r="F223" s="556" t="s">
        <v>1703</v>
      </c>
      <c r="G223" s="978">
        <f t="shared" si="95"/>
        <v>0</v>
      </c>
      <c r="H223" s="518">
        <v>0</v>
      </c>
      <c r="I223" s="518">
        <f t="shared" si="96"/>
        <v>0</v>
      </c>
      <c r="J223" s="978">
        <f t="shared" si="97"/>
        <v>777139.48</v>
      </c>
      <c r="K223" s="299" t="s">
        <v>1488</v>
      </c>
      <c r="L223" s="556">
        <v>39628.701670628398</v>
      </c>
      <c r="M223" s="978">
        <f t="shared" si="98"/>
        <v>737510.77832937159</v>
      </c>
      <c r="N223" s="978">
        <f t="shared" si="99"/>
        <v>0</v>
      </c>
      <c r="O223" s="299">
        <v>2</v>
      </c>
    </row>
    <row r="224" spans="1:15" s="251" customFormat="1">
      <c r="A224" s="521" t="s">
        <v>2168</v>
      </c>
      <c r="B224" s="645">
        <v>417</v>
      </c>
      <c r="C224" s="646">
        <v>4864125</v>
      </c>
      <c r="D224" s="300" t="s">
        <v>2165</v>
      </c>
      <c r="E224" s="830">
        <v>53570.74</v>
      </c>
      <c r="F224" s="556" t="s">
        <v>1703</v>
      </c>
      <c r="G224" s="978">
        <f t="shared" si="95"/>
        <v>0</v>
      </c>
      <c r="H224" s="518">
        <v>0</v>
      </c>
      <c r="I224" s="518">
        <f t="shared" si="96"/>
        <v>0</v>
      </c>
      <c r="J224" s="978">
        <f t="shared" si="97"/>
        <v>53570.74</v>
      </c>
      <c r="K224" s="299" t="s">
        <v>1488</v>
      </c>
      <c r="L224" s="556">
        <v>4766.8500302430002</v>
      </c>
      <c r="M224" s="978">
        <f t="shared" si="98"/>
        <v>48803.889969757001</v>
      </c>
      <c r="N224" s="978">
        <f t="shared" si="99"/>
        <v>0</v>
      </c>
      <c r="O224" s="299">
        <v>2</v>
      </c>
    </row>
    <row r="225" spans="1:15" s="251" customFormat="1">
      <c r="A225" s="613"/>
      <c r="B225" s="820"/>
      <c r="C225" s="875"/>
      <c r="D225" s="614"/>
      <c r="E225" s="821"/>
      <c r="F225" s="585"/>
      <c r="G225" s="585"/>
      <c r="H225" s="412"/>
      <c r="I225" s="412"/>
      <c r="J225" s="585"/>
      <c r="K225" s="615"/>
      <c r="L225" s="585"/>
      <c r="M225" s="585"/>
      <c r="N225" s="585"/>
      <c r="O225" s="615"/>
    </row>
    <row r="226" spans="1:15" s="251" customFormat="1">
      <c r="A226" s="613"/>
      <c r="B226" s="820"/>
      <c r="C226" s="816"/>
      <c r="D226" s="614"/>
      <c r="E226" s="822"/>
      <c r="F226" s="585"/>
      <c r="G226" s="585"/>
      <c r="H226" s="412"/>
      <c r="I226" s="412"/>
      <c r="J226" s="585"/>
      <c r="K226" s="615"/>
      <c r="L226" s="818"/>
      <c r="M226" s="585"/>
      <c r="N226" s="585"/>
      <c r="O226" s="615"/>
    </row>
    <row r="227" spans="1:15" ht="13">
      <c r="A227" s="521">
        <v>25</v>
      </c>
      <c r="B227" s="1125" t="s">
        <v>2169</v>
      </c>
      <c r="C227" s="1126"/>
      <c r="D227" s="1127"/>
      <c r="E227" s="165">
        <f>SUM(E199:E226)</f>
        <v>57312314.169999994</v>
      </c>
      <c r="F227" s="172"/>
      <c r="G227" s="165">
        <f>SUM(G199:G226)</f>
        <v>0</v>
      </c>
      <c r="H227" s="165">
        <f>SUM(H199:H226)</f>
        <v>0</v>
      </c>
      <c r="I227" s="165">
        <f>SUM(I199:I226)</f>
        <v>0</v>
      </c>
      <c r="J227" s="165">
        <f>SUM(J199:J226)</f>
        <v>57312314.169999994</v>
      </c>
      <c r="K227" s="172"/>
      <c r="L227" s="165">
        <f>SUM(L199:L226)</f>
        <v>11350446.060517885</v>
      </c>
      <c r="M227" s="165">
        <f>SUM(M199:M226)</f>
        <v>45961868.109482132</v>
      </c>
      <c r="N227" s="165">
        <f>SUM(N199:N226)</f>
        <v>0</v>
      </c>
      <c r="O227" s="111"/>
    </row>
    <row r="228" spans="1:15" ht="13">
      <c r="A228" s="521">
        <v>26</v>
      </c>
      <c r="B228" s="1125" t="s">
        <v>2170</v>
      </c>
      <c r="C228" s="1126"/>
      <c r="D228" s="1127"/>
      <c r="E228" s="612">
        <v>10824794.830000006</v>
      </c>
      <c r="F228" s="161"/>
      <c r="G228" s="159"/>
      <c r="H228" s="166"/>
      <c r="I228" s="166"/>
      <c r="J228" s="159"/>
      <c r="K228" s="166"/>
      <c r="L228" s="159"/>
      <c r="M228" s="159"/>
      <c r="N228" s="159"/>
      <c r="O228" s="2"/>
    </row>
    <row r="229" spans="1:15" ht="25.5" customHeight="1">
      <c r="A229" s="521">
        <v>27</v>
      </c>
      <c r="B229" s="1149" t="s">
        <v>2171</v>
      </c>
      <c r="C229" s="1150"/>
      <c r="D229" s="1151"/>
      <c r="E229" s="612">
        <v>68137109</v>
      </c>
      <c r="F229" s="184" t="s">
        <v>129</v>
      </c>
      <c r="G229" s="987"/>
      <c r="H229" s="252"/>
      <c r="I229" s="252"/>
      <c r="J229" s="987"/>
      <c r="K229" s="988"/>
      <c r="L229" s="989"/>
      <c r="M229" s="252"/>
      <c r="N229" s="987"/>
      <c r="O229" s="252"/>
    </row>
    <row r="230" spans="1:15">
      <c r="A230" s="252"/>
      <c r="B230" s="251"/>
      <c r="C230" s="251"/>
      <c r="D230" s="251"/>
      <c r="E230" s="987"/>
      <c r="F230" s="987"/>
      <c r="G230" s="987"/>
      <c r="H230" s="252"/>
      <c r="I230" s="252"/>
      <c r="J230" s="987"/>
      <c r="K230" s="988"/>
      <c r="L230" s="989"/>
      <c r="M230" s="252"/>
      <c r="N230" s="987"/>
      <c r="O230" s="252"/>
    </row>
    <row r="231" spans="1:15" ht="13">
      <c r="A231" s="251"/>
      <c r="B231" s="1" t="s">
        <v>2172</v>
      </c>
      <c r="C231" s="251"/>
      <c r="D231" s="251"/>
      <c r="E231" s="987"/>
      <c r="F231" s="987"/>
      <c r="G231" s="987"/>
      <c r="H231" s="252"/>
      <c r="I231" s="252"/>
      <c r="J231" s="987"/>
      <c r="K231" s="988"/>
      <c r="L231" s="989"/>
      <c r="M231" s="252"/>
      <c r="N231" s="987"/>
      <c r="O231" s="252"/>
    </row>
    <row r="232" spans="1:15">
      <c r="A232" s="299" t="s">
        <v>2173</v>
      </c>
      <c r="B232" s="1140">
        <v>418.1</v>
      </c>
      <c r="C232" s="1141"/>
      <c r="D232" s="300" t="s">
        <v>2174</v>
      </c>
      <c r="E232" s="893"/>
      <c r="F232" s="556" t="s">
        <v>1703</v>
      </c>
      <c r="G232" s="978">
        <f>IF(F232=$G$2,E232,0)</f>
        <v>0</v>
      </c>
      <c r="H232" s="299">
        <v>0</v>
      </c>
      <c r="I232" s="518">
        <f t="shared" ref="I232:I235" si="100">G232-H232</f>
        <v>0</v>
      </c>
      <c r="J232" s="978">
        <f>IF(F232=$J$2,E232,0)</f>
        <v>0</v>
      </c>
      <c r="K232" s="301" t="s">
        <v>1488</v>
      </c>
      <c r="L232" s="585"/>
      <c r="M232" s="518">
        <f>J232-L232</f>
        <v>0</v>
      </c>
      <c r="N232" s="978">
        <f>IF(F232=$N$2,E232,0)</f>
        <v>0</v>
      </c>
      <c r="O232" s="299" t="s">
        <v>2175</v>
      </c>
    </row>
    <row r="233" spans="1:15">
      <c r="A233" s="299" t="s">
        <v>2176</v>
      </c>
      <c r="B233" s="1140">
        <v>418.1</v>
      </c>
      <c r="C233" s="1141"/>
      <c r="D233" s="300" t="s">
        <v>2177</v>
      </c>
      <c r="E233" s="893"/>
      <c r="F233" s="556" t="s">
        <v>1703</v>
      </c>
      <c r="G233" s="978">
        <f>IF(F233=$G$2,E233,0)</f>
        <v>0</v>
      </c>
      <c r="H233" s="299">
        <v>0</v>
      </c>
      <c r="I233" s="518">
        <f t="shared" si="100"/>
        <v>0</v>
      </c>
      <c r="J233" s="978">
        <f>IF(F233=$J$2,E233,0)</f>
        <v>0</v>
      </c>
      <c r="K233" s="301" t="s">
        <v>1744</v>
      </c>
      <c r="L233" s="585"/>
      <c r="M233" s="518">
        <f>J233-L233</f>
        <v>0</v>
      </c>
      <c r="N233" s="978">
        <f>IF(F233=$N$2,E233,0)</f>
        <v>0</v>
      </c>
      <c r="O233" s="299" t="s">
        <v>2175</v>
      </c>
    </row>
    <row r="234" spans="1:15">
      <c r="A234" s="299" t="s">
        <v>2178</v>
      </c>
      <c r="B234" s="1140">
        <v>418.1</v>
      </c>
      <c r="C234" s="1141"/>
      <c r="D234" s="300" t="s">
        <v>2179</v>
      </c>
      <c r="E234" s="893"/>
      <c r="F234" s="556" t="s">
        <v>1703</v>
      </c>
      <c r="G234" s="978">
        <f>IF(F234=$G$2,E234,0)</f>
        <v>0</v>
      </c>
      <c r="H234" s="299">
        <v>0</v>
      </c>
      <c r="I234" s="518">
        <f t="shared" si="100"/>
        <v>0</v>
      </c>
      <c r="J234" s="978">
        <f>IF(F234=$J$2,E234,0)</f>
        <v>0</v>
      </c>
      <c r="K234" s="301" t="s">
        <v>1744</v>
      </c>
      <c r="L234" s="585"/>
      <c r="M234" s="518">
        <f>J234-L234</f>
        <v>0</v>
      </c>
      <c r="N234" s="978">
        <f>IF(F234=$N$2,E234,0)</f>
        <v>0</v>
      </c>
      <c r="O234" s="299" t="s">
        <v>2180</v>
      </c>
    </row>
    <row r="235" spans="1:15">
      <c r="A235" s="299" t="s">
        <v>2181</v>
      </c>
      <c r="B235" s="1140">
        <v>418.1</v>
      </c>
      <c r="C235" s="1141"/>
      <c r="D235" s="300" t="s">
        <v>2182</v>
      </c>
      <c r="E235" s="830">
        <v>-6777</v>
      </c>
      <c r="F235" s="556" t="s">
        <v>1702</v>
      </c>
      <c r="G235" s="978">
        <f>IF(F235=$G$2,E235,0)</f>
        <v>-6777</v>
      </c>
      <c r="H235" s="299">
        <v>0</v>
      </c>
      <c r="I235" s="518">
        <f t="shared" si="100"/>
        <v>-6777</v>
      </c>
      <c r="J235" s="978">
        <f>IF(F235=$J$2,E235,0)</f>
        <v>0</v>
      </c>
      <c r="K235" s="301"/>
      <c r="L235" s="585"/>
      <c r="M235" s="518">
        <f>J235-L235</f>
        <v>0</v>
      </c>
      <c r="N235" s="978">
        <f>IF(F235=$N$2,E235,0)</f>
        <v>0</v>
      </c>
      <c r="O235" s="299">
        <v>13</v>
      </c>
    </row>
    <row r="236" spans="1:15">
      <c r="A236" s="299" t="s">
        <v>2183</v>
      </c>
      <c r="B236" s="990">
        <v>418.1</v>
      </c>
      <c r="C236" s="991"/>
      <c r="D236" s="300" t="s">
        <v>2184</v>
      </c>
      <c r="E236" s="838">
        <v>-336857.91</v>
      </c>
      <c r="F236" s="830" t="s">
        <v>1702</v>
      </c>
      <c r="G236" s="836">
        <f>IF(F236=$G$2,E236,0)</f>
        <v>-336857.91</v>
      </c>
      <c r="H236" s="837">
        <f>E236*$D$285</f>
        <v>-22434.736806000001</v>
      </c>
      <c r="I236" s="837">
        <f>G236-H236</f>
        <v>-314423.17319399997</v>
      </c>
      <c r="J236" s="836">
        <f>IF(F236=$J$2,E236,0)</f>
        <v>0</v>
      </c>
      <c r="K236" s="301"/>
      <c r="L236" s="585"/>
      <c r="M236" s="518">
        <f>J236-L236</f>
        <v>0</v>
      </c>
      <c r="N236" s="978">
        <f>IF(F236=$N$2,E236,0)</f>
        <v>0</v>
      </c>
      <c r="O236" s="299" t="s">
        <v>2185</v>
      </c>
    </row>
    <row r="237" spans="1:15">
      <c r="A237" s="615"/>
      <c r="B237" s="992"/>
      <c r="C237" s="873"/>
      <c r="D237" s="614"/>
      <c r="E237" s="993"/>
      <c r="F237" s="835"/>
      <c r="G237" s="835"/>
      <c r="H237" s="831"/>
      <c r="I237" s="831"/>
      <c r="J237" s="835"/>
      <c r="K237" s="994"/>
      <c r="L237" s="585"/>
      <c r="M237" s="995"/>
      <c r="N237" s="585"/>
      <c r="O237" s="615"/>
    </row>
    <row r="238" spans="1:15">
      <c r="A238" s="615"/>
      <c r="B238" s="992"/>
      <c r="C238" s="873"/>
      <c r="D238" s="614"/>
      <c r="E238" s="993"/>
      <c r="F238" s="835"/>
      <c r="G238" s="835"/>
      <c r="H238" s="831"/>
      <c r="I238" s="831"/>
      <c r="J238" s="835"/>
      <c r="K238" s="994"/>
      <c r="L238" s="585"/>
      <c r="M238" s="995"/>
      <c r="N238" s="585"/>
      <c r="O238" s="615"/>
    </row>
    <row r="239" spans="1:15" ht="13">
      <c r="A239" s="299">
        <v>29</v>
      </c>
      <c r="B239" s="1125" t="s">
        <v>2186</v>
      </c>
      <c r="C239" s="1126"/>
      <c r="D239" s="1127"/>
      <c r="E239" s="841">
        <f>SUM(E232:E238)</f>
        <v>-343634.91</v>
      </c>
      <c r="F239" s="842"/>
      <c r="G239" s="841">
        <f>SUM(G232:G238)</f>
        <v>-343634.91</v>
      </c>
      <c r="H239" s="841">
        <f>SUM(H232:H238)</f>
        <v>-22434.736806000001</v>
      </c>
      <c r="I239" s="841">
        <f>SUM(I232:I238)</f>
        <v>-321200.17319399997</v>
      </c>
      <c r="J239" s="841">
        <f>SUM(J232:J238)</f>
        <v>0</v>
      </c>
      <c r="K239" s="173"/>
      <c r="L239" s="216">
        <f>SUM(L232:L238)</f>
        <v>0</v>
      </c>
      <c r="M239" s="216">
        <f>SUM(M232:M238)</f>
        <v>0</v>
      </c>
      <c r="N239" s="216">
        <f>SUM(N232:N238)</f>
        <v>0</v>
      </c>
      <c r="O239" s="111"/>
    </row>
    <row r="240" spans="1:15" ht="13">
      <c r="A240" s="299">
        <v>30</v>
      </c>
      <c r="B240" s="1125" t="s">
        <v>2187</v>
      </c>
      <c r="C240" s="1126"/>
      <c r="D240" s="1127"/>
      <c r="E240" s="843">
        <v>336857.91</v>
      </c>
      <c r="F240" s="844"/>
      <c r="G240" s="844"/>
      <c r="H240" s="844"/>
      <c r="I240" s="844"/>
      <c r="J240" s="845"/>
      <c r="K240" s="186"/>
      <c r="L240" s="185"/>
      <c r="M240" s="185"/>
      <c r="N240" s="185"/>
      <c r="O240" s="2"/>
    </row>
    <row r="241" spans="1:15" ht="25.5" customHeight="1">
      <c r="A241" s="299">
        <v>31</v>
      </c>
      <c r="B241" s="1142" t="s">
        <v>2188</v>
      </c>
      <c r="C241" s="1143"/>
      <c r="D241" s="1143"/>
      <c r="E241" s="846">
        <v>-6777</v>
      </c>
      <c r="F241" s="844"/>
      <c r="G241" s="844"/>
      <c r="H241" s="844"/>
      <c r="I241" s="844"/>
      <c r="J241" s="845"/>
      <c r="K241" s="186"/>
      <c r="L241" s="185"/>
      <c r="M241" s="185"/>
      <c r="N241" s="185"/>
      <c r="O241" s="2"/>
    </row>
    <row r="242" spans="1:15" ht="13">
      <c r="A242" s="252"/>
      <c r="B242" s="52"/>
      <c r="C242" s="940"/>
      <c r="D242" s="940"/>
      <c r="E242" s="941"/>
      <c r="F242" s="844"/>
      <c r="G242" s="844"/>
      <c r="H242" s="844"/>
      <c r="I242" s="844"/>
      <c r="J242" s="845"/>
      <c r="K242" s="186"/>
      <c r="L242" s="185"/>
      <c r="M242" s="185"/>
      <c r="N242" s="185"/>
      <c r="O242" s="2"/>
    </row>
    <row r="243" spans="1:15" s="622" customFormat="1" ht="13">
      <c r="A243" s="923"/>
      <c r="B243" s="1" t="s">
        <v>2189</v>
      </c>
      <c r="E243" s="942"/>
      <c r="F243" s="942"/>
      <c r="G243" s="942"/>
      <c r="H243" s="923"/>
      <c r="I243" s="923"/>
      <c r="J243" s="942"/>
      <c r="K243" s="943"/>
      <c r="L243" s="944"/>
      <c r="M243" s="923"/>
      <c r="N243" s="942"/>
      <c r="O243" s="923"/>
    </row>
    <row r="244" spans="1:15" s="622" customFormat="1" ht="13">
      <c r="A244" s="521" t="s">
        <v>2190</v>
      </c>
      <c r="B244" s="1147">
        <v>412</v>
      </c>
      <c r="C244" s="1147"/>
      <c r="D244" s="520" t="s">
        <v>2191</v>
      </c>
      <c r="E244" s="165">
        <f>'35-Other Formula Revenue'!G102</f>
        <v>0</v>
      </c>
      <c r="F244" s="1052" t="s">
        <v>1704</v>
      </c>
      <c r="G244" s="978">
        <f>IF(F244=$G$2,E244,0)</f>
        <v>0</v>
      </c>
      <c r="H244" s="299">
        <v>0</v>
      </c>
      <c r="I244" s="518">
        <f t="shared" ref="I244" si="101">G244-H244</f>
        <v>0</v>
      </c>
      <c r="J244" s="978">
        <f>IF(F244=$J$2,E244,0)</f>
        <v>0</v>
      </c>
      <c r="K244" s="1053"/>
      <c r="L244" s="182"/>
      <c r="M244" s="518">
        <f>J244-L244</f>
        <v>0</v>
      </c>
      <c r="N244" s="836">
        <f t="shared" ref="N244" si="102">IF(F244=$N$2,E244,0)</f>
        <v>0</v>
      </c>
      <c r="O244" s="299">
        <v>18</v>
      </c>
    </row>
    <row r="245" spans="1:15" s="622" customFormat="1" ht="13">
      <c r="A245" s="951"/>
      <c r="B245" s="1132"/>
      <c r="C245" s="1132"/>
      <c r="D245" s="952"/>
      <c r="E245" s="937"/>
      <c r="F245" s="936"/>
      <c r="G245" s="818"/>
      <c r="H245" s="819"/>
      <c r="I245" s="887"/>
      <c r="J245" s="818"/>
      <c r="K245" s="936"/>
      <c r="L245" s="182"/>
      <c r="M245" s="412"/>
      <c r="N245" s="835"/>
      <c r="O245" s="1056"/>
    </row>
    <row r="246" spans="1:15" s="622" customFormat="1" ht="13">
      <c r="A246" s="521" t="s">
        <v>2192</v>
      </c>
      <c r="B246" s="1133" t="s">
        <v>2193</v>
      </c>
      <c r="C246" s="1134"/>
      <c r="D246" s="1135"/>
      <c r="E246" s="841">
        <f>SUM(E244:E245)</f>
        <v>0</v>
      </c>
      <c r="F246" s="950"/>
      <c r="G246" s="841">
        <f>SUM(G244:G245)</f>
        <v>0</v>
      </c>
      <c r="H246" s="841">
        <f t="shared" ref="H246:J246" si="103">SUM(H244:H245)</f>
        <v>0</v>
      </c>
      <c r="I246" s="841">
        <f t="shared" si="103"/>
        <v>0</v>
      </c>
      <c r="J246" s="841">
        <f t="shared" si="103"/>
        <v>0</v>
      </c>
      <c r="K246" s="945"/>
      <c r="L246" s="841">
        <f>SUM(L244:L245)</f>
        <v>0</v>
      </c>
      <c r="M246" s="841">
        <f t="shared" ref="M246" si="104">SUM(M244:M245)</f>
        <v>0</v>
      </c>
      <c r="N246" s="841">
        <f t="shared" ref="N246" si="105">SUM(N244:N245)</f>
        <v>0</v>
      </c>
      <c r="O246" s="841"/>
    </row>
    <row r="247" spans="1:15" s="622" customFormat="1" ht="13">
      <c r="A247" s="1054" t="s">
        <v>2194</v>
      </c>
      <c r="B247" s="1144" t="s">
        <v>2195</v>
      </c>
      <c r="C247" s="1145"/>
      <c r="D247" s="1146"/>
      <c r="E247" s="1055">
        <v>7671191</v>
      </c>
      <c r="F247" s="946"/>
      <c r="G247" s="946"/>
      <c r="H247" s="946"/>
      <c r="I247" s="946"/>
      <c r="J247" s="947"/>
      <c r="K247" s="948"/>
      <c r="L247" s="949"/>
      <c r="M247" s="949"/>
      <c r="N247" s="949"/>
      <c r="O247" s="643"/>
    </row>
    <row r="248" spans="1:15" s="622" customFormat="1" ht="13">
      <c r="A248" s="521" t="s">
        <v>2196</v>
      </c>
      <c r="B248" s="1142" t="s">
        <v>2197</v>
      </c>
      <c r="C248" s="1142"/>
      <c r="D248" s="1142"/>
      <c r="E248" s="846">
        <v>7671191</v>
      </c>
      <c r="F248" s="946"/>
      <c r="G248" s="946"/>
      <c r="H248" s="946"/>
      <c r="I248" s="946"/>
      <c r="J248" s="947"/>
      <c r="K248" s="948"/>
      <c r="L248" s="949"/>
      <c r="M248" s="949"/>
      <c r="N248" s="949"/>
      <c r="O248" s="643"/>
    </row>
    <row r="249" spans="1:15" s="622" customFormat="1" ht="13">
      <c r="A249" s="925"/>
      <c r="B249" s="921"/>
      <c r="C249" s="906"/>
      <c r="D249" s="906"/>
      <c r="E249" s="938"/>
      <c r="F249" s="939"/>
      <c r="G249" s="939"/>
      <c r="H249" s="939"/>
      <c r="I249" s="939"/>
      <c r="J249" s="939"/>
      <c r="K249" s="939"/>
      <c r="L249" s="939"/>
      <c r="M249" s="939"/>
      <c r="N249" s="939"/>
      <c r="O249" s="643"/>
    </row>
    <row r="250" spans="1:15">
      <c r="A250" s="252"/>
      <c r="B250" s="251"/>
      <c r="C250" s="251"/>
      <c r="D250" s="251"/>
      <c r="E250" s="987"/>
      <c r="F250" s="987"/>
      <c r="G250" s="987"/>
      <c r="H250" s="252"/>
      <c r="I250" s="252"/>
      <c r="J250" s="987"/>
      <c r="K250" s="988"/>
      <c r="L250" s="989"/>
      <c r="M250" s="252"/>
      <c r="N250" s="987"/>
      <c r="O250" s="252"/>
    </row>
    <row r="251" spans="1:15" ht="13">
      <c r="A251" s="299">
        <v>32</v>
      </c>
      <c r="B251" s="177"/>
      <c r="C251" s="176"/>
      <c r="D251" s="116" t="s">
        <v>2198</v>
      </c>
      <c r="E251" s="649">
        <f>E8+E37+E46+E82+E155+E184+E190+E195+E227+E239+E246</f>
        <v>1036377469.85</v>
      </c>
      <c r="F251" s="217"/>
      <c r="G251" s="649">
        <f>G8+G37+G46+G82+G155+G184+G190+G195+G227+G239+G246</f>
        <v>260091885.17576396</v>
      </c>
      <c r="H251" s="649">
        <f>H8+H37+H46+H82+H155+H184+H190+H195+H227+H239+H246</f>
        <v>42232996.499540232</v>
      </c>
      <c r="I251" s="649">
        <f>I8+I37+I46+I82+I155+I184+I190+I195+I227+I239+I246</f>
        <v>217858888.67622375</v>
      </c>
      <c r="J251" s="649">
        <f>J8+J37+J46+J82+J155+J184+J190+J195+J227+J239+J246</f>
        <v>85259913.140000001</v>
      </c>
      <c r="K251" s="217"/>
      <c r="L251" s="649">
        <f>L8+L37+L46+L82+L155+L184+L190+L195+L227+L239+L246</f>
        <v>16671388.927505508</v>
      </c>
      <c r="M251" s="649">
        <f>M8+M37+M46+M82+M155+M184+M190+M195+M227+M239+M246</f>
        <v>68588524.212494507</v>
      </c>
      <c r="N251" s="649">
        <f>N8+N37+N46+N82+N155+N184+N190+N195+N227+N239+N246</f>
        <v>691025671.53423607</v>
      </c>
      <c r="O251" s="111"/>
    </row>
    <row r="252" spans="1:15">
      <c r="A252" s="261"/>
      <c r="B252" s="261"/>
      <c r="C252" s="261"/>
      <c r="D252" s="251"/>
      <c r="E252" s="252"/>
      <c r="F252" s="252"/>
      <c r="G252" s="996"/>
      <c r="H252" s="252"/>
      <c r="I252" s="252"/>
      <c r="J252" s="169"/>
      <c r="K252" s="997"/>
      <c r="L252" s="989"/>
      <c r="M252" s="252"/>
      <c r="N252" s="996"/>
      <c r="O252" s="252"/>
    </row>
    <row r="253" spans="1:15">
      <c r="A253" s="261"/>
      <c r="B253" s="261"/>
      <c r="C253" s="261"/>
      <c r="D253" s="251"/>
      <c r="E253" s="252"/>
      <c r="F253" s="252" t="s">
        <v>470</v>
      </c>
      <c r="G253" s="987"/>
      <c r="H253" s="983"/>
      <c r="I253" s="252"/>
      <c r="J253" s="169"/>
      <c r="K253" s="997"/>
      <c r="L253" s="989"/>
      <c r="M253" s="252"/>
      <c r="N253" s="996"/>
      <c r="O253" s="252"/>
    </row>
    <row r="254" spans="1:15">
      <c r="A254" s="299">
        <v>33</v>
      </c>
      <c r="B254" s="998"/>
      <c r="C254" s="998"/>
      <c r="D254" s="999" t="s">
        <v>2199</v>
      </c>
      <c r="E254" s="984">
        <f>L251</f>
        <v>16671388.927505508</v>
      </c>
      <c r="F254" s="1000" t="s">
        <v>2200</v>
      </c>
      <c r="G254" s="996"/>
      <c r="H254" s="252"/>
      <c r="I254" s="252"/>
      <c r="J254" s="987"/>
      <c r="K254" s="988"/>
      <c r="L254" s="989"/>
      <c r="M254" s="252"/>
      <c r="N254" s="996"/>
      <c r="O254" s="252"/>
    </row>
    <row r="255" spans="1:15">
      <c r="A255" s="299">
        <v>34</v>
      </c>
      <c r="B255" s="998"/>
      <c r="C255" s="998"/>
      <c r="D255" s="999" t="s">
        <v>2201</v>
      </c>
      <c r="E255" s="984">
        <f>E254*(5.425/16.671)</f>
        <v>5425126.5629966641</v>
      </c>
      <c r="F255" s="522" t="s">
        <v>2202</v>
      </c>
      <c r="G255" s="997"/>
      <c r="H255" s="252"/>
      <c r="I255" s="252"/>
      <c r="J255" s="987"/>
      <c r="K255" s="988"/>
      <c r="L255" s="989"/>
      <c r="M255" s="252"/>
      <c r="N255" s="996"/>
      <c r="O255" s="252"/>
    </row>
    <row r="256" spans="1:15">
      <c r="A256" s="299">
        <v>35</v>
      </c>
      <c r="B256" s="998"/>
      <c r="C256" s="998"/>
      <c r="D256" s="1001"/>
      <c r="E256" s="979"/>
      <c r="F256" s="1002"/>
      <c r="G256" s="997"/>
      <c r="H256" s="252"/>
      <c r="I256" s="252"/>
      <c r="J256" s="987"/>
      <c r="K256" s="988"/>
      <c r="L256" s="989"/>
      <c r="M256" s="252"/>
      <c r="N256" s="996"/>
      <c r="O256" s="252"/>
    </row>
    <row r="257" spans="1:254">
      <c r="A257" s="299">
        <v>36</v>
      </c>
      <c r="B257" s="998"/>
      <c r="C257" s="998"/>
      <c r="D257" s="999" t="s">
        <v>2203</v>
      </c>
      <c r="E257" s="984">
        <f>SUMIF(K4:K238,"=A",M4:M238)</f>
        <v>39889184.725108348</v>
      </c>
      <c r="F257" s="522" t="s">
        <v>2204</v>
      </c>
      <c r="G257" s="997"/>
      <c r="H257" s="252"/>
      <c r="I257" s="252"/>
      <c r="J257" s="987"/>
      <c r="K257" s="988"/>
      <c r="L257" s="989"/>
      <c r="M257" s="252"/>
      <c r="N257" s="996"/>
      <c r="O257" s="252"/>
    </row>
    <row r="258" spans="1:254">
      <c r="A258" s="299">
        <v>37</v>
      </c>
      <c r="B258" s="975"/>
      <c r="C258" s="975"/>
      <c r="D258" s="999" t="s">
        <v>2205</v>
      </c>
      <c r="E258" s="984">
        <f>0.1*E257</f>
        <v>3988918.4725108352</v>
      </c>
      <c r="F258" s="295" t="str">
        <f>"= Line "&amp;A257&amp;"D * 10%"</f>
        <v>= Line 36D * 10%</v>
      </c>
      <c r="G258" s="251"/>
      <c r="H258" s="170"/>
      <c r="I258" s="171"/>
      <c r="J258" s="987"/>
      <c r="K258" s="988"/>
      <c r="L258" s="989"/>
      <c r="M258" s="252"/>
      <c r="N258" s="987"/>
      <c r="O258" s="252"/>
    </row>
    <row r="259" spans="1:254">
      <c r="A259" s="299">
        <v>38</v>
      </c>
      <c r="B259" s="975"/>
      <c r="C259" s="975"/>
      <c r="D259" s="999" t="s">
        <v>2206</v>
      </c>
      <c r="E259" s="984">
        <f>SUMIF(K4:K238,"=P",M4:M238)</f>
        <v>28699339.487386156</v>
      </c>
      <c r="F259" s="1003" t="s">
        <v>2207</v>
      </c>
      <c r="G259" s="251"/>
      <c r="H259" s="252"/>
      <c r="I259" s="171"/>
      <c r="J259" s="987"/>
      <c r="K259" s="988"/>
      <c r="L259" s="989"/>
      <c r="M259" s="252"/>
      <c r="N259" s="987"/>
      <c r="O259" s="252"/>
    </row>
    <row r="260" spans="1:254">
      <c r="A260" s="299">
        <v>39</v>
      </c>
      <c r="B260" s="975"/>
      <c r="C260" s="975"/>
      <c r="D260" s="999" t="s">
        <v>2208</v>
      </c>
      <c r="E260" s="984">
        <f>0.3*E259</f>
        <v>8609801.846215846</v>
      </c>
      <c r="F260" s="295" t="str">
        <f>"= Line "&amp;A259&amp;"D * 30%"</f>
        <v>= Line 38D * 30%</v>
      </c>
      <c r="G260" s="251"/>
      <c r="H260" s="170"/>
      <c r="I260" s="171"/>
      <c r="J260" s="987"/>
      <c r="K260" s="988"/>
      <c r="L260" s="989"/>
      <c r="M260" s="252"/>
      <c r="N260" s="987"/>
      <c r="O260" s="252"/>
    </row>
    <row r="261" spans="1:254">
      <c r="A261" s="299">
        <v>40</v>
      </c>
      <c r="B261" s="975"/>
      <c r="C261" s="975"/>
      <c r="D261" s="999" t="s">
        <v>2209</v>
      </c>
      <c r="E261" s="984">
        <f>E258+E260</f>
        <v>12598720.318726681</v>
      </c>
      <c r="F261" s="295" t="str">
        <f>"= Line "&amp;A258&amp;"D + Line "&amp;A260&amp;"D"</f>
        <v>= Line 37D + Line 39D</v>
      </c>
      <c r="G261" s="988"/>
      <c r="H261" s="252"/>
      <c r="I261" s="252"/>
      <c r="J261" s="987"/>
      <c r="K261" s="988"/>
      <c r="L261" s="989"/>
      <c r="M261" s="252"/>
      <c r="N261" s="987"/>
      <c r="O261" s="252"/>
    </row>
    <row r="262" spans="1:254">
      <c r="A262" s="299">
        <v>41</v>
      </c>
      <c r="B262" s="975"/>
      <c r="C262" s="975"/>
      <c r="D262" s="999" t="s">
        <v>2210</v>
      </c>
      <c r="E262" s="1004">
        <f>5.425/16.671</f>
        <v>0.32541539199808051</v>
      </c>
      <c r="F262" s="522" t="s">
        <v>2211</v>
      </c>
      <c r="G262" s="988"/>
      <c r="H262" s="252"/>
      <c r="I262" s="252"/>
      <c r="J262" s="987"/>
      <c r="K262" s="988"/>
      <c r="L262" s="989"/>
      <c r="M262" s="252"/>
      <c r="N262" s="987"/>
      <c r="O262" s="252"/>
    </row>
    <row r="263" spans="1:254">
      <c r="A263" s="299">
        <v>42</v>
      </c>
      <c r="B263" s="975"/>
      <c r="C263" s="975"/>
      <c r="D263" s="999" t="s">
        <v>2212</v>
      </c>
      <c r="E263" s="984">
        <f>E261*E262</f>
        <v>4099817.5111926249</v>
      </c>
      <c r="F263" s="295" t="str">
        <f>"= Line "&amp;A261&amp;"D * Line "&amp;A262&amp;"D"</f>
        <v>= Line 40D * Line 41D</v>
      </c>
      <c r="G263" s="988"/>
      <c r="H263" s="252"/>
      <c r="I263" s="252"/>
      <c r="J263" s="987"/>
      <c r="K263" s="988"/>
      <c r="L263" s="989"/>
      <c r="M263" s="252"/>
      <c r="N263" s="987"/>
      <c r="O263" s="252"/>
    </row>
    <row r="264" spans="1:254" ht="12.75" customHeight="1">
      <c r="A264" s="299">
        <v>43</v>
      </c>
      <c r="B264" s="975"/>
      <c r="C264" s="975"/>
      <c r="D264" s="180" t="s">
        <v>2213</v>
      </c>
      <c r="E264" s="216">
        <f>E263+E255</f>
        <v>9524944.0741892885</v>
      </c>
      <c r="F264" s="295" t="str">
        <f>"= Line "&amp;A255&amp;"D + Line "&amp;A263&amp;"D"</f>
        <v>= Line 34D + Line 42D</v>
      </c>
      <c r="G264" s="988"/>
      <c r="H264" s="252"/>
      <c r="I264" s="252"/>
      <c r="J264" s="987"/>
      <c r="K264" s="988"/>
      <c r="L264" s="989"/>
      <c r="M264" s="252"/>
      <c r="N264" s="987"/>
      <c r="O264" s="252"/>
    </row>
    <row r="265" spans="1:254">
      <c r="A265" s="251"/>
      <c r="B265" s="251"/>
      <c r="C265" s="251"/>
      <c r="D265" s="988"/>
      <c r="E265" s="1005"/>
      <c r="F265" s="522"/>
      <c r="G265" s="988"/>
      <c r="H265" s="252"/>
      <c r="I265" s="252"/>
      <c r="J265" s="987"/>
      <c r="K265" s="988"/>
      <c r="L265" s="989"/>
      <c r="M265" s="252"/>
      <c r="N265" s="987"/>
      <c r="O265" s="252"/>
    </row>
    <row r="266" spans="1:254">
      <c r="A266" s="251"/>
      <c r="B266" s="251"/>
      <c r="C266" s="251"/>
      <c r="D266" s="1006"/>
      <c r="E266" s="63" t="s">
        <v>79</v>
      </c>
      <c r="F266" s="63" t="s">
        <v>470</v>
      </c>
      <c r="G266" s="1007"/>
      <c r="H266" s="252"/>
      <c r="I266" s="251"/>
      <c r="J266" s="251"/>
      <c r="K266" s="251"/>
      <c r="L266" s="1006"/>
      <c r="M266" s="63"/>
      <c r="N266" s="63"/>
      <c r="O266" s="1007"/>
      <c r="P266" s="252"/>
      <c r="Q266" s="251"/>
      <c r="R266" s="1006"/>
      <c r="S266" s="63"/>
      <c r="T266" s="63"/>
      <c r="U266" s="1007"/>
      <c r="V266" s="252"/>
      <c r="W266" s="251"/>
      <c r="X266" s="251"/>
      <c r="Y266" s="251"/>
      <c r="Z266" s="1006"/>
      <c r="AA266" s="63"/>
      <c r="AB266" s="63"/>
      <c r="AC266" s="1007"/>
      <c r="AD266" s="252"/>
      <c r="AE266" s="251"/>
      <c r="AF266" s="251"/>
      <c r="AG266" s="251"/>
      <c r="AH266" s="1006"/>
      <c r="AI266" s="63"/>
      <c r="AJ266" s="63"/>
      <c r="AK266" s="1007"/>
      <c r="AL266" s="252"/>
      <c r="AM266" s="251"/>
      <c r="AN266" s="251"/>
      <c r="AO266" s="251"/>
      <c r="AP266" s="1006"/>
      <c r="AQ266" s="63"/>
      <c r="AR266" s="63"/>
      <c r="AS266" s="1007"/>
      <c r="AT266" s="252"/>
      <c r="AU266" s="251"/>
      <c r="AV266" s="251"/>
      <c r="AW266" s="251"/>
      <c r="AX266" s="1006"/>
      <c r="AY266" s="63"/>
      <c r="AZ266" s="63"/>
      <c r="BA266" s="1007"/>
      <c r="BB266" s="252"/>
      <c r="BC266" s="251"/>
      <c r="BD266" s="251"/>
      <c r="BE266" s="251"/>
      <c r="BF266" s="1006"/>
      <c r="BG266" s="63"/>
      <c r="BH266" s="63"/>
      <c r="BI266" s="1007"/>
      <c r="BJ266" s="252"/>
      <c r="BK266" s="251"/>
      <c r="BL266" s="251"/>
      <c r="BM266" s="251"/>
      <c r="BN266" s="1006"/>
      <c r="BO266" s="63"/>
      <c r="BP266" s="63"/>
      <c r="BQ266" s="1007"/>
      <c r="BR266" s="252"/>
      <c r="BS266" s="251"/>
      <c r="BT266" s="251"/>
      <c r="BU266" s="251"/>
      <c r="BV266" s="1006"/>
      <c r="BW266" s="63"/>
      <c r="BX266" s="63"/>
      <c r="BY266" s="1007"/>
      <c r="BZ266" s="252"/>
      <c r="CA266" s="251"/>
      <c r="CB266" s="251"/>
      <c r="CC266" s="251"/>
      <c r="CD266" s="1006"/>
      <c r="CE266" s="63"/>
      <c r="CF266" s="63"/>
      <c r="CG266" s="1007"/>
      <c r="CH266" s="252"/>
      <c r="CI266" s="251"/>
      <c r="CJ266" s="251"/>
      <c r="CK266" s="251"/>
      <c r="CL266" s="1006"/>
      <c r="CM266" s="63"/>
      <c r="CN266" s="63"/>
      <c r="CO266" s="1007"/>
      <c r="CP266" s="252"/>
      <c r="CQ266" s="251"/>
      <c r="CR266" s="251"/>
      <c r="CS266" s="251"/>
      <c r="CT266" s="1006"/>
      <c r="CU266" s="63"/>
      <c r="CV266" s="63"/>
      <c r="CW266" s="1007"/>
      <c r="CX266" s="252"/>
      <c r="CY266" s="251"/>
      <c r="CZ266" s="251"/>
      <c r="DA266" s="251"/>
      <c r="DB266" s="1006"/>
      <c r="DC266" s="63"/>
      <c r="DD266" s="63"/>
      <c r="DE266" s="1007"/>
      <c r="DF266" s="252"/>
      <c r="DG266" s="251"/>
      <c r="DH266" s="251"/>
      <c r="DI266" s="251"/>
      <c r="DJ266" s="1006"/>
      <c r="DK266" s="63"/>
      <c r="DL266" s="63"/>
      <c r="DM266" s="1007"/>
      <c r="DN266" s="252"/>
      <c r="DO266" s="251"/>
      <c r="DP266" s="251"/>
      <c r="DQ266" s="251"/>
      <c r="DR266" s="1006"/>
      <c r="DS266" s="63"/>
      <c r="DT266" s="63"/>
      <c r="DU266" s="1007"/>
      <c r="DV266" s="252"/>
      <c r="DW266" s="251"/>
      <c r="DX266" s="251"/>
      <c r="DY266" s="251"/>
      <c r="DZ266" s="1006"/>
      <c r="EA266" s="63"/>
      <c r="EB266" s="63"/>
      <c r="EC266" s="1007"/>
      <c r="ED266" s="252"/>
      <c r="EE266" s="251"/>
      <c r="EF266" s="251"/>
      <c r="EG266" s="251"/>
      <c r="EH266" s="1006"/>
      <c r="EI266" s="63"/>
      <c r="EJ266" s="63"/>
      <c r="EK266" s="1007"/>
      <c r="EL266" s="252"/>
      <c r="EM266" s="251"/>
      <c r="EN266" s="251"/>
      <c r="EO266" s="251"/>
      <c r="EP266" s="1006"/>
      <c r="EQ266" s="63"/>
      <c r="ER266" s="63"/>
      <c r="ES266" s="1007"/>
      <c r="ET266" s="252"/>
      <c r="EU266" s="251"/>
      <c r="EV266" s="251"/>
      <c r="EW266" s="251"/>
      <c r="EX266" s="1006"/>
      <c r="EY266" s="63"/>
      <c r="EZ266" s="63"/>
      <c r="FA266" s="1007"/>
      <c r="FB266" s="252"/>
      <c r="FC266" s="251"/>
      <c r="FD266" s="251"/>
      <c r="FE266" s="251"/>
      <c r="FF266" s="1006"/>
      <c r="FG266" s="63"/>
      <c r="FH266" s="63"/>
      <c r="FI266" s="1007"/>
      <c r="FJ266" s="252"/>
      <c r="FK266" s="251"/>
      <c r="FL266" s="251"/>
      <c r="FM266" s="251"/>
      <c r="FN266" s="1006"/>
      <c r="FO266" s="63"/>
      <c r="FP266" s="63"/>
      <c r="FQ266" s="1007"/>
      <c r="FR266" s="252"/>
      <c r="FS266" s="251"/>
      <c r="FT266" s="251"/>
      <c r="FU266" s="251"/>
      <c r="FV266" s="1006"/>
      <c r="FW266" s="63"/>
      <c r="FX266" s="63"/>
      <c r="FY266" s="1007"/>
      <c r="FZ266" s="252"/>
      <c r="GA266" s="251"/>
      <c r="GB266" s="251"/>
      <c r="GC266" s="251"/>
      <c r="GD266" s="1006"/>
      <c r="GE266" s="63"/>
      <c r="GF266" s="63"/>
      <c r="GG266" s="1007"/>
      <c r="GH266" s="252"/>
      <c r="GI266" s="251"/>
      <c r="GJ266" s="251"/>
      <c r="GK266" s="251"/>
      <c r="GL266" s="1006"/>
      <c r="GM266" s="63"/>
      <c r="GN266" s="63"/>
      <c r="GO266" s="1007"/>
      <c r="GP266" s="252"/>
      <c r="GQ266" s="251"/>
      <c r="GR266" s="251"/>
      <c r="GS266" s="251"/>
      <c r="GT266" s="1006"/>
      <c r="GU266" s="63"/>
      <c r="GV266" s="63"/>
      <c r="GW266" s="1007"/>
      <c r="GX266" s="252"/>
      <c r="GY266" s="251"/>
      <c r="GZ266" s="251"/>
      <c r="HA266" s="251"/>
      <c r="HB266" s="1006"/>
      <c r="HC266" s="63"/>
      <c r="HD266" s="63"/>
      <c r="HE266" s="1007"/>
      <c r="HF266" s="252"/>
      <c r="HG266" s="251"/>
      <c r="HH266" s="251"/>
      <c r="HI266" s="251"/>
      <c r="HJ266" s="1006"/>
      <c r="HK266" s="63"/>
      <c r="HL266" s="63"/>
      <c r="HM266" s="1007"/>
      <c r="HN266" s="252"/>
      <c r="HO266" s="251"/>
      <c r="HP266" s="251"/>
      <c r="HQ266" s="251"/>
      <c r="HR266" s="1006"/>
      <c r="HS266" s="63"/>
      <c r="HT266" s="63"/>
      <c r="HU266" s="1007"/>
      <c r="HV266" s="252"/>
      <c r="HW266" s="251"/>
      <c r="HX266" s="251"/>
      <c r="HY266" s="251"/>
      <c r="HZ266" s="1006"/>
      <c r="IA266" s="63"/>
      <c r="IB266" s="63"/>
      <c r="IC266" s="1007"/>
      <c r="ID266" s="252"/>
      <c r="IE266" s="251"/>
      <c r="IF266" s="251"/>
      <c r="IG266" s="251"/>
      <c r="IH266" s="1006"/>
      <c r="II266" s="63"/>
      <c r="IJ266" s="63"/>
      <c r="IK266" s="1007"/>
      <c r="IL266" s="252"/>
      <c r="IM266" s="251"/>
      <c r="IN266" s="251"/>
      <c r="IO266" s="251"/>
      <c r="IP266" s="1006"/>
      <c r="IQ266" s="63"/>
      <c r="IR266" s="63"/>
      <c r="IS266" s="1007"/>
      <c r="IT266" s="252"/>
    </row>
    <row r="267" spans="1:254" ht="13">
      <c r="A267" s="299">
        <v>44</v>
      </c>
      <c r="B267" s="1" t="s">
        <v>2214</v>
      </c>
      <c r="C267" s="251"/>
      <c r="D267" s="1006"/>
      <c r="E267" s="1008">
        <f>H251+E264</f>
        <v>51757940.573729523</v>
      </c>
      <c r="F267" s="410" t="s">
        <v>2215</v>
      </c>
      <c r="G267" s="1007"/>
      <c r="H267" s="252"/>
      <c r="I267" s="252"/>
      <c r="J267" s="1"/>
      <c r="K267" s="251"/>
      <c r="L267" s="1006"/>
      <c r="M267" s="1009"/>
      <c r="N267" s="410"/>
      <c r="O267" s="1007"/>
      <c r="P267" s="252"/>
      <c r="Q267" s="251"/>
      <c r="R267" s="1006"/>
      <c r="S267" s="1009"/>
      <c r="T267" s="410"/>
      <c r="U267" s="1007"/>
      <c r="V267" s="252"/>
      <c r="W267" s="252"/>
      <c r="X267" s="1"/>
      <c r="Y267" s="251"/>
      <c r="Z267" s="1006"/>
      <c r="AA267" s="1009"/>
      <c r="AB267" s="410"/>
      <c r="AC267" s="1007"/>
      <c r="AD267" s="252"/>
      <c r="AE267" s="252"/>
      <c r="AF267" s="1"/>
      <c r="AG267" s="251"/>
      <c r="AH267" s="1006"/>
      <c r="AI267" s="1009"/>
      <c r="AJ267" s="410"/>
      <c r="AK267" s="1007"/>
      <c r="AL267" s="252"/>
      <c r="AM267" s="299"/>
      <c r="AN267" s="1"/>
      <c r="AO267" s="251"/>
      <c r="AP267" s="1006"/>
      <c r="AQ267" s="1009"/>
      <c r="AR267" s="410"/>
      <c r="AS267" s="1007"/>
      <c r="AT267" s="252"/>
      <c r="AU267" s="299"/>
      <c r="AV267" s="1"/>
      <c r="AW267" s="251"/>
      <c r="AX267" s="1006"/>
      <c r="AY267" s="1009"/>
      <c r="AZ267" s="410"/>
      <c r="BA267" s="1007"/>
      <c r="BB267" s="252"/>
      <c r="BC267" s="299"/>
      <c r="BD267" s="1"/>
      <c r="BE267" s="251"/>
      <c r="BF267" s="1006"/>
      <c r="BG267" s="1009"/>
      <c r="BH267" s="410"/>
      <c r="BI267" s="1007"/>
      <c r="BJ267" s="252"/>
      <c r="BK267" s="299"/>
      <c r="BL267" s="1"/>
      <c r="BM267" s="251"/>
      <c r="BN267" s="1006"/>
      <c r="BO267" s="1009"/>
      <c r="BP267" s="410"/>
      <c r="BQ267" s="1007"/>
      <c r="BR267" s="252"/>
      <c r="BS267" s="299"/>
      <c r="BT267" s="1"/>
      <c r="BU267" s="251"/>
      <c r="BV267" s="1006"/>
      <c r="BW267" s="1009"/>
      <c r="BX267" s="410"/>
      <c r="BY267" s="1007"/>
      <c r="BZ267" s="252"/>
      <c r="CA267" s="299"/>
      <c r="CB267" s="1"/>
      <c r="CC267" s="251"/>
      <c r="CD267" s="1006"/>
      <c r="CE267" s="1009"/>
      <c r="CF267" s="410"/>
      <c r="CG267" s="1007"/>
      <c r="CH267" s="252"/>
      <c r="CI267" s="299"/>
      <c r="CJ267" s="1"/>
      <c r="CK267" s="251"/>
      <c r="CL267" s="1006"/>
      <c r="CM267" s="1009"/>
      <c r="CN267" s="410"/>
      <c r="CO267" s="1007"/>
      <c r="CP267" s="252"/>
      <c r="CQ267" s="299"/>
      <c r="CR267" s="1"/>
      <c r="CS267" s="251"/>
      <c r="CT267" s="1006"/>
      <c r="CU267" s="1009"/>
      <c r="CV267" s="410"/>
      <c r="CW267" s="1007"/>
      <c r="CX267" s="252"/>
      <c r="CY267" s="299"/>
      <c r="CZ267" s="1"/>
      <c r="DA267" s="251"/>
      <c r="DB267" s="1006"/>
      <c r="DC267" s="1009"/>
      <c r="DD267" s="410"/>
      <c r="DE267" s="1007"/>
      <c r="DF267" s="252"/>
      <c r="DG267" s="299"/>
      <c r="DH267" s="1"/>
      <c r="DI267" s="251"/>
      <c r="DJ267" s="1006"/>
      <c r="DK267" s="1009"/>
      <c r="DL267" s="410"/>
      <c r="DM267" s="1007"/>
      <c r="DN267" s="252"/>
      <c r="DO267" s="299"/>
      <c r="DP267" s="1"/>
      <c r="DQ267" s="251"/>
      <c r="DR267" s="1006"/>
      <c r="DS267" s="1009"/>
      <c r="DT267" s="410"/>
      <c r="DU267" s="1007"/>
      <c r="DV267" s="252"/>
      <c r="DW267" s="299"/>
      <c r="DX267" s="1"/>
      <c r="DY267" s="251"/>
      <c r="DZ267" s="1006"/>
      <c r="EA267" s="1009"/>
      <c r="EB267" s="410"/>
      <c r="EC267" s="1007"/>
      <c r="ED267" s="252"/>
      <c r="EE267" s="299"/>
      <c r="EF267" s="1"/>
      <c r="EG267" s="251"/>
      <c r="EH267" s="1006"/>
      <c r="EI267" s="1009"/>
      <c r="EJ267" s="410"/>
      <c r="EK267" s="1007"/>
      <c r="EL267" s="252"/>
      <c r="EM267" s="299"/>
      <c r="EN267" s="1"/>
      <c r="EO267" s="251"/>
      <c r="EP267" s="1006"/>
      <c r="EQ267" s="1009"/>
      <c r="ER267" s="410"/>
      <c r="ES267" s="1007"/>
      <c r="ET267" s="252"/>
      <c r="EU267" s="299"/>
      <c r="EV267" s="1"/>
      <c r="EW267" s="251"/>
      <c r="EX267" s="1006"/>
      <c r="EY267" s="1009"/>
      <c r="EZ267" s="410"/>
      <c r="FA267" s="1007"/>
      <c r="FB267" s="252"/>
      <c r="FC267" s="299"/>
      <c r="FD267" s="1"/>
      <c r="FE267" s="251"/>
      <c r="FF267" s="1006"/>
      <c r="FG267" s="1009"/>
      <c r="FH267" s="410"/>
      <c r="FI267" s="1007"/>
      <c r="FJ267" s="252"/>
      <c r="FK267" s="299"/>
      <c r="FL267" s="1"/>
      <c r="FM267" s="251"/>
      <c r="FN267" s="1006"/>
      <c r="FO267" s="1009"/>
      <c r="FP267" s="410"/>
      <c r="FQ267" s="1007"/>
      <c r="FR267" s="252"/>
      <c r="FS267" s="299"/>
      <c r="FT267" s="1"/>
      <c r="FU267" s="251"/>
      <c r="FV267" s="1006"/>
      <c r="FW267" s="1009"/>
      <c r="FX267" s="410"/>
      <c r="FY267" s="1007"/>
      <c r="FZ267" s="252"/>
      <c r="GA267" s="299"/>
      <c r="GB267" s="1"/>
      <c r="GC267" s="251"/>
      <c r="GD267" s="1006"/>
      <c r="GE267" s="1009"/>
      <c r="GF267" s="410"/>
      <c r="GG267" s="1007"/>
      <c r="GH267" s="252"/>
      <c r="GI267" s="299"/>
      <c r="GJ267" s="1"/>
      <c r="GK267" s="251"/>
      <c r="GL267" s="1006"/>
      <c r="GM267" s="1009"/>
      <c r="GN267" s="410"/>
      <c r="GO267" s="1007"/>
      <c r="GP267" s="252"/>
      <c r="GQ267" s="299"/>
      <c r="GR267" s="1"/>
      <c r="GS267" s="251"/>
      <c r="GT267" s="1006"/>
      <c r="GU267" s="1009"/>
      <c r="GV267" s="410"/>
      <c r="GW267" s="1007"/>
      <c r="GX267" s="252"/>
      <c r="GY267" s="299"/>
      <c r="GZ267" s="1"/>
      <c r="HA267" s="251"/>
      <c r="HB267" s="1006"/>
      <c r="HC267" s="1009"/>
      <c r="HD267" s="410"/>
      <c r="HE267" s="1007"/>
      <c r="HF267" s="252"/>
      <c r="HG267" s="299"/>
      <c r="HH267" s="1"/>
      <c r="HI267" s="251"/>
      <c r="HJ267" s="1006"/>
      <c r="HK267" s="1009"/>
      <c r="HL267" s="410"/>
      <c r="HM267" s="1007"/>
      <c r="HN267" s="252"/>
      <c r="HO267" s="299"/>
      <c r="HP267" s="1"/>
      <c r="HQ267" s="251"/>
      <c r="HR267" s="1006"/>
      <c r="HS267" s="1009"/>
      <c r="HT267" s="410"/>
      <c r="HU267" s="1007"/>
      <c r="HV267" s="252"/>
      <c r="HW267" s="299"/>
      <c r="HX267" s="1"/>
      <c r="HY267" s="251"/>
      <c r="HZ267" s="1006"/>
      <c r="IA267" s="1009"/>
      <c r="IB267" s="410"/>
      <c r="IC267" s="1007"/>
      <c r="ID267" s="252"/>
      <c r="IE267" s="299"/>
      <c r="IF267" s="1"/>
      <c r="IG267" s="251"/>
      <c r="IH267" s="1006"/>
      <c r="II267" s="1009"/>
      <c r="IJ267" s="410"/>
      <c r="IK267" s="1007"/>
      <c r="IL267" s="252"/>
      <c r="IM267" s="299"/>
      <c r="IN267" s="1"/>
      <c r="IO267" s="251"/>
      <c r="IP267" s="1006"/>
      <c r="IQ267" s="1009"/>
      <c r="IR267" s="410"/>
      <c r="IS267" s="1007"/>
      <c r="IT267" s="252"/>
    </row>
    <row r="268" spans="1:254">
      <c r="A268" s="251"/>
      <c r="B268" s="251"/>
      <c r="C268" s="251"/>
      <c r="D268" s="988"/>
      <c r="E268" s="989"/>
      <c r="F268" s="1000"/>
      <c r="G268" s="987"/>
      <c r="H268" s="252"/>
      <c r="I268" s="252"/>
      <c r="J268" s="987"/>
      <c r="K268" s="988"/>
      <c r="L268" s="989"/>
      <c r="M268" s="252"/>
      <c r="N268" s="987"/>
      <c r="O268" s="252"/>
    </row>
    <row r="270" spans="1:254">
      <c r="A270" s="251" t="s">
        <v>228</v>
      </c>
      <c r="B270" s="251"/>
      <c r="C270" s="251"/>
      <c r="D270" s="251"/>
      <c r="E270" s="987"/>
      <c r="F270" s="987"/>
      <c r="G270" s="987"/>
      <c r="H270" s="252"/>
      <c r="I270" s="252"/>
      <c r="J270" s="987"/>
      <c r="K270" s="988"/>
      <c r="L270" s="989"/>
      <c r="M270" s="252"/>
      <c r="N270" s="987"/>
      <c r="O270" s="252"/>
    </row>
    <row r="271" spans="1:254" ht="12.75" customHeight="1">
      <c r="A271" s="302" t="s">
        <v>2216</v>
      </c>
      <c r="B271" s="1139" t="s">
        <v>2217</v>
      </c>
      <c r="C271" s="1130"/>
      <c r="D271" s="1130"/>
      <c r="E271" s="987"/>
      <c r="F271" s="987"/>
      <c r="G271" s="987"/>
      <c r="H271" s="252"/>
      <c r="I271" s="252"/>
      <c r="J271" s="987"/>
      <c r="K271" s="988"/>
      <c r="L271" s="989"/>
      <c r="M271" s="252"/>
      <c r="N271" s="987"/>
      <c r="O271" s="252"/>
    </row>
    <row r="272" spans="1:254" ht="77.25" customHeight="1">
      <c r="A272" s="302" t="s">
        <v>2218</v>
      </c>
      <c r="B272" s="1128" t="s">
        <v>2219</v>
      </c>
      <c r="C272" s="1129"/>
      <c r="D272" s="1129"/>
      <c r="E272" s="1131"/>
      <c r="F272" s="1131"/>
      <c r="G272" s="987"/>
      <c r="H272" s="252"/>
      <c r="I272" s="252"/>
      <c r="J272" s="987"/>
      <c r="K272" s="988"/>
      <c r="L272" s="989"/>
      <c r="M272" s="252"/>
      <c r="N272" s="987"/>
      <c r="O272" s="252"/>
    </row>
    <row r="273" spans="1:15" ht="12.75" customHeight="1">
      <c r="A273" s="302" t="s">
        <v>2220</v>
      </c>
      <c r="B273" s="1128" t="s">
        <v>2221</v>
      </c>
      <c r="C273" s="1129"/>
      <c r="D273" s="1129"/>
      <c r="E273" s="1131"/>
      <c r="F273" s="1131"/>
      <c r="G273" s="987"/>
      <c r="H273" s="252"/>
      <c r="I273" s="252"/>
      <c r="J273" s="987"/>
      <c r="K273" s="988"/>
      <c r="L273" s="989"/>
      <c r="M273" s="252"/>
      <c r="N273" s="987"/>
      <c r="O273" s="252"/>
    </row>
    <row r="274" spans="1:15" ht="12.75" customHeight="1">
      <c r="A274" s="302" t="s">
        <v>2222</v>
      </c>
      <c r="B274" s="1128" t="s">
        <v>2223</v>
      </c>
      <c r="C274" s="1129"/>
      <c r="D274" s="1129"/>
      <c r="E274" s="1131"/>
      <c r="F274" s="1131"/>
      <c r="G274" s="987"/>
      <c r="H274" s="252"/>
      <c r="I274" s="252"/>
      <c r="J274" s="987"/>
      <c r="K274" s="988"/>
      <c r="L274" s="989"/>
      <c r="M274" s="252"/>
      <c r="N274" s="987"/>
      <c r="O274" s="252"/>
    </row>
    <row r="275" spans="1:15" ht="12.75" customHeight="1">
      <c r="A275" s="302" t="s">
        <v>2224</v>
      </c>
      <c r="B275" s="1128" t="s">
        <v>2225</v>
      </c>
      <c r="C275" s="1129"/>
      <c r="D275" s="1129"/>
      <c r="E275" s="1131"/>
      <c r="F275" s="1131"/>
      <c r="G275" s="987"/>
      <c r="H275" s="252"/>
      <c r="I275" s="252"/>
      <c r="J275" s="987"/>
      <c r="K275" s="988"/>
      <c r="L275" s="989"/>
      <c r="M275" s="252"/>
      <c r="N275" s="987"/>
      <c r="O275" s="252"/>
    </row>
    <row r="276" spans="1:15" ht="12.75" customHeight="1">
      <c r="A276" s="302" t="s">
        <v>2226</v>
      </c>
      <c r="B276" s="1128" t="s">
        <v>2227</v>
      </c>
      <c r="C276" s="1129"/>
      <c r="D276" s="1129"/>
      <c r="E276" s="1131"/>
      <c r="F276" s="1131"/>
      <c r="G276" s="987"/>
      <c r="H276" s="252"/>
      <c r="I276" s="252"/>
      <c r="J276" s="987"/>
      <c r="K276" s="988"/>
      <c r="L276" s="989"/>
      <c r="M276" s="252"/>
      <c r="N276" s="987"/>
      <c r="O276" s="252"/>
    </row>
    <row r="277" spans="1:15" ht="12.75" customHeight="1">
      <c r="A277" s="302" t="s">
        <v>2228</v>
      </c>
      <c r="B277" s="1128" t="s">
        <v>2229</v>
      </c>
      <c r="C277" s="1129"/>
      <c r="D277" s="1129"/>
      <c r="E277" s="1130"/>
      <c r="F277" s="1130"/>
      <c r="G277" s="987"/>
      <c r="H277" s="252"/>
      <c r="I277" s="252"/>
      <c r="J277" s="987"/>
      <c r="K277" s="988"/>
      <c r="L277" s="989"/>
      <c r="M277" s="252"/>
      <c r="N277" s="987"/>
      <c r="O277" s="252"/>
    </row>
    <row r="278" spans="1:15" ht="12.75" customHeight="1">
      <c r="A278" s="302"/>
      <c r="B278" s="1130"/>
      <c r="C278" s="1130"/>
      <c r="D278" s="1130"/>
      <c r="E278" s="1130"/>
      <c r="F278" s="1130"/>
      <c r="G278" s="987"/>
      <c r="H278" s="252"/>
      <c r="I278" s="252"/>
      <c r="J278" s="987"/>
      <c r="K278" s="988"/>
      <c r="L278" s="989"/>
      <c r="M278" s="252"/>
      <c r="N278" s="987"/>
      <c r="O278" s="252"/>
    </row>
    <row r="279" spans="1:15" ht="12.75" customHeight="1">
      <c r="A279" s="302"/>
      <c r="B279" s="1128" t="s">
        <v>2230</v>
      </c>
      <c r="C279" s="1129"/>
      <c r="D279" s="558">
        <v>6.6600000000000006E-2</v>
      </c>
      <c r="E279" s="888" t="s">
        <v>2231</v>
      </c>
      <c r="F279" s="258" t="s">
        <v>3038</v>
      </c>
      <c r="G279" s="1010"/>
      <c r="H279" s="252"/>
      <c r="I279" s="252"/>
      <c r="J279" s="987"/>
      <c r="K279" s="988"/>
      <c r="L279" s="989"/>
      <c r="M279" s="252"/>
      <c r="N279" s="987"/>
      <c r="O279" s="252"/>
    </row>
    <row r="280" spans="1:15" ht="26.25" customHeight="1">
      <c r="A280" s="302" t="s">
        <v>2232</v>
      </c>
      <c r="B280" s="1128" t="s">
        <v>2233</v>
      </c>
      <c r="C280" s="1129"/>
      <c r="D280" s="1129"/>
      <c r="E280" s="1131"/>
      <c r="F280" s="1131"/>
      <c r="G280" s="987"/>
      <c r="H280" s="252"/>
      <c r="I280" s="252"/>
      <c r="J280" s="987"/>
      <c r="K280" s="988"/>
      <c r="L280" s="989"/>
      <c r="M280" s="252"/>
      <c r="N280" s="987"/>
      <c r="O280" s="252"/>
    </row>
    <row r="281" spans="1:15" ht="27.75" customHeight="1">
      <c r="A281" s="302" t="s">
        <v>2234</v>
      </c>
      <c r="B281" s="1128" t="s">
        <v>2235</v>
      </c>
      <c r="C281" s="1129"/>
      <c r="D281" s="1129"/>
      <c r="E281" s="1131"/>
      <c r="F281" s="1131"/>
      <c r="G281" s="987"/>
      <c r="H281" s="252"/>
      <c r="I281" s="252"/>
      <c r="J281" s="987"/>
      <c r="K281" s="988"/>
      <c r="L281" s="989"/>
      <c r="M281" s="252"/>
      <c r="N281" s="987"/>
      <c r="O281" s="252"/>
    </row>
    <row r="282" spans="1:15" ht="25.5" customHeight="1">
      <c r="A282" s="302" t="s">
        <v>2236</v>
      </c>
      <c r="B282" s="1128" t="s">
        <v>2237</v>
      </c>
      <c r="C282" s="1129"/>
      <c r="D282" s="1129"/>
      <c r="E282" s="1131"/>
      <c r="F282" s="1131"/>
      <c r="G282" s="987"/>
      <c r="H282" s="252"/>
      <c r="I282" s="252"/>
      <c r="J282" s="987"/>
      <c r="K282" s="988"/>
      <c r="L282" s="989"/>
      <c r="M282" s="252"/>
      <c r="N282" s="987"/>
      <c r="O282" s="252"/>
    </row>
    <row r="283" spans="1:15" ht="40.4" customHeight="1">
      <c r="A283" s="302" t="s">
        <v>2238</v>
      </c>
      <c r="B283" s="1128" t="s">
        <v>2239</v>
      </c>
      <c r="C283" s="1129"/>
      <c r="D283" s="1129"/>
      <c r="E283" s="1131"/>
      <c r="F283" s="1131"/>
      <c r="G283" s="988"/>
      <c r="H283" s="252"/>
      <c r="I283" s="252"/>
    </row>
    <row r="284" spans="1:15" ht="38.25" customHeight="1">
      <c r="A284" s="302" t="s">
        <v>2240</v>
      </c>
      <c r="B284" s="1128" t="s">
        <v>2241</v>
      </c>
      <c r="C284" s="1129"/>
      <c r="D284" s="1129"/>
      <c r="E284" s="1130"/>
      <c r="F284" s="1130"/>
      <c r="G284" s="1130"/>
      <c r="H284" s="252"/>
      <c r="I284" s="252"/>
    </row>
    <row r="285" spans="1:15" ht="12.75" customHeight="1">
      <c r="A285" s="302"/>
      <c r="B285" s="1128" t="s">
        <v>2230</v>
      </c>
      <c r="C285" s="1129"/>
      <c r="D285" s="558">
        <v>6.6600000000000006E-2</v>
      </c>
      <c r="E285" s="888" t="s">
        <v>2231</v>
      </c>
      <c r="F285" s="258" t="s">
        <v>3038</v>
      </c>
      <c r="G285" s="1010"/>
      <c r="H285" s="252"/>
      <c r="I285" s="252"/>
    </row>
    <row r="286" spans="1:15" ht="12.75" customHeight="1">
      <c r="A286" s="302" t="s">
        <v>2242</v>
      </c>
      <c r="B286" s="1128" t="s">
        <v>2243</v>
      </c>
      <c r="C286" s="1129"/>
      <c r="D286" s="1129"/>
      <c r="E286" s="1130"/>
      <c r="F286" s="1130"/>
      <c r="G286" s="1130"/>
      <c r="H286" s="1130"/>
      <c r="I286" s="252"/>
    </row>
    <row r="287" spans="1:15" ht="12.75" customHeight="1">
      <c r="A287" s="302" t="s">
        <v>2244</v>
      </c>
      <c r="B287" s="1128" t="s">
        <v>2245</v>
      </c>
      <c r="C287" s="1129"/>
      <c r="D287" s="1129"/>
      <c r="E287" s="1130"/>
      <c r="F287" s="1130"/>
      <c r="G287" s="1130"/>
      <c r="H287" s="252"/>
      <c r="I287" s="252"/>
    </row>
    <row r="288" spans="1:15" ht="27" customHeight="1">
      <c r="A288" s="302" t="s">
        <v>2246</v>
      </c>
      <c r="B288" s="1128" t="s">
        <v>2247</v>
      </c>
      <c r="C288" s="1129"/>
      <c r="D288" s="1129"/>
      <c r="E288" s="1131"/>
      <c r="F288" s="1131"/>
      <c r="G288" s="988"/>
      <c r="H288" s="252"/>
      <c r="I288" s="252"/>
    </row>
    <row r="289" spans="1:9">
      <c r="A289" s="302" t="s">
        <v>2248</v>
      </c>
      <c r="B289" s="251" t="s">
        <v>2249</v>
      </c>
      <c r="C289" s="251"/>
      <c r="D289" s="251"/>
      <c r="E289" s="251"/>
      <c r="F289" s="251"/>
      <c r="G289" s="988"/>
      <c r="H289" s="252"/>
      <c r="I289" s="252"/>
    </row>
    <row r="290" spans="1:9">
      <c r="A290" s="302" t="s">
        <v>2250</v>
      </c>
      <c r="B290" s="251" t="s">
        <v>2251</v>
      </c>
      <c r="C290" s="251"/>
      <c r="D290" s="251"/>
      <c r="E290" s="988"/>
      <c r="F290" s="988"/>
      <c r="G290" s="988"/>
      <c r="H290" s="252"/>
      <c r="I290" s="252"/>
    </row>
    <row r="291" spans="1:9">
      <c r="A291" s="251"/>
      <c r="B291" s="251" t="s">
        <v>2252</v>
      </c>
      <c r="C291" s="251"/>
      <c r="D291" s="251"/>
      <c r="E291" s="988"/>
      <c r="F291" s="988"/>
      <c r="G291" s="988"/>
      <c r="H291" s="252"/>
      <c r="I291" s="252"/>
    </row>
    <row r="292" spans="1:9">
      <c r="A292" s="251"/>
      <c r="B292" s="251" t="s">
        <v>2253</v>
      </c>
      <c r="C292" s="251"/>
      <c r="D292" s="251"/>
      <c r="E292" s="988"/>
      <c r="F292" s="988"/>
      <c r="G292" s="988"/>
      <c r="H292" s="252"/>
      <c r="I292" s="252"/>
    </row>
    <row r="293" spans="1:9">
      <c r="A293" s="251"/>
      <c r="B293" s="251" t="s">
        <v>2254</v>
      </c>
      <c r="C293" s="251"/>
      <c r="D293" s="251"/>
      <c r="E293" s="988"/>
      <c r="F293" s="988"/>
      <c r="G293" s="988"/>
      <c r="H293" s="252"/>
      <c r="I293" s="252"/>
    </row>
    <row r="294" spans="1:9">
      <c r="A294" s="1075" t="s">
        <v>2255</v>
      </c>
      <c r="B294" s="251" t="s">
        <v>2256</v>
      </c>
      <c r="C294" s="251"/>
      <c r="D294" s="251"/>
      <c r="E294" s="987"/>
      <c r="F294" s="908"/>
      <c r="G294" s="933"/>
      <c r="H294" s="934"/>
      <c r="I294" s="934"/>
    </row>
    <row r="295" spans="1:9">
      <c r="A295" s="251"/>
      <c r="B295" s="251" t="s">
        <v>2257</v>
      </c>
      <c r="C295" s="251"/>
      <c r="D295" s="251"/>
      <c r="E295" s="987"/>
      <c r="F295" s="987"/>
      <c r="G295" s="987"/>
      <c r="H295" s="252"/>
      <c r="I295" s="252"/>
    </row>
    <row r="296" spans="1:9">
      <c r="A296" s="251"/>
      <c r="B296" s="932"/>
      <c r="C296" s="251"/>
      <c r="D296" s="251"/>
      <c r="E296" s="908"/>
      <c r="F296" s="987"/>
      <c r="G296" s="987"/>
      <c r="H296" s="252"/>
      <c r="I296" s="252"/>
    </row>
  </sheetData>
  <autoFilter ref="A1:O293" xr:uid="{00000000-0009-0000-0000-00001A000000}"/>
  <mergeCells count="50">
    <mergeCell ref="B288:F288"/>
    <mergeCell ref="B281:F281"/>
    <mergeCell ref="B272:F272"/>
    <mergeCell ref="B273:F273"/>
    <mergeCell ref="B274:F274"/>
    <mergeCell ref="B276:F276"/>
    <mergeCell ref="B275:F275"/>
    <mergeCell ref="B280:F280"/>
    <mergeCell ref="B286:H286"/>
    <mergeCell ref="B287:G287"/>
    <mergeCell ref="B282:F282"/>
    <mergeCell ref="B285:C285"/>
    <mergeCell ref="B284:G284"/>
    <mergeCell ref="J2:M2"/>
    <mergeCell ref="G2:I2"/>
    <mergeCell ref="B229:D229"/>
    <mergeCell ref="B185:D185"/>
    <mergeCell ref="B83:D83"/>
    <mergeCell ref="B47:D47"/>
    <mergeCell ref="B38:D38"/>
    <mergeCell ref="B228:D228"/>
    <mergeCell ref="B195:D195"/>
    <mergeCell ref="B8:D8"/>
    <mergeCell ref="B9:D9"/>
    <mergeCell ref="B46:D46"/>
    <mergeCell ref="B37:D37"/>
    <mergeCell ref="B82:D82"/>
    <mergeCell ref="B156:D156"/>
    <mergeCell ref="B155:D155"/>
    <mergeCell ref="B240:D240"/>
    <mergeCell ref="B234:C234"/>
    <mergeCell ref="B247:D247"/>
    <mergeCell ref="B248:D248"/>
    <mergeCell ref="B244:C244"/>
    <mergeCell ref="B190:D190"/>
    <mergeCell ref="B184:D184"/>
    <mergeCell ref="B279:C279"/>
    <mergeCell ref="B277:F278"/>
    <mergeCell ref="B283:F283"/>
    <mergeCell ref="B245:C245"/>
    <mergeCell ref="B246:D246"/>
    <mergeCell ref="B191:D191"/>
    <mergeCell ref="B227:D227"/>
    <mergeCell ref="B196:D196"/>
    <mergeCell ref="B271:D271"/>
    <mergeCell ref="B232:C232"/>
    <mergeCell ref="B233:C233"/>
    <mergeCell ref="B235:C235"/>
    <mergeCell ref="B239:D239"/>
    <mergeCell ref="B241:D241"/>
  </mergeCells>
  <conditionalFormatting sqref="A275:A276 C192:C194 D88 C290:C293 A280:A281 A283:A286 C268:C270 C251:C265 A288:A289 C154 C183 C2:C7 C39:C45 C48:C72 C84:C134 C157:C174 C196:C203 C10:C29 C36 C186:C189 C296:C65599">
    <cfRule type="cellIs" dxfId="17" priority="22" stopIfTrue="1" operator="between">
      <formula>4990000</formula>
      <formula>4999999</formula>
    </cfRule>
  </conditionalFormatting>
  <conditionalFormatting sqref="A287">
    <cfRule type="cellIs" dxfId="16" priority="21" stopIfTrue="1" operator="between">
      <formula>4990000</formula>
      <formula>4999999</formula>
    </cfRule>
  </conditionalFormatting>
  <conditionalFormatting sqref="A277:A279">
    <cfRule type="cellIs" dxfId="15" priority="20" stopIfTrue="1" operator="between">
      <formula>4990000</formula>
      <formula>4999999</formula>
    </cfRule>
  </conditionalFormatting>
  <conditionalFormatting sqref="K266:K267 Q266:Q267 Y266:Y267 AG266:AG267 AO266:AO267 AW266:AW267 BE266:BE267 BM266:BM267 BU266:BU267 CC266:CC267 CK266:CK267 CS266:CS267 DA266:DA267 DI266:DI267 DQ266:DQ267 DY266:DY267 EG266:EG267 EO266:EO267 EW266:EW267 FE266:FE267 FM266:FM267 FU266:FU267 GC266:GC267 GK266:GK267 GS266:GS267 HA266:HA267 HI266:HI267 HQ266:HQ267 HY266:HY267 IG266:IG267 IO266:IO267">
    <cfRule type="cellIs" dxfId="14" priority="19" stopIfTrue="1" operator="between">
      <formula>4990000</formula>
      <formula>4999999</formula>
    </cfRule>
  </conditionalFormatting>
  <conditionalFormatting sqref="C266:C267">
    <cfRule type="cellIs" dxfId="13" priority="18" stopIfTrue="1" operator="between">
      <formula>4990000</formula>
      <formula>4999999</formula>
    </cfRule>
  </conditionalFormatting>
  <conditionalFormatting sqref="A290">
    <cfRule type="cellIs" dxfId="12" priority="17" stopIfTrue="1" operator="between">
      <formula>4990000</formula>
      <formula>4999999</formula>
    </cfRule>
  </conditionalFormatting>
  <conditionalFormatting sqref="C73:C75">
    <cfRule type="cellIs" dxfId="11" priority="16" stopIfTrue="1" operator="between">
      <formula>4990000</formula>
      <formula>4999999</formula>
    </cfRule>
  </conditionalFormatting>
  <conditionalFormatting sqref="C135:C141">
    <cfRule type="cellIs" dxfId="10" priority="15" stopIfTrue="1" operator="between">
      <formula>4990000</formula>
      <formula>4999999</formula>
    </cfRule>
  </conditionalFormatting>
  <conditionalFormatting sqref="C175:C176">
    <cfRule type="cellIs" dxfId="9" priority="14" stopIfTrue="1" operator="between">
      <formula>4990000</formula>
      <formula>4999999</formula>
    </cfRule>
  </conditionalFormatting>
  <conditionalFormatting sqref="C177">
    <cfRule type="cellIs" dxfId="8" priority="13" stopIfTrue="1" operator="between">
      <formula>4990000</formula>
      <formula>4999999</formula>
    </cfRule>
  </conditionalFormatting>
  <conditionalFormatting sqref="C30:C35">
    <cfRule type="cellIs" dxfId="7" priority="11" stopIfTrue="1" operator="between">
      <formula>4990000</formula>
      <formula>4999999</formula>
    </cfRule>
  </conditionalFormatting>
  <conditionalFormatting sqref="C144:C145">
    <cfRule type="cellIs" dxfId="6" priority="10" stopIfTrue="1" operator="between">
      <formula>4990000</formula>
      <formula>4999999</formula>
    </cfRule>
  </conditionalFormatting>
  <conditionalFormatting sqref="C180:C182">
    <cfRule type="cellIs" dxfId="5" priority="9" stopIfTrue="1" operator="between">
      <formula>4990000</formula>
      <formula>4999999</formula>
    </cfRule>
  </conditionalFormatting>
  <conditionalFormatting sqref="C78:C81">
    <cfRule type="cellIs" dxfId="4" priority="8" stopIfTrue="1" operator="between">
      <formula>4990000</formula>
      <formula>4999999</formula>
    </cfRule>
  </conditionalFormatting>
  <conditionalFormatting sqref="C146:C153">
    <cfRule type="cellIs" dxfId="3" priority="7" stopIfTrue="1" operator="between">
      <formula>4990000</formula>
      <formula>4999999</formula>
    </cfRule>
  </conditionalFormatting>
  <conditionalFormatting sqref="A294">
    <cfRule type="cellIs" dxfId="2" priority="4" stopIfTrue="1" operator="between">
      <formula>4990000</formula>
      <formula>4999999</formula>
    </cfRule>
  </conditionalFormatting>
  <conditionalFormatting sqref="C296">
    <cfRule type="cellIs" dxfId="1" priority="5" stopIfTrue="1" operator="between">
      <formula>4990000</formula>
      <formula>4999999</formula>
    </cfRule>
  </conditionalFormatting>
  <conditionalFormatting sqref="C249">
    <cfRule type="cellIs" dxfId="0" priority="2" stopIfTrue="1" operator="between">
      <formula>4990000</formula>
      <formula>4999999</formula>
    </cfRule>
  </conditionalFormatting>
  <pageMargins left="0.7" right="0.7" top="0.75" bottom="0.75" header="0.3" footer="0.3"/>
  <pageSetup scale="45" orientation="landscape" cellComments="asDisplayed" r:id="rId1"/>
  <headerFooter>
    <oddHeader>&amp;CSchedule 21
Revenue Credits
&amp;RTO2023 Draft Annual Update 
Attachment 1</oddHeader>
    <oddFooter>&amp;R&amp;A</oddFooter>
  </headerFooter>
  <rowBreaks count="3" manualBreakCount="3">
    <brk id="83" max="16383" man="1"/>
    <brk id="156" max="16383" man="1"/>
    <brk id="229" max="16383" man="1"/>
  </rowBreaks>
  <ignoredErrors>
    <ignoredError sqref="G138" formula="1"/>
    <ignoredError sqref="C164"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topLeftCell="D1" zoomScaleNormal="100" zoomScalePageLayoutView="80" workbookViewId="0">
      <selection activeCell="E17" sqref="E17"/>
    </sheetView>
  </sheetViews>
  <sheetFormatPr defaultColWidth="9.453125" defaultRowHeight="12.5"/>
  <cols>
    <col min="1" max="1" width="4.54296875" style="252" customWidth="1"/>
    <col min="2" max="2" width="14" style="251" customWidth="1"/>
    <col min="3" max="3" width="26.54296875" style="251" customWidth="1"/>
    <col min="4" max="4" width="28.54296875" style="251" customWidth="1"/>
    <col min="5" max="5" width="16.453125" style="251" bestFit="1" customWidth="1"/>
    <col min="6" max="6" width="20.54296875" style="630" customWidth="1"/>
    <col min="7" max="7" width="9.54296875" style="251" customWidth="1"/>
    <col min="8" max="16384" width="9.453125" style="251"/>
  </cols>
  <sheetData>
    <row r="1" spans="1:8" ht="13">
      <c r="A1" s="47" t="s">
        <v>2305</v>
      </c>
      <c r="C1" s="47"/>
      <c r="D1" s="47"/>
      <c r="E1" s="47"/>
    </row>
    <row r="2" spans="1:8" ht="13">
      <c r="A2" s="47"/>
      <c r="C2" s="39" t="s">
        <v>195</v>
      </c>
      <c r="D2" s="258" t="s">
        <v>2306</v>
      </c>
      <c r="E2" s="118" t="s">
        <v>641</v>
      </c>
      <c r="F2" s="897">
        <v>2021</v>
      </c>
    </row>
    <row r="3" spans="1:8" ht="13">
      <c r="B3" s="47" t="s">
        <v>2307</v>
      </c>
      <c r="C3" s="47"/>
      <c r="D3" s="709"/>
      <c r="E3" s="47"/>
    </row>
    <row r="4" spans="1:8" ht="13">
      <c r="A4" s="30" t="s">
        <v>273</v>
      </c>
      <c r="C4" s="714"/>
      <c r="D4" s="709"/>
      <c r="E4" s="3" t="s">
        <v>789</v>
      </c>
      <c r="F4" s="639" t="s">
        <v>100</v>
      </c>
    </row>
    <row r="5" spans="1:8" ht="13">
      <c r="A5" s="120">
        <v>1</v>
      </c>
      <c r="B5" s="295" t="s">
        <v>2308</v>
      </c>
      <c r="C5" s="295"/>
      <c r="E5" s="417">
        <v>19178430</v>
      </c>
      <c r="F5" s="584" t="s">
        <v>576</v>
      </c>
    </row>
    <row r="6" spans="1:8" ht="13">
      <c r="A6" s="120">
        <v>2</v>
      </c>
      <c r="B6" s="251" t="s">
        <v>2309</v>
      </c>
      <c r="E6" s="36">
        <f>E7-E5</f>
        <v>171906779</v>
      </c>
      <c r="F6" s="584" t="s">
        <v>2310</v>
      </c>
      <c r="H6" s="584"/>
    </row>
    <row r="7" spans="1:8" ht="13">
      <c r="A7" s="120">
        <v>3</v>
      </c>
      <c r="B7" s="251" t="s">
        <v>2311</v>
      </c>
      <c r="C7" s="295"/>
      <c r="D7" s="295"/>
      <c r="E7" s="281">
        <v>191085209</v>
      </c>
      <c r="F7" s="250" t="s">
        <v>2312</v>
      </c>
      <c r="H7" s="584"/>
    </row>
    <row r="8" spans="1:8" ht="14">
      <c r="A8" s="640"/>
      <c r="B8" s="631"/>
      <c r="C8" s="632"/>
      <c r="D8" s="632"/>
      <c r="E8" s="629"/>
      <c r="F8" s="633"/>
      <c r="G8" s="634"/>
    </row>
    <row r="9" spans="1:8" ht="14">
      <c r="A9" s="640"/>
      <c r="B9" s="47" t="s">
        <v>2313</v>
      </c>
      <c r="C9" s="632"/>
      <c r="D9" s="632"/>
      <c r="E9" s="629"/>
      <c r="F9" s="635"/>
      <c r="G9" s="634"/>
    </row>
    <row r="10" spans="1:8" ht="14">
      <c r="A10" s="2"/>
      <c r="B10" s="295"/>
      <c r="C10" s="295"/>
      <c r="D10" s="295"/>
      <c r="E10" s="279"/>
      <c r="F10" s="635"/>
      <c r="G10" s="634"/>
    </row>
    <row r="11" spans="1:8" ht="14">
      <c r="A11" s="2">
        <v>4</v>
      </c>
      <c r="B11" s="295" t="s">
        <v>2308</v>
      </c>
      <c r="C11" s="295"/>
      <c r="D11" s="295"/>
      <c r="E11" s="546">
        <v>34056810.969999999</v>
      </c>
      <c r="F11" s="584" t="s">
        <v>347</v>
      </c>
      <c r="G11" s="634"/>
    </row>
    <row r="12" spans="1:8" ht="14">
      <c r="A12" s="2">
        <v>5</v>
      </c>
      <c r="B12" s="295" t="s">
        <v>2309</v>
      </c>
      <c r="C12" s="295"/>
      <c r="D12" s="295"/>
      <c r="E12" s="36">
        <f>E13-E11</f>
        <v>180908722.03</v>
      </c>
      <c r="F12" s="584" t="s">
        <v>2314</v>
      </c>
      <c r="G12" s="634"/>
    </row>
    <row r="13" spans="1:8" ht="14">
      <c r="A13" s="2">
        <v>6</v>
      </c>
      <c r="B13" s="251" t="s">
        <v>2311</v>
      </c>
      <c r="C13" s="295"/>
      <c r="D13" s="295"/>
      <c r="E13" s="281">
        <v>214965533</v>
      </c>
      <c r="F13" s="250" t="s">
        <v>2315</v>
      </c>
      <c r="G13" s="634"/>
    </row>
    <row r="14" spans="1:8" ht="13">
      <c r="A14" s="120"/>
      <c r="B14" s="295"/>
      <c r="C14" s="295"/>
      <c r="D14" s="295"/>
      <c r="E14" s="279"/>
      <c r="F14" s="584"/>
    </row>
    <row r="15" spans="1:8" ht="13">
      <c r="A15" s="120">
        <v>7</v>
      </c>
      <c r="B15" s="295" t="s">
        <v>2316</v>
      </c>
      <c r="C15" s="295"/>
      <c r="D15" s="295"/>
      <c r="E15" s="279">
        <f>(E5+E11)/2</f>
        <v>26617620.484999999</v>
      </c>
      <c r="F15" s="250" t="str">
        <f>"(Line "&amp;A5&amp;" + Line "&amp;A11&amp;") / 2"</f>
        <v>(Line 1 + Line 4) / 2</v>
      </c>
      <c r="G15" s="381"/>
    </row>
    <row r="16" spans="1:8" ht="13">
      <c r="A16" s="120"/>
      <c r="D16" s="201"/>
      <c r="E16" s="279"/>
      <c r="F16" s="584"/>
    </row>
    <row r="17" spans="1:6" ht="13">
      <c r="A17" s="120">
        <v>8</v>
      </c>
      <c r="B17" s="251" t="s">
        <v>2317</v>
      </c>
      <c r="E17" s="638">
        <v>1565253.42</v>
      </c>
      <c r="F17" s="584" t="s">
        <v>348</v>
      </c>
    </row>
    <row r="18" spans="1:6" ht="13">
      <c r="A18" s="120">
        <v>9</v>
      </c>
      <c r="B18" s="251" t="s">
        <v>2318</v>
      </c>
      <c r="E18" s="36">
        <f>E19-E17</f>
        <v>852730213.58000004</v>
      </c>
      <c r="F18" s="584" t="s">
        <v>2319</v>
      </c>
    </row>
    <row r="19" spans="1:6" ht="13">
      <c r="A19" s="120">
        <v>10</v>
      </c>
      <c r="B19" s="251" t="s">
        <v>2320</v>
      </c>
      <c r="E19" s="281">
        <v>854295467</v>
      </c>
      <c r="F19" s="250" t="s">
        <v>2321</v>
      </c>
    </row>
    <row r="22" spans="1:6" ht="13">
      <c r="A22" s="30" t="s">
        <v>228</v>
      </c>
    </row>
    <row r="23" spans="1:6">
      <c r="A23" s="252">
        <v>1</v>
      </c>
      <c r="B23" s="251" t="s">
        <v>2322</v>
      </c>
    </row>
    <row r="24" spans="1:6">
      <c r="A24" s="252">
        <v>2</v>
      </c>
      <c r="B24" s="251" t="s">
        <v>2323</v>
      </c>
    </row>
    <row r="25" spans="1:6">
      <c r="A25" s="252">
        <v>3</v>
      </c>
      <c r="B25" s="251" t="s">
        <v>2324</v>
      </c>
    </row>
    <row r="26" spans="1:6">
      <c r="A26" s="252">
        <v>4</v>
      </c>
      <c r="B26" s="251" t="s">
        <v>2325</v>
      </c>
      <c r="E26" s="636"/>
    </row>
    <row r="27" spans="1:6">
      <c r="B27" s="251" t="s">
        <v>2326</v>
      </c>
      <c r="E27" s="636"/>
    </row>
    <row r="28" spans="1:6">
      <c r="E28" s="636"/>
    </row>
    <row r="29" spans="1:6">
      <c r="A29" s="251"/>
      <c r="E29" s="636"/>
    </row>
    <row r="30" spans="1:6">
      <c r="A30" s="251"/>
      <c r="E30" s="636"/>
    </row>
    <row r="31" spans="1:6">
      <c r="A31" s="251"/>
      <c r="E31" s="636"/>
    </row>
    <row r="32" spans="1:6">
      <c r="A32" s="251"/>
      <c r="E32" s="636"/>
    </row>
    <row r="36" spans="1:5">
      <c r="A36" s="251"/>
      <c r="C36" s="637"/>
      <c r="D36" s="637"/>
      <c r="E36" s="637"/>
    </row>
    <row r="37" spans="1:5">
      <c r="A37" s="251"/>
      <c r="C37" s="637"/>
      <c r="D37" s="637"/>
      <c r="E37" s="637"/>
    </row>
    <row r="38" spans="1:5">
      <c r="A38" s="251"/>
      <c r="C38" s="637"/>
      <c r="D38" s="637"/>
      <c r="E38" s="637"/>
    </row>
    <row r="39" spans="1:5">
      <c r="A39" s="251"/>
      <c r="C39" s="637"/>
      <c r="D39" s="637"/>
      <c r="E39" s="637"/>
    </row>
    <row r="40" spans="1:5">
      <c r="A40" s="251"/>
      <c r="C40" s="637"/>
      <c r="D40" s="637"/>
      <c r="E40" s="637"/>
    </row>
    <row r="41" spans="1:5">
      <c r="A41" s="251"/>
      <c r="C41" s="637"/>
      <c r="D41" s="637"/>
      <c r="E41" s="637"/>
    </row>
    <row r="42" spans="1:5">
      <c r="A42" s="251"/>
      <c r="C42" s="637"/>
      <c r="D42" s="637"/>
      <c r="E42" s="637"/>
    </row>
    <row r="43" spans="1:5">
      <c r="A43" s="251"/>
      <c r="C43" s="637"/>
      <c r="D43" s="637"/>
      <c r="E43" s="637"/>
    </row>
    <row r="44" spans="1:5">
      <c r="A44" s="251"/>
      <c r="C44" s="637"/>
      <c r="D44" s="637"/>
      <c r="E44" s="637"/>
    </row>
    <row r="45" spans="1:5">
      <c r="A45" s="251"/>
      <c r="C45" s="637"/>
      <c r="D45" s="637"/>
      <c r="E45" s="637"/>
    </row>
    <row r="46" spans="1:5">
      <c r="A46" s="251"/>
      <c r="C46" s="637"/>
      <c r="D46" s="637"/>
      <c r="E46" s="637"/>
    </row>
    <row r="47" spans="1:5">
      <c r="A47" s="251"/>
      <c r="C47" s="637"/>
      <c r="D47" s="637"/>
      <c r="E47" s="637"/>
    </row>
    <row r="48" spans="1:5">
      <c r="A48" s="251"/>
      <c r="C48" s="637"/>
      <c r="D48" s="637"/>
      <c r="E48" s="637"/>
    </row>
    <row r="51" spans="1:5">
      <c r="A51" s="251"/>
      <c r="E51" s="637"/>
    </row>
  </sheetData>
  <pageMargins left="0.7" right="0.7" top="0.75" bottom="0.75" header="0.3" footer="0.3"/>
  <pageSetup scale="75" orientation="portrait" cellComments="asDisplayed" r:id="rId1"/>
  <headerFooter>
    <oddHeader>&amp;CSchedule 22
Network Upgrade Credits and Interest Expense
&amp;RTO2023 Draft Annual Update 
Attachment 1</oddHeader>
    <oddFooter>&amp;R&amp;A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39"/>
  <sheetViews>
    <sheetView topLeftCell="A25" zoomScaleNormal="10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7" ht="13">
      <c r="A1" s="307" t="s">
        <v>2327</v>
      </c>
      <c r="B1" s="308"/>
      <c r="C1" s="308"/>
      <c r="D1" s="308"/>
      <c r="E1" s="308"/>
      <c r="F1" s="308"/>
      <c r="G1" s="308"/>
    </row>
    <row r="3" spans="1:7" ht="13">
      <c r="A3" s="309" t="s">
        <v>273</v>
      </c>
      <c r="B3" s="308"/>
      <c r="C3" s="308"/>
      <c r="D3" s="308"/>
      <c r="E3" s="308"/>
      <c r="F3" s="308"/>
      <c r="G3" s="308"/>
    </row>
    <row r="4" spans="1:7" ht="13">
      <c r="A4" s="310">
        <v>1</v>
      </c>
      <c r="B4" s="308" t="s">
        <v>2328</v>
      </c>
      <c r="C4" s="308"/>
      <c r="D4" s="308"/>
      <c r="E4" s="308"/>
      <c r="F4" s="308"/>
      <c r="G4" s="308"/>
    </row>
    <row r="5" spans="1:7" ht="13">
      <c r="A5" s="310">
        <v>2</v>
      </c>
      <c r="B5" s="308" t="s">
        <v>2329</v>
      </c>
      <c r="C5" s="308"/>
      <c r="D5" s="308"/>
      <c r="E5" s="308"/>
      <c r="F5" s="308"/>
      <c r="G5" s="308"/>
    </row>
    <row r="6" spans="1:7" ht="13">
      <c r="A6" s="310">
        <v>3</v>
      </c>
      <c r="B6" s="308" t="s">
        <v>2330</v>
      </c>
      <c r="C6" s="308"/>
      <c r="D6" s="308"/>
      <c r="E6" s="308"/>
      <c r="F6" s="308"/>
      <c r="G6" s="308"/>
    </row>
    <row r="7" spans="1:7" ht="13">
      <c r="A7" s="310">
        <v>4</v>
      </c>
      <c r="B7" s="308"/>
      <c r="C7" s="308"/>
      <c r="D7" s="308"/>
      <c r="E7" s="308"/>
      <c r="F7" s="308"/>
      <c r="G7" s="308"/>
    </row>
    <row r="8" spans="1:7" ht="13">
      <c r="A8" s="310">
        <v>5</v>
      </c>
      <c r="B8" s="308" t="s">
        <v>2331</v>
      </c>
      <c r="C8" s="308"/>
      <c r="D8" s="308"/>
      <c r="E8" s="308"/>
      <c r="F8" s="308"/>
      <c r="G8" s="308"/>
    </row>
    <row r="9" spans="1:7" ht="13">
      <c r="A9" s="310">
        <v>6</v>
      </c>
      <c r="B9" s="308" t="s">
        <v>2332</v>
      </c>
      <c r="C9" s="308"/>
      <c r="D9" s="308"/>
      <c r="E9" s="308"/>
      <c r="F9" s="308"/>
      <c r="G9" s="308"/>
    </row>
    <row r="10" spans="1:7" ht="13">
      <c r="A10" s="310">
        <v>7</v>
      </c>
      <c r="B10" s="308"/>
      <c r="C10" s="308"/>
      <c r="D10" s="308"/>
      <c r="E10" s="308"/>
      <c r="F10" s="308"/>
      <c r="G10" s="308"/>
    </row>
    <row r="11" spans="1:7" ht="13">
      <c r="A11" s="310">
        <v>8</v>
      </c>
      <c r="B11" s="308" t="s">
        <v>2333</v>
      </c>
      <c r="C11" s="308"/>
      <c r="D11" s="308"/>
      <c r="E11" s="308"/>
      <c r="F11" s="308"/>
      <c r="G11" s="308"/>
    </row>
    <row r="12" spans="1:7" ht="13">
      <c r="A12" s="310">
        <v>9</v>
      </c>
      <c r="B12" s="308" t="s">
        <v>2334</v>
      </c>
      <c r="C12" s="308"/>
      <c r="D12" s="308"/>
      <c r="E12" s="308"/>
      <c r="F12" s="308"/>
      <c r="G12" s="308"/>
    </row>
    <row r="13" spans="1:7" ht="13">
      <c r="A13" s="310">
        <v>10</v>
      </c>
      <c r="B13" s="308" t="s">
        <v>2335</v>
      </c>
      <c r="C13" s="308"/>
      <c r="D13" s="308"/>
      <c r="E13" s="308"/>
      <c r="F13" s="308"/>
      <c r="G13" s="308"/>
    </row>
    <row r="14" spans="1:7" ht="13">
      <c r="A14" s="310">
        <v>11</v>
      </c>
      <c r="B14" s="308"/>
      <c r="C14" s="308"/>
      <c r="D14" s="308"/>
      <c r="E14" s="308"/>
      <c r="F14" s="308"/>
      <c r="G14" s="308"/>
    </row>
    <row r="15" spans="1:7" ht="13">
      <c r="A15" s="310">
        <v>12</v>
      </c>
      <c r="B15" s="308"/>
      <c r="C15" s="308"/>
      <c r="D15" s="308"/>
      <c r="E15" s="310" t="s">
        <v>860</v>
      </c>
      <c r="F15" s="308"/>
      <c r="G15" s="308"/>
    </row>
    <row r="16" spans="1:7" ht="13">
      <c r="A16" s="310">
        <v>13</v>
      </c>
      <c r="B16" s="308"/>
      <c r="C16" s="308"/>
      <c r="D16" s="308"/>
      <c r="E16" s="311" t="s">
        <v>79</v>
      </c>
      <c r="F16" s="308"/>
      <c r="G16" s="312" t="s">
        <v>2336</v>
      </c>
    </row>
    <row r="17" spans="1:8" ht="13">
      <c r="A17" s="310">
        <v>14</v>
      </c>
      <c r="B17" s="308" t="s">
        <v>2337</v>
      </c>
      <c r="C17" s="308"/>
      <c r="D17" s="308"/>
      <c r="E17" s="313">
        <f>D29</f>
        <v>0</v>
      </c>
      <c r="F17" s="308"/>
      <c r="G17" s="308" t="s">
        <v>2338</v>
      </c>
    </row>
    <row r="18" spans="1:8" ht="13">
      <c r="A18" s="310">
        <v>15</v>
      </c>
      <c r="B18" s="308" t="s">
        <v>2339</v>
      </c>
      <c r="C18" s="308"/>
      <c r="D18" s="308"/>
      <c r="E18" s="313">
        <f>(C29+D29)/2</f>
        <v>0</v>
      </c>
      <c r="F18" s="308"/>
      <c r="G18" s="308" t="s">
        <v>2340</v>
      </c>
    </row>
    <row r="19" spans="1:8" ht="13">
      <c r="A19" s="310">
        <v>16</v>
      </c>
      <c r="B19" s="308" t="s">
        <v>2341</v>
      </c>
      <c r="C19" s="308"/>
      <c r="D19" s="308"/>
      <c r="E19" s="313">
        <f>E29</f>
        <v>0</v>
      </c>
      <c r="F19" s="308"/>
      <c r="G19" s="308" t="s">
        <v>2342</v>
      </c>
    </row>
    <row r="20" spans="1:8" ht="13">
      <c r="A20" s="310"/>
      <c r="B20" s="308"/>
      <c r="C20" s="308"/>
      <c r="D20" s="308"/>
      <c r="E20" s="313"/>
      <c r="F20" s="308"/>
      <c r="G20" s="308"/>
    </row>
    <row r="21" spans="1:8" ht="13">
      <c r="A21" s="310"/>
      <c r="B21" s="308"/>
      <c r="C21" s="391" t="s">
        <v>336</v>
      </c>
      <c r="D21" s="391" t="s">
        <v>337</v>
      </c>
      <c r="E21" s="391" t="s">
        <v>338</v>
      </c>
      <c r="F21" s="308"/>
      <c r="G21" s="308"/>
    </row>
    <row r="22" spans="1:8" ht="13">
      <c r="A22" s="310"/>
      <c r="B22" s="308"/>
      <c r="C22" s="310" t="s">
        <v>860</v>
      </c>
      <c r="D22" s="310" t="s">
        <v>860</v>
      </c>
      <c r="E22" s="310" t="s">
        <v>860</v>
      </c>
      <c r="F22" s="308"/>
      <c r="G22" s="308"/>
    </row>
    <row r="23" spans="1:8" ht="14.5">
      <c r="A23" s="310"/>
      <c r="B23" s="310" t="s">
        <v>2343</v>
      </c>
      <c r="C23" s="310" t="s">
        <v>797</v>
      </c>
      <c r="D23" s="310" t="s">
        <v>1094</v>
      </c>
      <c r="E23" s="195" t="s">
        <v>2344</v>
      </c>
      <c r="F23" s="308"/>
      <c r="G23" s="307" t="s">
        <v>2345</v>
      </c>
      <c r="H23" s="251"/>
    </row>
    <row r="24" spans="1:8" ht="13">
      <c r="A24" s="310"/>
      <c r="B24" s="310" t="s">
        <v>2346</v>
      </c>
      <c r="C24" s="310" t="s">
        <v>2347</v>
      </c>
      <c r="D24" s="310" t="s">
        <v>2347</v>
      </c>
      <c r="E24" s="310" t="s">
        <v>2348</v>
      </c>
      <c r="F24" s="308"/>
      <c r="G24" s="307" t="s">
        <v>2349</v>
      </c>
      <c r="H24" s="251"/>
    </row>
    <row r="25" spans="1:8" ht="13">
      <c r="A25" s="310"/>
      <c r="B25" s="311" t="s">
        <v>2350</v>
      </c>
      <c r="C25" s="311" t="s">
        <v>2350</v>
      </c>
      <c r="D25" s="311" t="s">
        <v>2350</v>
      </c>
      <c r="E25" s="311" t="s">
        <v>2351</v>
      </c>
      <c r="F25" s="308"/>
      <c r="G25" s="309" t="s">
        <v>2352</v>
      </c>
      <c r="H25" s="251"/>
    </row>
    <row r="26" spans="1:8" ht="13">
      <c r="A26" s="310">
        <v>17</v>
      </c>
      <c r="B26" s="314"/>
      <c r="C26" s="315"/>
      <c r="D26" s="315"/>
      <c r="E26" s="315"/>
      <c r="F26" s="308"/>
      <c r="G26" s="314"/>
      <c r="H26" s="55"/>
    </row>
    <row r="27" spans="1:8" ht="13">
      <c r="A27" s="310">
        <v>18</v>
      </c>
      <c r="B27" s="314"/>
      <c r="C27" s="315"/>
      <c r="D27" s="315"/>
      <c r="E27" s="315"/>
      <c r="F27" s="308"/>
      <c r="G27" s="314"/>
      <c r="H27" s="55"/>
    </row>
    <row r="28" spans="1:8" ht="13">
      <c r="A28" s="310">
        <v>19</v>
      </c>
      <c r="B28" s="314"/>
      <c r="C28" s="316"/>
      <c r="D28" s="316"/>
      <c r="E28" s="316"/>
      <c r="F28" s="308"/>
      <c r="G28" s="314"/>
      <c r="H28" s="55"/>
    </row>
    <row r="29" spans="1:8" ht="13">
      <c r="A29" s="310">
        <v>20</v>
      </c>
      <c r="B29" s="308" t="s">
        <v>431</v>
      </c>
      <c r="C29" s="313">
        <f>SUM(C26:C28)</f>
        <v>0</v>
      </c>
      <c r="D29" s="313">
        <f>SUM(D26:D28)</f>
        <v>0</v>
      </c>
      <c r="E29" s="313">
        <f>SUM(E26:E28)</f>
        <v>0</v>
      </c>
      <c r="F29" s="308"/>
      <c r="G29" s="308" t="s">
        <v>2353</v>
      </c>
    </row>
    <row r="30" spans="1:8" ht="13">
      <c r="A30" s="310"/>
      <c r="B30" s="308"/>
      <c r="C30" s="308"/>
      <c r="D30" s="308"/>
      <c r="E30" s="308"/>
      <c r="F30" s="308"/>
      <c r="G30" s="308"/>
    </row>
    <row r="31" spans="1:8" ht="13">
      <c r="A31" s="310"/>
      <c r="B31" s="307" t="s">
        <v>433</v>
      </c>
      <c r="C31" s="308"/>
      <c r="D31" s="308"/>
      <c r="E31" s="308"/>
      <c r="F31" s="308"/>
      <c r="G31" s="308"/>
    </row>
    <row r="32" spans="1:8" ht="13">
      <c r="A32" s="310"/>
      <c r="B32" s="308" t="s">
        <v>2354</v>
      </c>
      <c r="C32" s="308"/>
      <c r="D32" s="308"/>
      <c r="E32" s="308"/>
      <c r="F32" s="308"/>
      <c r="G32" s="308"/>
    </row>
    <row r="33" spans="1:5" ht="13">
      <c r="A33" s="310"/>
      <c r="B33" s="308" t="s">
        <v>2355</v>
      </c>
    </row>
    <row r="34" spans="1:5" ht="13">
      <c r="A34" s="310"/>
      <c r="B34" s="523" t="s">
        <v>2356</v>
      </c>
    </row>
    <row r="35" spans="1:5" ht="13">
      <c r="A35" s="310"/>
      <c r="B35" s="523" t="s">
        <v>2357</v>
      </c>
      <c r="E35" s="251"/>
    </row>
    <row r="36" spans="1:5" ht="13">
      <c r="A36" s="310"/>
      <c r="B36" s="308" t="s">
        <v>2358</v>
      </c>
    </row>
    <row r="37" spans="1:5" ht="13">
      <c r="A37" s="310"/>
    </row>
    <row r="38" spans="1:5" ht="13">
      <c r="A38" s="310"/>
      <c r="B38" s="308"/>
    </row>
    <row r="39" spans="1:5" ht="13">
      <c r="A39" s="310"/>
      <c r="B39" s="308"/>
    </row>
  </sheetData>
  <pageMargins left="0.7" right="0.7" top="0.75" bottom="0.75" header="0.3" footer="0.3"/>
  <pageSetup orientation="landscape" cellComments="asDisplayed" r:id="rId1"/>
  <headerFooter>
    <oddHeader>&amp;CSchedule 23
Regulatory Assets and Liabilities
&amp;RTO2023 Draft Annual Update 
Attachment 1</oddHead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zoomScaleNormal="100" workbookViewId="0"/>
  </sheetViews>
  <sheetFormatPr defaultRowHeight="12.5"/>
  <cols>
    <col min="1" max="1" width="3.54296875" customWidth="1"/>
    <col min="2" max="2" width="45.54296875" customWidth="1"/>
    <col min="3" max="3" width="15.1796875" customWidth="1"/>
  </cols>
  <sheetData>
    <row r="1" spans="1:5" ht="13">
      <c r="A1" s="1" t="s">
        <v>76</v>
      </c>
    </row>
    <row r="3" spans="1:5">
      <c r="A3" s="251" t="s">
        <v>77</v>
      </c>
    </row>
    <row r="5" spans="1:5" ht="13">
      <c r="B5" s="3" t="s">
        <v>78</v>
      </c>
      <c r="C5" s="3" t="s">
        <v>79</v>
      </c>
    </row>
    <row r="6" spans="1:5">
      <c r="B6" t="s">
        <v>80</v>
      </c>
      <c r="C6" s="6">
        <f>'1-BaseTRR'!K144</f>
        <v>1229512803.1527832</v>
      </c>
    </row>
    <row r="7" spans="1:5">
      <c r="B7" t="s">
        <v>81</v>
      </c>
      <c r="C7" s="6">
        <f>'1-BaseTRR'!K150</f>
        <v>97701592.286312163</v>
      </c>
    </row>
    <row r="8" spans="1:5" ht="13">
      <c r="B8" t="s">
        <v>82</v>
      </c>
      <c r="C8" s="253">
        <f>'1-BaseTRR'!K151</f>
        <v>51223813.92398636</v>
      </c>
      <c r="E8" s="1"/>
    </row>
    <row r="9" spans="1:5" ht="13">
      <c r="B9" s="251" t="s">
        <v>83</v>
      </c>
      <c r="C9" s="253">
        <f>'1-BaseTRR'!K152</f>
        <v>0</v>
      </c>
      <c r="E9" s="1"/>
    </row>
    <row r="10" spans="1:5" ht="13">
      <c r="B10" s="251" t="s">
        <v>84</v>
      </c>
      <c r="C10" s="53">
        <f>'1-BaseTRR'!K153</f>
        <v>-62376994.606312498</v>
      </c>
      <c r="E10" s="1"/>
    </row>
    <row r="11" spans="1:5">
      <c r="B11" t="s">
        <v>85</v>
      </c>
      <c r="C11" s="6">
        <f>SUM(C6:C10)</f>
        <v>1316061214.7567692</v>
      </c>
    </row>
    <row r="13" spans="1:5">
      <c r="A13" t="s">
        <v>86</v>
      </c>
    </row>
    <row r="15" spans="1:5">
      <c r="B15" t="s">
        <v>87</v>
      </c>
    </row>
    <row r="16" spans="1:5">
      <c r="B16" s="250" t="s">
        <v>88</v>
      </c>
    </row>
    <row r="17" spans="2:7">
      <c r="B17" s="12"/>
    </row>
    <row r="18" spans="2:7">
      <c r="B18" t="s">
        <v>89</v>
      </c>
    </row>
    <row r="19" spans="2:7">
      <c r="B19" s="251" t="s">
        <v>90</v>
      </c>
    </row>
    <row r="20" spans="2:7">
      <c r="B20" s="12"/>
    </row>
    <row r="21" spans="2:7">
      <c r="B21" s="38" t="s">
        <v>91</v>
      </c>
    </row>
    <row r="22" spans="2:7">
      <c r="B22" s="250" t="s">
        <v>92</v>
      </c>
    </row>
    <row r="23" spans="2:7">
      <c r="B23" s="250"/>
    </row>
    <row r="24" spans="2:7">
      <c r="B24" s="1047" t="s">
        <v>93</v>
      </c>
      <c r="C24" s="251"/>
      <c r="D24" s="251"/>
      <c r="E24" s="251"/>
      <c r="F24" s="251"/>
      <c r="G24" s="251"/>
    </row>
    <row r="25" spans="2:7">
      <c r="B25" s="250" t="s">
        <v>94</v>
      </c>
      <c r="C25" s="251"/>
      <c r="D25" s="251"/>
      <c r="E25" s="251"/>
      <c r="F25" s="251"/>
      <c r="G25" s="251"/>
    </row>
    <row r="27" spans="2:7">
      <c r="B27" s="251" t="s">
        <v>2925</v>
      </c>
    </row>
  </sheetData>
  <phoneticPr fontId="23" type="noConversion"/>
  <pageMargins left="0.75" right="0.75" top="1.25" bottom="1" header="0.5" footer="0.5"/>
  <pageSetup orientation="landscape" r:id="rId1"/>
  <headerFooter alignWithMargins="0">
    <oddHeader>&amp;COverview
&amp;RTO2023 Draft Annual Update 
Attachment 1</oddHeader>
    <oddFooter>&amp;R&amp;A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01"/>
  <sheetViews>
    <sheetView zoomScaleNormal="100" workbookViewId="0"/>
  </sheetViews>
  <sheetFormatPr defaultRowHeight="12.5"/>
  <cols>
    <col min="1" max="2" width="4.54296875" customWidth="1"/>
    <col min="3" max="3" width="28.54296875" customWidth="1"/>
    <col min="4" max="8" width="14.54296875" customWidth="1"/>
  </cols>
  <sheetData>
    <row r="1" spans="1:9" ht="14.5">
      <c r="A1" s="1" t="s">
        <v>2359</v>
      </c>
      <c r="I1" s="195"/>
    </row>
    <row r="3" spans="1:9" ht="13">
      <c r="B3" s="1" t="s">
        <v>2360</v>
      </c>
    </row>
    <row r="4" spans="1:9" ht="13">
      <c r="B4" s="1"/>
    </row>
    <row r="5" spans="1:9" ht="13">
      <c r="B5" s="1"/>
      <c r="C5" s="1" t="s">
        <v>2361</v>
      </c>
      <c r="D5" s="48" t="s">
        <v>336</v>
      </c>
      <c r="E5" s="48" t="s">
        <v>337</v>
      </c>
      <c r="F5" s="48" t="s">
        <v>338</v>
      </c>
    </row>
    <row r="6" spans="1:9" ht="14.5">
      <c r="D6" s="125" t="s">
        <v>860</v>
      </c>
      <c r="E6" s="125" t="s">
        <v>860</v>
      </c>
      <c r="F6" s="125" t="s">
        <v>985</v>
      </c>
    </row>
    <row r="7" spans="1:9" ht="14.5">
      <c r="C7" s="1"/>
      <c r="D7" s="125" t="s">
        <v>1094</v>
      </c>
      <c r="E7" s="125" t="s">
        <v>799</v>
      </c>
      <c r="F7" s="125" t="s">
        <v>619</v>
      </c>
    </row>
    <row r="8" spans="1:9" ht="13">
      <c r="A8" s="3" t="s">
        <v>273</v>
      </c>
      <c r="C8" s="3" t="s">
        <v>1076</v>
      </c>
      <c r="D8" s="3" t="s">
        <v>79</v>
      </c>
      <c r="E8" s="3" t="s">
        <v>79</v>
      </c>
      <c r="F8" s="3" t="s">
        <v>79</v>
      </c>
      <c r="G8" s="3" t="s">
        <v>652</v>
      </c>
    </row>
    <row r="9" spans="1:9" ht="13">
      <c r="A9" s="2">
        <v>1</v>
      </c>
      <c r="C9" s="249" t="s">
        <v>2362</v>
      </c>
      <c r="D9" s="6">
        <f>'10-CWIP'!E25</f>
        <v>4598499.51</v>
      </c>
      <c r="E9" s="6">
        <f>'10-CWIP'!E26</f>
        <v>2302498.6176923076</v>
      </c>
      <c r="F9" s="6">
        <f>'10-CWIP'!K113</f>
        <v>5469248.4223076906</v>
      </c>
      <c r="G9" s="250" t="str">
        <f>"10-CWIP, Lines "&amp;'10-CWIP'!A25&amp;", "&amp;'10-CWIP'!A26&amp;", "&amp;'10-CWIP'!A113&amp;""</f>
        <v>10-CWIP, Lines 13, 14, 80</v>
      </c>
    </row>
    <row r="10" spans="1:9" ht="13">
      <c r="A10" s="2">
        <f>A9+1</f>
        <v>2</v>
      </c>
      <c r="C10" s="249" t="s">
        <v>2363</v>
      </c>
      <c r="D10" s="6">
        <f>'10-CWIP'!F25</f>
        <v>0</v>
      </c>
      <c r="E10" s="6">
        <f>'10-CWIP'!F26</f>
        <v>0</v>
      </c>
      <c r="F10" s="6">
        <f>'10-CWIP'!K146</f>
        <v>0</v>
      </c>
      <c r="G10" s="250" t="str">
        <f>"10-CWIP, Lines "&amp;'10-CWIP'!A25&amp;", "&amp;'10-CWIP'!A26&amp;", "&amp;'10-CWIP'!A146&amp;""</f>
        <v>10-CWIP, Lines 13, 14, 106</v>
      </c>
    </row>
    <row r="11" spans="1:9" ht="13">
      <c r="A11" s="2">
        <f t="shared" ref="A11:A21" si="0">A10+1</f>
        <v>3</v>
      </c>
      <c r="C11" s="249" t="s">
        <v>2364</v>
      </c>
      <c r="D11" s="6">
        <f>'10-CWIP'!G25</f>
        <v>6065998.96</v>
      </c>
      <c r="E11" s="6">
        <f>'10-CWIP'!G26</f>
        <v>5910774.2446153844</v>
      </c>
      <c r="F11" s="6">
        <f>'10-CWIP'!K179</f>
        <v>2309100</v>
      </c>
      <c r="G11" s="250" t="str">
        <f>"10-CWIP, Lines "&amp;'10-CWIP'!A25&amp;", "&amp;'10-CWIP'!A26&amp;", "&amp;'10-CWIP'!A179&amp;""</f>
        <v>10-CWIP, Lines 13, 14, 132</v>
      </c>
    </row>
    <row r="12" spans="1:9" ht="13">
      <c r="A12" s="2">
        <f t="shared" si="0"/>
        <v>4</v>
      </c>
      <c r="C12" s="249" t="s">
        <v>2365</v>
      </c>
      <c r="D12" s="6">
        <f>'10-CWIP'!H25</f>
        <v>371163.37</v>
      </c>
      <c r="E12" s="6">
        <f>'10-CWIP'!H26</f>
        <v>257052996.78769225</v>
      </c>
      <c r="F12" s="6">
        <f>'10-CWIP'!K212</f>
        <v>-371163.37000000005</v>
      </c>
      <c r="G12" s="250" t="str">
        <f>"10-CWIP, Lines "&amp;'10-CWIP'!A25&amp;", "&amp;'10-CWIP'!A26&amp;", "&amp;'10-CWIP'!A212&amp;""</f>
        <v>10-CWIP, Lines 13, 14, 158</v>
      </c>
    </row>
    <row r="13" spans="1:9" ht="13">
      <c r="A13" s="2">
        <f t="shared" si="0"/>
        <v>5</v>
      </c>
      <c r="C13" s="249" t="s">
        <v>2366</v>
      </c>
      <c r="D13" s="6">
        <f>'10-CWIP'!I25</f>
        <v>0</v>
      </c>
      <c r="E13" s="6">
        <f>'10-CWIP'!I26</f>
        <v>0</v>
      </c>
      <c r="F13" s="6">
        <f>'10-CWIP'!K245</f>
        <v>0</v>
      </c>
      <c r="G13" s="250" t="str">
        <f>"10-CWIP, Lines "&amp;'10-CWIP'!A25&amp;", "&amp;'10-CWIP'!A26&amp;", "&amp;'10-CWIP'!A245&amp;""</f>
        <v>10-CWIP, Lines 13, 14, 184</v>
      </c>
    </row>
    <row r="14" spans="1:9" ht="13">
      <c r="A14" s="2">
        <f t="shared" si="0"/>
        <v>6</v>
      </c>
      <c r="C14" s="249" t="s">
        <v>2367</v>
      </c>
      <c r="D14" s="6">
        <f>'10-CWIP'!D45</f>
        <v>0</v>
      </c>
      <c r="E14" s="6">
        <f>'10-CWIP'!D46</f>
        <v>0</v>
      </c>
      <c r="F14" s="6">
        <f>'10-CWIP'!K278</f>
        <v>0</v>
      </c>
      <c r="G14" s="250" t="str">
        <f>"10-CWIP, Lines "&amp;'10-CWIP'!A45&amp;", "&amp;'10-CWIP'!A46&amp;", "&amp;'10-CWIP'!A278&amp;""</f>
        <v>10-CWIP, Lines 27, 28, 210</v>
      </c>
    </row>
    <row r="15" spans="1:9" ht="13">
      <c r="A15" s="2">
        <f t="shared" si="0"/>
        <v>7</v>
      </c>
      <c r="C15" s="249" t="s">
        <v>2368</v>
      </c>
      <c r="D15" s="6">
        <f>'10-CWIP'!E45</f>
        <v>0</v>
      </c>
      <c r="E15" s="6">
        <f>'10-CWIP'!E46</f>
        <v>10493045.005384615</v>
      </c>
      <c r="F15" s="6">
        <f>'10-CWIP'!K311</f>
        <v>0</v>
      </c>
      <c r="G15" s="250" t="str">
        <f>"10-CWIP, Lines "&amp;'10-CWIP'!A45&amp;", "&amp;'10-CWIP'!A46&amp;", "&amp;'10-CWIP'!A311&amp;""</f>
        <v>10-CWIP, Lines 27, 28, 236</v>
      </c>
    </row>
    <row r="16" spans="1:9" ht="13">
      <c r="A16" s="2">
        <f t="shared" si="0"/>
        <v>8</v>
      </c>
      <c r="C16" s="249" t="s">
        <v>2369</v>
      </c>
      <c r="D16" s="6">
        <f>'10-CWIP'!F45</f>
        <v>201436016.56999999</v>
      </c>
      <c r="E16" s="6">
        <f>'10-CWIP'!F46</f>
        <v>161043920.68230769</v>
      </c>
      <c r="F16" s="6">
        <f>'10-CWIP'!K344</f>
        <v>-200178200.26538482</v>
      </c>
      <c r="G16" s="250" t="str">
        <f>"10-CWIP, Lines "&amp;'10-CWIP'!A45&amp;", "&amp;'10-CWIP'!A46&amp;", "&amp;'10-CWIP'!A344&amp;""</f>
        <v>10-CWIP, Lines 27, 28, 262</v>
      </c>
    </row>
    <row r="17" spans="1:7" ht="13">
      <c r="A17" s="2">
        <f t="shared" si="0"/>
        <v>9</v>
      </c>
      <c r="C17" s="249" t="s">
        <v>2370</v>
      </c>
      <c r="D17" s="6">
        <f>'10-CWIP'!G45</f>
        <v>25314115.41</v>
      </c>
      <c r="E17" s="6">
        <f>'10-CWIP'!G46</f>
        <v>24396938.33615385</v>
      </c>
      <c r="F17" s="6">
        <f>'10-CWIP'!K377</f>
        <v>1327722.4653153871</v>
      </c>
      <c r="G17" s="250" t="str">
        <f>"10-CWIP, Lines "&amp;'10-CWIP'!A45&amp;", "&amp;'10-CWIP'!A46&amp;", "&amp;'10-CWIP'!A377&amp;""</f>
        <v>10-CWIP, Lines 27, 28, 288</v>
      </c>
    </row>
    <row r="18" spans="1:7" ht="13">
      <c r="A18" s="2">
        <f t="shared" si="0"/>
        <v>10</v>
      </c>
      <c r="C18" s="249" t="s">
        <v>2371</v>
      </c>
      <c r="D18" s="511">
        <f>'10-CWIP'!H45</f>
        <v>189682923.96000001</v>
      </c>
      <c r="E18" s="511">
        <f>'10-CWIP'!H46</f>
        <v>155401608.43153843</v>
      </c>
      <c r="F18" s="511">
        <f>'10-CWIP'!K410</f>
        <v>-137759583.52153838</v>
      </c>
      <c r="G18" s="250" t="str">
        <f>"10-CWIP, Lines "&amp;'10-CWIP'!A45&amp;", "&amp;'10-CWIP'!A46&amp;", "&amp;'10-CWIP'!A410&amp;""</f>
        <v>10-CWIP, Lines 27, 28, 314</v>
      </c>
    </row>
    <row r="19" spans="1:7" ht="13">
      <c r="A19" s="2">
        <f t="shared" si="0"/>
        <v>11</v>
      </c>
      <c r="C19" s="1088" t="s">
        <v>2372</v>
      </c>
      <c r="D19" s="279">
        <f>'10-CWIP'!I45</f>
        <v>30071310.850000001</v>
      </c>
      <c r="E19" s="279">
        <f>'10-CWIP'!I46</f>
        <v>26493661.004615389</v>
      </c>
      <c r="F19" s="279">
        <f>'10-CWIP'!K443</f>
        <v>10811236.057043863</v>
      </c>
      <c r="G19" s="250" t="str">
        <f>"10-CWIP, Lines "&amp;'10-CWIP'!A45&amp;", "&amp;'10-CWIP'!A46&amp;", "&amp;'10-CWIP'!A443&amp;""</f>
        <v>10-CWIP, Lines 27, 28, 340</v>
      </c>
    </row>
    <row r="20" spans="1:7" ht="13">
      <c r="A20" s="2">
        <f t="shared" si="0"/>
        <v>12</v>
      </c>
      <c r="C20" s="870"/>
      <c r="D20" s="36">
        <f>'10-CWIP'!J45</f>
        <v>0</v>
      </c>
      <c r="E20" s="36" t="str">
        <f>'10-CWIP'!J46</f>
        <v>---</v>
      </c>
      <c r="F20" s="36">
        <f>'10-CWIP'!K476</f>
        <v>0</v>
      </c>
      <c r="G20" s="250" t="str">
        <f>"10-CWIP, Lines "&amp;'10-CWIP'!A45&amp;", "&amp;'10-CWIP'!A46&amp;", "&amp;'10-CWIP'!A476&amp;""</f>
        <v>10-CWIP, Lines 27, 28, 366</v>
      </c>
    </row>
    <row r="21" spans="1:7" ht="13">
      <c r="A21" s="2">
        <f t="shared" si="0"/>
        <v>13</v>
      </c>
      <c r="C21" s="249" t="s">
        <v>431</v>
      </c>
      <c r="D21" s="6">
        <f>SUM(D9:D20)</f>
        <v>457540028.63</v>
      </c>
      <c r="E21" s="6">
        <f>SUM(E9:E20)</f>
        <v>643095443.11000001</v>
      </c>
      <c r="F21" s="6">
        <f>SUM(F9:F20)</f>
        <v>-318391640.21225625</v>
      </c>
      <c r="G21" s="250" t="str">
        <f>"Sum of Lines "&amp;A9&amp;" to "&amp;A20&amp;""</f>
        <v>Sum of Lines 1 to 12</v>
      </c>
    </row>
    <row r="22" spans="1:7" ht="13">
      <c r="A22" s="2"/>
      <c r="C22" s="1"/>
    </row>
    <row r="23" spans="1:7" ht="14.5">
      <c r="A23" s="2"/>
      <c r="C23" s="1" t="s">
        <v>2373</v>
      </c>
      <c r="D23" s="125" t="s">
        <v>1094</v>
      </c>
      <c r="E23" s="125" t="s">
        <v>799</v>
      </c>
      <c r="F23" s="250"/>
    </row>
    <row r="24" spans="1:7" ht="13">
      <c r="D24" s="3" t="s">
        <v>79</v>
      </c>
      <c r="E24" s="3" t="s">
        <v>79</v>
      </c>
      <c r="F24" s="3" t="s">
        <v>652</v>
      </c>
    </row>
    <row r="25" spans="1:7" ht="13">
      <c r="A25" s="2">
        <f>A21+1</f>
        <v>14</v>
      </c>
      <c r="C25" s="249" t="s">
        <v>2374</v>
      </c>
      <c r="D25" s="6">
        <f>D21</f>
        <v>457540028.63</v>
      </c>
      <c r="E25" s="6">
        <f>E21</f>
        <v>643095443.11000001</v>
      </c>
      <c r="F25" s="12" t="str">
        <f>"Line "&amp;A21&amp;""</f>
        <v>Line 13</v>
      </c>
    </row>
    <row r="26" spans="1:7" ht="13">
      <c r="A26" s="2">
        <f>A25+1</f>
        <v>15</v>
      </c>
      <c r="C26" s="249" t="s">
        <v>2375</v>
      </c>
      <c r="D26" s="7">
        <f>'1-BaseTRR'!K93</f>
        <v>7.0841071502043135E-2</v>
      </c>
      <c r="E26" s="7">
        <f>'1-BaseTRR'!K93</f>
        <v>7.0841071502043135E-2</v>
      </c>
      <c r="F26" s="12" t="str">
        <f>"1-BaseTRR, Line "&amp;'1-BaseTRR'!A93&amp;""</f>
        <v>1-BaseTRR, Line 54</v>
      </c>
    </row>
    <row r="27" spans="1:7" ht="13">
      <c r="A27" s="2">
        <f>A26+1</f>
        <v>16</v>
      </c>
      <c r="C27" s="25" t="s">
        <v>2376</v>
      </c>
      <c r="D27" s="6">
        <f>D25*D26</f>
        <v>32412625.883224692</v>
      </c>
      <c r="E27" s="6">
        <f>E25*E26</f>
        <v>45557570.267993622</v>
      </c>
      <c r="F27" s="12" t="str">
        <f>"Line "&amp;A25&amp;" * Line "&amp;A26&amp;""</f>
        <v>Line 14 * Line 15</v>
      </c>
    </row>
    <row r="29" spans="1:7" ht="13">
      <c r="C29" s="1" t="s">
        <v>2377</v>
      </c>
    </row>
    <row r="30" spans="1:7" ht="14.5">
      <c r="D30" s="125" t="s">
        <v>1094</v>
      </c>
      <c r="E30" s="125" t="s">
        <v>799</v>
      </c>
    </row>
    <row r="31" spans="1:7" ht="13">
      <c r="D31" s="3" t="s">
        <v>79</v>
      </c>
      <c r="E31" s="3" t="s">
        <v>79</v>
      </c>
      <c r="F31" s="3" t="s">
        <v>652</v>
      </c>
    </row>
    <row r="32" spans="1:7" ht="14.5">
      <c r="A32" s="125">
        <f>A27+1</f>
        <v>17</v>
      </c>
      <c r="C32" s="249" t="s">
        <v>2374</v>
      </c>
      <c r="D32" s="6">
        <f>D21</f>
        <v>457540028.63</v>
      </c>
      <c r="E32" s="6">
        <f>E21</f>
        <v>643095443.11000001</v>
      </c>
      <c r="F32" s="12" t="str">
        <f>"Line "&amp;A21&amp;""</f>
        <v>Line 13</v>
      </c>
    </row>
    <row r="33" spans="1:7" ht="13">
      <c r="A33" s="2">
        <f t="shared" ref="A33:A39" si="1">A32+1</f>
        <v>18</v>
      </c>
      <c r="C33" s="249" t="s">
        <v>2378</v>
      </c>
      <c r="D33" s="7">
        <f>'1-BaseTRR'!K95</f>
        <v>5.1770508276703368E-2</v>
      </c>
      <c r="E33" s="7">
        <f>'1-BaseTRR'!K95</f>
        <v>5.1770508276703368E-2</v>
      </c>
      <c r="F33" s="12" t="str">
        <f>"1-BaseTRR, Line "&amp;'1-BaseTRR'!A95&amp;""</f>
        <v>1-BaseTRR, Line 55</v>
      </c>
    </row>
    <row r="34" spans="1:7" ht="13">
      <c r="A34" s="2">
        <f t="shared" si="1"/>
        <v>19</v>
      </c>
      <c r="C34" s="249" t="s">
        <v>283</v>
      </c>
      <c r="D34" s="7">
        <f>'1-BaseTRR'!K104</f>
        <v>0.27983599999999997</v>
      </c>
      <c r="E34" s="7">
        <f>'1-BaseTRR'!K104</f>
        <v>0.27983599999999997</v>
      </c>
      <c r="F34" s="12" t="str">
        <f>"1-BaseTRR, Line "&amp;'1-BaseTRR'!A104&amp;""</f>
        <v>1-BaseTRR, Line 59</v>
      </c>
    </row>
    <row r="35" spans="1:7" ht="13">
      <c r="A35" s="2">
        <f t="shared" si="1"/>
        <v>20</v>
      </c>
      <c r="C35" s="249" t="s">
        <v>187</v>
      </c>
      <c r="D35" s="6">
        <f>((D25*D33)*(D34/(1-D34)))</f>
        <v>9204150.2683526073</v>
      </c>
      <c r="E35" s="6">
        <f>((E25*E33)*(E34/(1-E34)))</f>
        <v>12936894.53357948</v>
      </c>
      <c r="F35" s="250" t="str">
        <f>"Formula on Line "&amp;A37&amp;""</f>
        <v>Formula on Line 22</v>
      </c>
    </row>
    <row r="36" spans="1:7" ht="13">
      <c r="A36" s="2">
        <f t="shared" si="1"/>
        <v>21</v>
      </c>
    </row>
    <row r="37" spans="1:7" ht="13">
      <c r="A37" s="2">
        <f t="shared" si="1"/>
        <v>22</v>
      </c>
      <c r="C37" s="250" t="str">
        <f>"Income Taxes = [(RB * ER) * (CTR/(1 – CTR)], or [(L"&amp;A25&amp;" * L"&amp;A33&amp;") * (L"&amp;A34&amp;" / (1 - L"&amp;A34&amp;")]"</f>
        <v>Income Taxes = [(RB * ER) * (CTR/(1 – CTR)], or [(L14 * L18) * (L19 / (1 - L19)]</v>
      </c>
      <c r="E37" s="6"/>
      <c r="F37" s="251"/>
    </row>
    <row r="38" spans="1:7" ht="13">
      <c r="A38" s="2">
        <f t="shared" si="1"/>
        <v>23</v>
      </c>
      <c r="C38" s="250" t="s">
        <v>2379</v>
      </c>
      <c r="E38" s="6"/>
      <c r="F38" s="251"/>
    </row>
    <row r="39" spans="1:7" ht="13">
      <c r="A39" s="2">
        <f t="shared" si="1"/>
        <v>24</v>
      </c>
      <c r="D39" s="250"/>
      <c r="E39" s="6"/>
      <c r="F39" s="251"/>
      <c r="G39" s="250"/>
    </row>
    <row r="40" spans="1:7" ht="13">
      <c r="C40" s="1" t="s">
        <v>2380</v>
      </c>
    </row>
    <row r="41" spans="1:7" ht="13">
      <c r="D41" s="3" t="s">
        <v>102</v>
      </c>
      <c r="E41" s="3" t="s">
        <v>652</v>
      </c>
    </row>
    <row r="42" spans="1:7" ht="13">
      <c r="A42" s="2">
        <f>A39+1</f>
        <v>25</v>
      </c>
      <c r="C42" s="249" t="s">
        <v>1273</v>
      </c>
      <c r="D42" s="6">
        <f>'15-IncentiveAdder'!G17</f>
        <v>6595.7198638087975</v>
      </c>
      <c r="E42" s="12" t="str">
        <f>"15-IncentiveAdder, Line "&amp;'15-IncentiveAdder'!A17&amp;""</f>
        <v>15-IncentiveAdder, Line 3</v>
      </c>
    </row>
    <row r="44" spans="1:7" ht="13">
      <c r="C44" s="34" t="s">
        <v>1162</v>
      </c>
    </row>
    <row r="45" spans="1:7" ht="14.5">
      <c r="D45" s="125" t="s">
        <v>1094</v>
      </c>
      <c r="E45" s="125" t="s">
        <v>799</v>
      </c>
    </row>
    <row r="46" spans="1:7" ht="13">
      <c r="D46" s="3" t="s">
        <v>79</v>
      </c>
      <c r="E46" s="3" t="s">
        <v>79</v>
      </c>
    </row>
    <row r="47" spans="1:7" ht="13">
      <c r="A47" s="2">
        <f>A42+1</f>
        <v>26</v>
      </c>
      <c r="C47" s="249" t="s">
        <v>303</v>
      </c>
      <c r="D47" s="6">
        <f>D9</f>
        <v>4598499.51</v>
      </c>
      <c r="E47" s="6">
        <f>E9</f>
        <v>2302498.6176923076</v>
      </c>
      <c r="F47" s="12" t="str">
        <f>"Line "&amp;A9&amp;""</f>
        <v>Line 1</v>
      </c>
    </row>
    <row r="48" spans="1:7" ht="13">
      <c r="A48" s="2">
        <f>A47+1</f>
        <v>27</v>
      </c>
      <c r="C48" s="249" t="s">
        <v>2381</v>
      </c>
      <c r="D48" s="26">
        <f>'15-IncentiveAdder'!E26</f>
        <v>1.2500000000000001E-2</v>
      </c>
      <c r="E48" s="26">
        <f>'15-IncentiveAdder'!E26</f>
        <v>1.2500000000000001E-2</v>
      </c>
      <c r="F48" s="12" t="str">
        <f>"15-IncentiveAdder, Line "&amp;'15-IncentiveAdder'!A26&amp;""</f>
        <v>15-IncentiveAdder, Line 5</v>
      </c>
    </row>
    <row r="49" spans="1:6" ht="13">
      <c r="A49" s="2">
        <f>A48+1</f>
        <v>28</v>
      </c>
      <c r="C49" s="249" t="s">
        <v>2382</v>
      </c>
      <c r="D49" s="6">
        <f>(D47/1000000)*($D$42*(D48/0.01))</f>
        <v>37913.018202277533</v>
      </c>
      <c r="E49" s="6">
        <f>(E47/1000000)*($D$42*(E48/0.01))</f>
        <v>18983.294836381814</v>
      </c>
      <c r="F49" s="250" t="str">
        <f>"Formula on Line "&amp;A58&amp;""</f>
        <v>Formula on Line 33</v>
      </c>
    </row>
    <row r="50" spans="1:6">
      <c r="C50" s="197"/>
    </row>
    <row r="51" spans="1:6" ht="13">
      <c r="C51" s="34" t="s">
        <v>2383</v>
      </c>
      <c r="E51" s="3"/>
      <c r="F51" s="3"/>
    </row>
    <row r="52" spans="1:6" ht="14.5">
      <c r="D52" s="125" t="s">
        <v>1094</v>
      </c>
      <c r="E52" s="125" t="s">
        <v>799</v>
      </c>
    </row>
    <row r="53" spans="1:6" ht="13">
      <c r="D53" s="3" t="s">
        <v>79</v>
      </c>
      <c r="E53" s="3" t="s">
        <v>79</v>
      </c>
    </row>
    <row r="54" spans="1:6" ht="13">
      <c r="A54" s="2">
        <f>A49+1</f>
        <v>29</v>
      </c>
      <c r="C54" s="249" t="s">
        <v>306</v>
      </c>
      <c r="D54" s="6">
        <f>D10</f>
        <v>0</v>
      </c>
      <c r="E54" s="6">
        <f>E10</f>
        <v>0</v>
      </c>
      <c r="F54" s="12" t="str">
        <f>"Line "&amp;A10&amp;""</f>
        <v>Line 2</v>
      </c>
    </row>
    <row r="55" spans="1:6" ht="13">
      <c r="A55" s="2">
        <f>A54+1</f>
        <v>30</v>
      </c>
      <c r="C55" s="249" t="s">
        <v>2381</v>
      </c>
      <c r="D55" s="26">
        <f>'15-IncentiveAdder'!E27</f>
        <v>0.01</v>
      </c>
      <c r="E55" s="26">
        <f>'15-IncentiveAdder'!E27</f>
        <v>0.01</v>
      </c>
      <c r="F55" s="12" t="str">
        <f>"15-IncentiveAdder, Line "&amp;'15-IncentiveAdder'!A27&amp;""</f>
        <v>15-IncentiveAdder, Line 6</v>
      </c>
    </row>
    <row r="56" spans="1:6" ht="13">
      <c r="A56" s="2">
        <f>A55+1</f>
        <v>31</v>
      </c>
      <c r="C56" s="249" t="s">
        <v>2382</v>
      </c>
      <c r="D56" s="6">
        <f>(D54/1000000)*($D$42*(D55/0.01))</f>
        <v>0</v>
      </c>
      <c r="E56" s="6">
        <f>(E54/1000000)*($D$42*(E55/0.01))</f>
        <v>0</v>
      </c>
      <c r="F56" s="250" t="str">
        <f>"Formula on Line "&amp;A58&amp;""</f>
        <v>Formula on Line 33</v>
      </c>
    </row>
    <row r="57" spans="1:6" ht="13">
      <c r="A57" s="2">
        <f>A56+1</f>
        <v>32</v>
      </c>
      <c r="D57" s="295"/>
      <c r="E57" s="6"/>
      <c r="F57" s="250"/>
    </row>
    <row r="58" spans="1:6" ht="13">
      <c r="A58" s="2">
        <f>A57+1</f>
        <v>33</v>
      </c>
      <c r="C58" s="295" t="s">
        <v>2384</v>
      </c>
      <c r="D58" s="6"/>
      <c r="E58" s="250"/>
    </row>
    <row r="60" spans="1:6" ht="13">
      <c r="C60" s="1" t="s">
        <v>2385</v>
      </c>
    </row>
    <row r="61" spans="1:6" ht="13">
      <c r="C61" s="1"/>
    </row>
    <row r="62" spans="1:6" ht="14.5">
      <c r="C62" s="1"/>
      <c r="E62" s="125" t="s">
        <v>366</v>
      </c>
    </row>
    <row r="63" spans="1:6" ht="14.5">
      <c r="C63" s="1"/>
      <c r="D63" s="125" t="s">
        <v>2386</v>
      </c>
      <c r="E63" s="125" t="s">
        <v>373</v>
      </c>
    </row>
    <row r="64" spans="1:6" ht="13">
      <c r="D64" s="3" t="s">
        <v>79</v>
      </c>
      <c r="E64" s="3" t="s">
        <v>79</v>
      </c>
      <c r="F64" s="3" t="s">
        <v>652</v>
      </c>
    </row>
    <row r="65" spans="1:9" ht="13">
      <c r="A65" s="2">
        <f>A58+1</f>
        <v>34</v>
      </c>
      <c r="C65" s="249" t="s">
        <v>2387</v>
      </c>
      <c r="D65" s="6">
        <f>D27</f>
        <v>32412625.883224692</v>
      </c>
      <c r="E65" s="6">
        <f>E27</f>
        <v>45557570.267993622</v>
      </c>
      <c r="F65" s="12" t="str">
        <f>"Line "&amp;A27&amp;""</f>
        <v>Line 16</v>
      </c>
    </row>
    <row r="66" spans="1:9" ht="13">
      <c r="A66" s="2">
        <f>A65+1</f>
        <v>35</v>
      </c>
      <c r="C66" s="249" t="s">
        <v>187</v>
      </c>
      <c r="D66" s="6">
        <f>D35</f>
        <v>9204150.2683526073</v>
      </c>
      <c r="E66" s="6">
        <f>E35</f>
        <v>12936894.53357948</v>
      </c>
      <c r="F66" s="12" t="str">
        <f>"Line "&amp;A35&amp;""</f>
        <v>Line 20</v>
      </c>
    </row>
    <row r="67" spans="1:9" ht="13">
      <c r="A67" s="2">
        <f>A66+1</f>
        <v>36</v>
      </c>
      <c r="C67" s="249" t="s">
        <v>2388</v>
      </c>
      <c r="D67" s="6">
        <f>D49</f>
        <v>37913.018202277533</v>
      </c>
      <c r="E67" s="6">
        <f>E49</f>
        <v>18983.294836381814</v>
      </c>
      <c r="F67" s="12" t="str">
        <f>"Line "&amp;A49&amp;""</f>
        <v>Line 28</v>
      </c>
    </row>
    <row r="68" spans="1:9" ht="13">
      <c r="A68" s="2">
        <f>A67+1</f>
        <v>37</v>
      </c>
      <c r="C68" s="249" t="s">
        <v>2389</v>
      </c>
      <c r="D68" s="253">
        <f>D56</f>
        <v>0</v>
      </c>
      <c r="E68" s="119">
        <f>E56</f>
        <v>0</v>
      </c>
      <c r="F68" s="12" t="str">
        <f>"Line "&amp;A56&amp;""</f>
        <v>Line 31</v>
      </c>
    </row>
    <row r="69" spans="1:9" ht="13">
      <c r="A69" s="2">
        <f t="shared" ref="A69:A70" si="2">A68+1</f>
        <v>38</v>
      </c>
      <c r="C69" s="249" t="s">
        <v>2390</v>
      </c>
      <c r="D69" s="53">
        <f>SUM(D65:D68)*('28-FFU'!D22+'28-FFU'!E22)</f>
        <v>805361.71180321416</v>
      </c>
      <c r="E69" s="53">
        <f>SUM(E65:E68)*('28-FFU'!D22)</f>
        <v>547953.96158999507</v>
      </c>
      <c r="F69" s="250" t="s">
        <v>144</v>
      </c>
    </row>
    <row r="70" spans="1:9" ht="13">
      <c r="A70" s="2">
        <f t="shared" si="2"/>
        <v>39</v>
      </c>
      <c r="C70" s="249" t="s">
        <v>409</v>
      </c>
      <c r="D70" s="6">
        <f>SUM(D65:D69)</f>
        <v>42460050.881582789</v>
      </c>
      <c r="E70" s="6">
        <f>SUM(E65:E69)</f>
        <v>59061402.057999469</v>
      </c>
      <c r="F70" s="250" t="str">
        <f>"Sum Lines "&amp;A65&amp;" to "&amp;A69&amp;""</f>
        <v>Sum Lines 34 to 38</v>
      </c>
    </row>
    <row r="71" spans="1:9" ht="13">
      <c r="A71" s="2"/>
      <c r="D71" s="249"/>
      <c r="E71" s="6"/>
      <c r="F71" s="250"/>
    </row>
    <row r="72" spans="1:9" ht="12.75" customHeight="1">
      <c r="A72" s="2"/>
      <c r="C72" s="195" t="s">
        <v>2391</v>
      </c>
      <c r="D72" s="249"/>
      <c r="E72" s="6"/>
      <c r="F72" s="250"/>
    </row>
    <row r="73" spans="1:9" ht="13">
      <c r="A73" s="2"/>
      <c r="D73" s="249"/>
      <c r="E73" s="6"/>
      <c r="F73" s="250"/>
    </row>
    <row r="74" spans="1:9" ht="12.75" customHeight="1">
      <c r="A74" s="2"/>
      <c r="C74" s="195" t="s">
        <v>2392</v>
      </c>
      <c r="D74" s="249"/>
      <c r="E74" s="6"/>
      <c r="F74" s="250"/>
    </row>
    <row r="75" spans="1:9" ht="14.5">
      <c r="A75" s="2"/>
      <c r="C75" s="195"/>
      <c r="D75" s="48" t="s">
        <v>336</v>
      </c>
      <c r="E75" s="48" t="s">
        <v>337</v>
      </c>
      <c r="F75" s="48" t="s">
        <v>338</v>
      </c>
      <c r="G75" s="48" t="s">
        <v>339</v>
      </c>
      <c r="H75" s="48" t="s">
        <v>340</v>
      </c>
    </row>
    <row r="76" spans="1:9" ht="14.5">
      <c r="A76" s="2"/>
      <c r="C76" s="195"/>
      <c r="D76" s="2" t="s">
        <v>2393</v>
      </c>
      <c r="E76" s="248" t="s">
        <v>2394</v>
      </c>
      <c r="F76" s="2"/>
      <c r="H76" s="257" t="s">
        <v>2395</v>
      </c>
    </row>
    <row r="77" spans="1:9" ht="14.5">
      <c r="A77" s="2"/>
      <c r="C77" s="3" t="s">
        <v>1076</v>
      </c>
      <c r="D77" s="3" t="s">
        <v>2396</v>
      </c>
      <c r="E77" s="214" t="s">
        <v>2397</v>
      </c>
      <c r="F77" s="3" t="s">
        <v>1279</v>
      </c>
      <c r="G77" s="3" t="s">
        <v>2398</v>
      </c>
      <c r="H77" s="3" t="s">
        <v>249</v>
      </c>
      <c r="I77" s="3" t="s">
        <v>652</v>
      </c>
    </row>
    <row r="78" spans="1:9" ht="13">
      <c r="A78" s="2">
        <f>A70+1</f>
        <v>40</v>
      </c>
      <c r="C78" s="249" t="s">
        <v>2362</v>
      </c>
      <c r="D78" s="253">
        <f t="shared" ref="D78:D88" si="3">$D$27*(D9/$D$21)</f>
        <v>325762.63259002031</v>
      </c>
      <c r="E78" s="253">
        <f t="shared" ref="E78:E87" si="4">$D$35*(D9/$D$21)</f>
        <v>92506.180553686863</v>
      </c>
      <c r="F78" s="253">
        <f>D49</f>
        <v>37913.018202277533</v>
      </c>
      <c r="G78" s="6">
        <f>(D78+E78+F78)*('28-FFU'!$D$22+'28-FFU'!$E$22)</f>
        <v>8819.9285100624238</v>
      </c>
      <c r="H78" s="6">
        <f>SUM(D78:G78)</f>
        <v>465001.75985604711</v>
      </c>
      <c r="I78" s="250" t="s">
        <v>165</v>
      </c>
    </row>
    <row r="79" spans="1:9" ht="13">
      <c r="A79" s="2">
        <f t="shared" ref="A79:A90" si="5">A78+1</f>
        <v>41</v>
      </c>
      <c r="C79" s="249" t="s">
        <v>2363</v>
      </c>
      <c r="D79" s="253">
        <f t="shared" si="3"/>
        <v>0</v>
      </c>
      <c r="E79" s="253">
        <f t="shared" si="4"/>
        <v>0</v>
      </c>
      <c r="F79" s="253">
        <f>D56</f>
        <v>0</v>
      </c>
      <c r="G79" s="6">
        <f>(D79+E79+F79)*('28-FFU'!$D$22+'28-FFU'!$E$22)</f>
        <v>0</v>
      </c>
      <c r="H79" s="6">
        <f t="shared" ref="H79:H87" si="6">SUM(D79:G79)</f>
        <v>0</v>
      </c>
      <c r="I79" s="250" t="s">
        <v>165</v>
      </c>
    </row>
    <row r="80" spans="1:9" ht="13">
      <c r="A80" s="2">
        <f t="shared" si="5"/>
        <v>42</v>
      </c>
      <c r="C80" s="249" t="s">
        <v>2364</v>
      </c>
      <c r="D80" s="253">
        <f t="shared" si="3"/>
        <v>429721.86605667928</v>
      </c>
      <c r="E80" s="253">
        <f t="shared" si="4"/>
        <v>122027.28168437637</v>
      </c>
      <c r="F80" s="253">
        <v>0</v>
      </c>
      <c r="G80" s="6">
        <f>(D80+E80+F80)*('28-FFU'!$D$22+'28-FFU'!$E$22)</f>
        <v>10667.649836481844</v>
      </c>
      <c r="H80" s="6">
        <f t="shared" si="6"/>
        <v>562416.7975775376</v>
      </c>
      <c r="I80" s="250" t="s">
        <v>165</v>
      </c>
    </row>
    <row r="81" spans="1:9" ht="13">
      <c r="A81" s="2">
        <f t="shared" si="5"/>
        <v>43</v>
      </c>
      <c r="C81" s="249" t="s">
        <v>2365</v>
      </c>
      <c r="D81" s="253">
        <f t="shared" si="3"/>
        <v>26293.610833109291</v>
      </c>
      <c r="E81" s="253">
        <f t="shared" si="4"/>
        <v>7466.5454775996868</v>
      </c>
      <c r="F81" s="253">
        <v>0</v>
      </c>
      <c r="G81" s="6">
        <f>(D81+E81+F81)*('28-FFU'!$D$22+'28-FFU'!$E$22)</f>
        <v>652.72692748508962</v>
      </c>
      <c r="H81" s="6">
        <f t="shared" si="6"/>
        <v>34412.883238194067</v>
      </c>
      <c r="I81" s="250" t="s">
        <v>165</v>
      </c>
    </row>
    <row r="82" spans="1:9" ht="13">
      <c r="A82" s="2">
        <f t="shared" si="5"/>
        <v>44</v>
      </c>
      <c r="C82" s="249" t="s">
        <v>2366</v>
      </c>
      <c r="D82" s="253">
        <f t="shared" si="3"/>
        <v>0</v>
      </c>
      <c r="E82" s="253">
        <f t="shared" si="4"/>
        <v>0</v>
      </c>
      <c r="F82" s="253">
        <v>0</v>
      </c>
      <c r="G82" s="6">
        <f>(D82+E82+F82)*('28-FFU'!$D$22+'28-FFU'!$E$22)</f>
        <v>0</v>
      </c>
      <c r="H82" s="6">
        <f t="shared" si="6"/>
        <v>0</v>
      </c>
      <c r="I82" s="250" t="s">
        <v>165</v>
      </c>
    </row>
    <row r="83" spans="1:9" ht="13">
      <c r="A83" s="2">
        <f t="shared" si="5"/>
        <v>45</v>
      </c>
      <c r="C83" s="249" t="s">
        <v>2367</v>
      </c>
      <c r="D83" s="253">
        <f t="shared" si="3"/>
        <v>0</v>
      </c>
      <c r="E83" s="253">
        <f t="shared" si="4"/>
        <v>0</v>
      </c>
      <c r="F83" s="253">
        <v>0</v>
      </c>
      <c r="G83" s="6">
        <f>(D83+E83+F83)*('28-FFU'!$D$22+'28-FFU'!$E$22)</f>
        <v>0</v>
      </c>
      <c r="H83" s="6">
        <f t="shared" si="6"/>
        <v>0</v>
      </c>
      <c r="I83" s="250" t="s">
        <v>165</v>
      </c>
    </row>
    <row r="84" spans="1:9" ht="13">
      <c r="A84" s="2">
        <f t="shared" si="5"/>
        <v>46</v>
      </c>
      <c r="C84" s="249" t="s">
        <v>2368</v>
      </c>
      <c r="D84" s="253">
        <f t="shared" si="3"/>
        <v>0</v>
      </c>
      <c r="E84" s="253">
        <f t="shared" si="4"/>
        <v>0</v>
      </c>
      <c r="F84" s="253">
        <v>0</v>
      </c>
      <c r="G84" s="6">
        <f>(D84+E84+F84)*('28-FFU'!$D$22+'28-FFU'!$E$22)</f>
        <v>0</v>
      </c>
      <c r="H84" s="6">
        <f t="shared" si="6"/>
        <v>0</v>
      </c>
      <c r="I84" s="250" t="s">
        <v>165</v>
      </c>
    </row>
    <row r="85" spans="1:9" ht="13">
      <c r="A85" s="2">
        <f t="shared" si="5"/>
        <v>47</v>
      </c>
      <c r="C85" s="249" t="s">
        <v>2369</v>
      </c>
      <c r="D85" s="253">
        <f t="shared" si="3"/>
        <v>14269943.252922116</v>
      </c>
      <c r="E85" s="253">
        <f t="shared" si="4"/>
        <v>4052208.003571121</v>
      </c>
      <c r="F85" s="253">
        <v>0</v>
      </c>
      <c r="G85" s="6">
        <f>(D85+E85+F85)*('28-FFU'!$D$22+'28-FFU'!$E$22)</f>
        <v>354244.84959432209</v>
      </c>
      <c r="H85" s="6">
        <f t="shared" si="6"/>
        <v>18676396.106087558</v>
      </c>
      <c r="I85" s="250" t="s">
        <v>165</v>
      </c>
    </row>
    <row r="86" spans="1:9" ht="13">
      <c r="A86" s="2">
        <f t="shared" si="5"/>
        <v>48</v>
      </c>
      <c r="C86" s="249" t="s">
        <v>2370</v>
      </c>
      <c r="D86" s="253">
        <f t="shared" si="3"/>
        <v>1793279.059770782</v>
      </c>
      <c r="E86" s="253">
        <f t="shared" si="4"/>
        <v>509233.96329215367</v>
      </c>
      <c r="F86" s="253">
        <v>0</v>
      </c>
      <c r="G86" s="6">
        <f>(D86+E86+F86)*('28-FFU'!$D$22+'28-FFU'!$E$22)</f>
        <v>44517.336863204633</v>
      </c>
      <c r="H86" s="6">
        <f t="shared" si="6"/>
        <v>2347030.3599261404</v>
      </c>
      <c r="I86" s="250" t="s">
        <v>165</v>
      </c>
    </row>
    <row r="87" spans="1:9" ht="13">
      <c r="A87" s="2">
        <f t="shared" si="5"/>
        <v>49</v>
      </c>
      <c r="C87" s="249" t="s">
        <v>2371</v>
      </c>
      <c r="D87" s="253">
        <f t="shared" si="3"/>
        <v>13437341.578966971</v>
      </c>
      <c r="E87" s="253">
        <f t="shared" si="4"/>
        <v>3815775.727199113</v>
      </c>
      <c r="F87" s="253">
        <v>0</v>
      </c>
      <c r="G87" s="6">
        <f>(D87+E87+F87)*('28-FFU'!$D$22+'28-FFU'!$E$22)</f>
        <v>333575.89180419041</v>
      </c>
      <c r="H87" s="6">
        <f t="shared" si="6"/>
        <v>17586693.197970275</v>
      </c>
      <c r="I87" s="250" t="s">
        <v>165</v>
      </c>
    </row>
    <row r="88" spans="1:9" ht="13">
      <c r="A88" s="2">
        <f t="shared" si="5"/>
        <v>50</v>
      </c>
      <c r="C88" s="1088" t="s">
        <v>2372</v>
      </c>
      <c r="D88" s="253">
        <f t="shared" si="3"/>
        <v>2130283.8820850155</v>
      </c>
      <c r="E88" s="253">
        <f t="shared" ref="E88" si="7">$D$35*(D19/$D$21)</f>
        <v>604932.56657455699</v>
      </c>
      <c r="F88" s="253">
        <v>0</v>
      </c>
      <c r="G88" s="6">
        <f>(D88+E88+F88)*('28-FFU'!$D$22+'28-FFU'!$E$22)</f>
        <v>52883.328267467623</v>
      </c>
      <c r="H88" s="6">
        <f t="shared" ref="H88" si="8">SUM(D88:G88)</f>
        <v>2788099.7769270404</v>
      </c>
      <c r="I88" s="250" t="s">
        <v>165</v>
      </c>
    </row>
    <row r="89" spans="1:9" ht="13">
      <c r="A89" s="2">
        <f t="shared" si="5"/>
        <v>51</v>
      </c>
      <c r="C89" s="870"/>
      <c r="D89" s="353" t="s">
        <v>380</v>
      </c>
      <c r="E89" s="353" t="s">
        <v>380</v>
      </c>
      <c r="F89" s="353" t="s">
        <v>380</v>
      </c>
      <c r="G89" s="353" t="s">
        <v>380</v>
      </c>
      <c r="H89" s="353" t="s">
        <v>380</v>
      </c>
      <c r="I89" s="250" t="s">
        <v>165</v>
      </c>
    </row>
    <row r="90" spans="1:9" ht="13">
      <c r="A90" s="2">
        <f t="shared" si="5"/>
        <v>52</v>
      </c>
      <c r="C90" s="249" t="s">
        <v>431</v>
      </c>
      <c r="D90" s="279">
        <f>SUM(D78:D89)</f>
        <v>32412625.883224692</v>
      </c>
      <c r="E90" s="279">
        <f>SUM(E78:E89)</f>
        <v>9204150.2683526073</v>
      </c>
      <c r="F90" s="279">
        <f>SUM(F78:F89)</f>
        <v>37913.018202277533</v>
      </c>
      <c r="G90" s="279">
        <f>SUM(G78:G89)</f>
        <v>805361.71180321416</v>
      </c>
      <c r="H90" s="279">
        <f>SUM(H78:H89)</f>
        <v>42460050.881582797</v>
      </c>
      <c r="I90" s="250" t="str">
        <f>"Sum L "&amp;A78&amp;" to L "&amp;A89&amp;""</f>
        <v>Sum L 40 to L 51</v>
      </c>
    </row>
    <row r="91" spans="1:9" ht="13">
      <c r="A91" s="2"/>
      <c r="C91" s="249"/>
      <c r="D91" s="249"/>
      <c r="E91" s="6"/>
      <c r="F91" s="250"/>
    </row>
    <row r="92" spans="1:9" ht="14.5">
      <c r="A92" s="2"/>
      <c r="C92" s="195" t="s">
        <v>2399</v>
      </c>
      <c r="D92" s="249"/>
      <c r="E92" s="6"/>
      <c r="F92" s="250"/>
    </row>
    <row r="93" spans="1:9" ht="14.5">
      <c r="A93" s="2"/>
      <c r="C93" s="195"/>
      <c r="D93" s="48" t="s">
        <v>336</v>
      </c>
      <c r="E93" s="48" t="s">
        <v>337</v>
      </c>
      <c r="F93" s="48" t="s">
        <v>338</v>
      </c>
      <c r="G93" s="48" t="s">
        <v>339</v>
      </c>
      <c r="H93" s="48" t="s">
        <v>340</v>
      </c>
    </row>
    <row r="94" spans="1:9" ht="14.5">
      <c r="A94" s="2"/>
      <c r="C94" s="195"/>
      <c r="D94" s="2" t="s">
        <v>2393</v>
      </c>
      <c r="E94" s="248" t="s">
        <v>2394</v>
      </c>
      <c r="F94" s="2"/>
      <c r="H94" s="257" t="s">
        <v>2395</v>
      </c>
    </row>
    <row r="95" spans="1:9" ht="14.5">
      <c r="A95" s="2"/>
      <c r="C95" s="3" t="s">
        <v>1076</v>
      </c>
      <c r="D95" s="3" t="s">
        <v>2396</v>
      </c>
      <c r="E95" s="214" t="s">
        <v>2397</v>
      </c>
      <c r="F95" s="3" t="s">
        <v>1279</v>
      </c>
      <c r="G95" s="3" t="s">
        <v>2398</v>
      </c>
      <c r="H95" s="3" t="s">
        <v>249</v>
      </c>
      <c r="I95" s="3" t="s">
        <v>652</v>
      </c>
    </row>
    <row r="96" spans="1:9" ht="13">
      <c r="A96" s="2">
        <f>A90+1</f>
        <v>53</v>
      </c>
      <c r="C96" s="249" t="s">
        <v>2362</v>
      </c>
      <c r="D96" s="279">
        <f t="shared" ref="D96:D104" si="9">$E$27*(E9/$E$21)</f>
        <v>163111.46920929622</v>
      </c>
      <c r="E96" s="279">
        <f t="shared" ref="E96:E106" si="10">$E$35*(E9/$E$21)</f>
        <v>46318.446351831626</v>
      </c>
      <c r="F96" s="1011">
        <f>E49</f>
        <v>18983.294836381814</v>
      </c>
      <c r="G96" s="6">
        <f>(D96+E96+F96)*('28-FFU'!$D$22+'28-FFU'!$E$22)</f>
        <v>4416.1955782319319</v>
      </c>
      <c r="H96" s="511">
        <f>SUM(D96:G96)</f>
        <v>232829.40597574163</v>
      </c>
      <c r="I96" s="250" t="s">
        <v>184</v>
      </c>
    </row>
    <row r="97" spans="1:9" ht="13">
      <c r="A97" s="2">
        <f t="shared" ref="A97:A108" si="11">A96+1</f>
        <v>54</v>
      </c>
      <c r="C97" s="249" t="s">
        <v>2363</v>
      </c>
      <c r="D97" s="279">
        <f t="shared" si="9"/>
        <v>0</v>
      </c>
      <c r="E97" s="279">
        <f t="shared" si="10"/>
        <v>0</v>
      </c>
      <c r="F97" s="1011">
        <f>E56</f>
        <v>0</v>
      </c>
      <c r="G97" s="6">
        <f>(D97+E97+F97)*('28-FFU'!$D$22+'28-FFU'!$E$22)</f>
        <v>0</v>
      </c>
      <c r="H97" s="511">
        <f t="shared" ref="H97:H104" si="12">SUM(D97:G97)</f>
        <v>0</v>
      </c>
      <c r="I97" s="250" t="s">
        <v>184</v>
      </c>
    </row>
    <row r="98" spans="1:9" ht="13">
      <c r="A98" s="2">
        <f t="shared" si="11"/>
        <v>55</v>
      </c>
      <c r="C98" s="249" t="s">
        <v>2364</v>
      </c>
      <c r="D98" s="279">
        <f t="shared" si="9"/>
        <v>418725.58089523343</v>
      </c>
      <c r="E98" s="279">
        <f t="shared" si="10"/>
        <v>118904.68799560072</v>
      </c>
      <c r="F98" s="1011">
        <v>0</v>
      </c>
      <c r="G98" s="6">
        <f>(D98+E98+F98)*('28-FFU'!$D$22+'28-FFU'!$E$22)</f>
        <v>10394.672059761182</v>
      </c>
      <c r="H98" s="511">
        <f t="shared" si="12"/>
        <v>548024.94095059531</v>
      </c>
      <c r="I98" s="250" t="s">
        <v>184</v>
      </c>
    </row>
    <row r="99" spans="1:9" ht="13">
      <c r="A99" s="2">
        <f t="shared" si="11"/>
        <v>56</v>
      </c>
      <c r="C99" s="249" t="s">
        <v>2365</v>
      </c>
      <c r="D99" s="279">
        <f t="shared" si="9"/>
        <v>18209909.725251369</v>
      </c>
      <c r="E99" s="279">
        <f t="shared" si="10"/>
        <v>5171032.6120505659</v>
      </c>
      <c r="F99" s="1011">
        <v>0</v>
      </c>
      <c r="G99" s="6">
        <f>(D99+E99+F99)*('28-FFU'!$D$22+'28-FFU'!$E$22)</f>
        <v>452052.72490673041</v>
      </c>
      <c r="H99" s="511">
        <f t="shared" si="12"/>
        <v>23832995.062208667</v>
      </c>
      <c r="I99" s="250" t="s">
        <v>184</v>
      </c>
    </row>
    <row r="100" spans="1:9" ht="13">
      <c r="A100" s="2">
        <f t="shared" si="11"/>
        <v>57</v>
      </c>
      <c r="C100" s="249" t="s">
        <v>2366</v>
      </c>
      <c r="D100" s="279">
        <f t="shared" si="9"/>
        <v>0</v>
      </c>
      <c r="E100" s="279">
        <f t="shared" si="10"/>
        <v>0</v>
      </c>
      <c r="F100" s="1011">
        <v>0</v>
      </c>
      <c r="G100" s="6">
        <f>(D100+E100+F100)*('28-FFU'!$D$22+'28-FFU'!$E$22)</f>
        <v>0</v>
      </c>
      <c r="H100" s="511">
        <f t="shared" si="12"/>
        <v>0</v>
      </c>
      <c r="I100" s="250" t="s">
        <v>184</v>
      </c>
    </row>
    <row r="101" spans="1:9" ht="13">
      <c r="A101" s="2">
        <f t="shared" si="11"/>
        <v>58</v>
      </c>
      <c r="C101" s="249" t="s">
        <v>2367</v>
      </c>
      <c r="D101" s="279">
        <f t="shared" si="9"/>
        <v>0</v>
      </c>
      <c r="E101" s="279">
        <f t="shared" si="10"/>
        <v>0</v>
      </c>
      <c r="F101" s="1011">
        <v>0</v>
      </c>
      <c r="G101" s="6">
        <f>(D101+E101+F101)*('28-FFU'!$D$22+'28-FFU'!$E$22)</f>
        <v>0</v>
      </c>
      <c r="H101" s="511">
        <f t="shared" si="12"/>
        <v>0</v>
      </c>
      <c r="I101" s="250" t="s">
        <v>184</v>
      </c>
    </row>
    <row r="102" spans="1:9" ht="13">
      <c r="A102" s="2">
        <f t="shared" si="11"/>
        <v>59</v>
      </c>
      <c r="C102" s="249" t="s">
        <v>2368</v>
      </c>
      <c r="D102" s="279">
        <f t="shared" si="9"/>
        <v>743338.55150060798</v>
      </c>
      <c r="E102" s="279">
        <f t="shared" si="10"/>
        <v>211084.40127376924</v>
      </c>
      <c r="F102" s="1011">
        <v>0</v>
      </c>
      <c r="G102" s="6">
        <f>(D102+E102+F102)*('28-FFU'!$D$22+'28-FFU'!$E$22)</f>
        <v>18453.041382632844</v>
      </c>
      <c r="H102" s="511">
        <f t="shared" si="12"/>
        <v>972875.99415700999</v>
      </c>
      <c r="I102" s="250" t="s">
        <v>184</v>
      </c>
    </row>
    <row r="103" spans="1:9" ht="13">
      <c r="A103" s="2">
        <f t="shared" si="11"/>
        <v>60</v>
      </c>
      <c r="C103" s="249" t="s">
        <v>2369</v>
      </c>
      <c r="D103" s="279">
        <f t="shared" si="9"/>
        <v>11408523.900024721</v>
      </c>
      <c r="E103" s="279">
        <f t="shared" si="10"/>
        <v>3239656.3207878172</v>
      </c>
      <c r="F103" s="1011">
        <v>0</v>
      </c>
      <c r="G103" s="6">
        <f>(D103+E103+F103)*('28-FFU'!$D$22+'28-FFU'!$E$22)</f>
        <v>283211.41587090126</v>
      </c>
      <c r="H103" s="511">
        <f t="shared" si="12"/>
        <v>14931391.63668344</v>
      </c>
      <c r="I103" s="250" t="s">
        <v>184</v>
      </c>
    </row>
    <row r="104" spans="1:9" ht="13">
      <c r="A104" s="2">
        <f t="shared" si="11"/>
        <v>61</v>
      </c>
      <c r="C104" s="249" t="s">
        <v>2370</v>
      </c>
      <c r="D104" s="279">
        <f t="shared" si="9"/>
        <v>1728305.253102412</v>
      </c>
      <c r="E104" s="279">
        <f t="shared" si="10"/>
        <v>490783.47790916968</v>
      </c>
      <c r="F104" s="1011">
        <v>0</v>
      </c>
      <c r="G104" s="6">
        <f>(D104+E104+F104)*('28-FFU'!$D$22+'28-FFU'!$E$22)</f>
        <v>42904.391670441233</v>
      </c>
      <c r="H104" s="511">
        <f t="shared" si="12"/>
        <v>2261993.1226820229</v>
      </c>
      <c r="I104" s="250" t="s">
        <v>184</v>
      </c>
    </row>
    <row r="105" spans="1:9" ht="13">
      <c r="A105" s="2">
        <f t="shared" si="11"/>
        <v>62</v>
      </c>
      <c r="C105" s="249" t="s">
        <v>2371</v>
      </c>
      <c r="D105" s="279">
        <f t="shared" ref="D105" si="13">$E$27*(E18/$E$21)</f>
        <v>11008816.454431122</v>
      </c>
      <c r="E105" s="279">
        <f t="shared" si="10"/>
        <v>3126152.175647669</v>
      </c>
      <c r="F105" s="1011">
        <v>0</v>
      </c>
      <c r="G105" s="6">
        <f>(D105+E105+F105)*('28-FFU'!$D$22+'28-FFU'!$E$22)</f>
        <v>273288.86036830378</v>
      </c>
      <c r="H105" s="511">
        <f t="shared" ref="H105" si="14">SUM(D105:G105)</f>
        <v>14408257.490447095</v>
      </c>
      <c r="I105" s="250" t="s">
        <v>184</v>
      </c>
    </row>
    <row r="106" spans="1:9" ht="13">
      <c r="A106" s="2">
        <f t="shared" si="11"/>
        <v>63</v>
      </c>
      <c r="C106" s="1088" t="s">
        <v>2372</v>
      </c>
      <c r="D106" s="279">
        <f>$E$27*(E19/$E$21)</f>
        <v>1876839.3335788506</v>
      </c>
      <c r="E106" s="279">
        <f t="shared" si="10"/>
        <v>532962.41156305443</v>
      </c>
      <c r="F106" s="1011">
        <v>0</v>
      </c>
      <c r="G106" s="6">
        <f>(D106+E106+F106)*('28-FFU'!$D$22+'28-FFU'!$E$22)</f>
        <v>46591.682647385533</v>
      </c>
      <c r="H106" s="511">
        <f t="shared" ref="H106" si="15">SUM(D106:G106)</f>
        <v>2456393.4277892904</v>
      </c>
      <c r="I106" s="250" t="s">
        <v>184</v>
      </c>
    </row>
    <row r="107" spans="1:9" ht="13">
      <c r="A107" s="2">
        <f t="shared" si="11"/>
        <v>64</v>
      </c>
      <c r="C107" s="870"/>
      <c r="D107" s="353" t="s">
        <v>380</v>
      </c>
      <c r="E107" s="353" t="s">
        <v>380</v>
      </c>
      <c r="F107" s="353" t="s">
        <v>380</v>
      </c>
      <c r="G107" s="353" t="s">
        <v>380</v>
      </c>
      <c r="H107" s="353" t="s">
        <v>380</v>
      </c>
      <c r="I107" s="250" t="s">
        <v>184</v>
      </c>
    </row>
    <row r="108" spans="1:9" ht="13">
      <c r="A108" s="2">
        <f t="shared" si="11"/>
        <v>65</v>
      </c>
      <c r="C108" s="249" t="s">
        <v>431</v>
      </c>
      <c r="D108" s="6">
        <f>SUM(D96:D107)</f>
        <v>45557570.267993607</v>
      </c>
      <c r="E108" s="6">
        <f>SUM(E96:E107)</f>
        <v>12936894.533579476</v>
      </c>
      <c r="F108" s="6">
        <f>SUM(F96:F107)</f>
        <v>18983.294836381814</v>
      </c>
      <c r="G108" s="279">
        <f>SUM(G96:G107)</f>
        <v>1131312.9844843883</v>
      </c>
      <c r="H108" s="6">
        <f>SUM(H96:H107)</f>
        <v>59644761.080893859</v>
      </c>
      <c r="I108" s="250" t="str">
        <f>"Sum of L "&amp;A96&amp;" to "&amp;A107&amp;""</f>
        <v>Sum of L 53 to 64</v>
      </c>
    </row>
    <row r="109" spans="1:9">
      <c r="C109" s="249"/>
    </row>
    <row r="110" spans="1:9" ht="13">
      <c r="B110" s="1" t="s">
        <v>2400</v>
      </c>
    </row>
    <row r="111" spans="1:9" ht="13">
      <c r="B111" s="1"/>
    </row>
    <row r="112" spans="1:9" ht="14.5">
      <c r="B112" s="1"/>
      <c r="C112" s="195" t="s">
        <v>2401</v>
      </c>
    </row>
    <row r="113" spans="1:6" ht="13">
      <c r="E113" s="3" t="s">
        <v>102</v>
      </c>
      <c r="F113" s="3" t="s">
        <v>652</v>
      </c>
    </row>
    <row r="114" spans="1:6" ht="13">
      <c r="A114" s="2">
        <f>A108+1</f>
        <v>66</v>
      </c>
      <c r="D114" s="249" t="s">
        <v>321</v>
      </c>
      <c r="E114" s="6">
        <f>F21</f>
        <v>-318391640.21225625</v>
      </c>
      <c r="F114" s="12" t="str">
        <f>"Line "&amp;A21&amp;", Col 3"</f>
        <v>Line 13, Col 3</v>
      </c>
    </row>
    <row r="115" spans="1:6" ht="13">
      <c r="A115" s="2">
        <f>A114+1</f>
        <v>67</v>
      </c>
      <c r="D115" s="249" t="s">
        <v>299</v>
      </c>
      <c r="E115" s="199">
        <f>'2-IFPTRR'!D25</f>
        <v>9.095767265694614E-2</v>
      </c>
      <c r="F115" s="250" t="str">
        <f>"2-IFPTRR, Line "&amp;'2-IFPTRR'!A25&amp;""</f>
        <v>2-IFPTRR, Line 16</v>
      </c>
    </row>
    <row r="116" spans="1:6" ht="13">
      <c r="A116" s="2">
        <f>A115+1</f>
        <v>68</v>
      </c>
      <c r="D116" s="249" t="s">
        <v>2402</v>
      </c>
      <c r="E116" s="6">
        <f>E114*E115</f>
        <v>-28960162.587134574</v>
      </c>
      <c r="F116" s="12" t="str">
        <f>"Line "&amp;A114&amp;" * Line "&amp;A115&amp;""</f>
        <v>Line 66 * Line 67</v>
      </c>
    </row>
    <row r="117" spans="1:6" ht="13">
      <c r="A117" s="2">
        <f>A116+1</f>
        <v>69</v>
      </c>
      <c r="D117" s="249" t="s">
        <v>2390</v>
      </c>
      <c r="E117" s="53">
        <f>E116*('28-FFU'!D22+'28-FFU'!E22)</f>
        <v>-559922.70210469363</v>
      </c>
      <c r="F117" s="250" t="str">
        <f>"Line "&amp;A116&amp;" * (28-FFU, L"&amp;'28-FFU'!A22&amp;" FF Factor + U Factor)"</f>
        <v>Line 68 * (28-FFU, L5 FF Factor + U Factor)</v>
      </c>
    </row>
    <row r="118" spans="1:6" ht="13">
      <c r="A118" s="2">
        <f>A117+1</f>
        <v>70</v>
      </c>
      <c r="D118" s="249" t="s">
        <v>2403</v>
      </c>
      <c r="E118" s="6">
        <f>SUM(E116:E117)</f>
        <v>-29520085.289239269</v>
      </c>
      <c r="F118" s="12" t="str">
        <f>"Line "&amp;A116&amp;" + Line "&amp;A117&amp;""</f>
        <v>Line 68 + Line 69</v>
      </c>
    </row>
    <row r="119" spans="1:6" ht="13">
      <c r="A119" s="2"/>
      <c r="D119" s="249"/>
      <c r="E119" s="6"/>
    </row>
    <row r="120" spans="1:6" ht="14.5">
      <c r="A120" s="2"/>
      <c r="C120" s="195" t="s">
        <v>2404</v>
      </c>
      <c r="D120" s="249"/>
      <c r="E120" s="6"/>
      <c r="F120" s="12"/>
    </row>
    <row r="121" spans="1:6" ht="13">
      <c r="A121" s="2"/>
      <c r="D121" s="2" t="s">
        <v>79</v>
      </c>
      <c r="E121" s="2" t="s">
        <v>79</v>
      </c>
    </row>
    <row r="122" spans="1:6" ht="13">
      <c r="A122" s="2"/>
      <c r="C122" s="3" t="s">
        <v>1076</v>
      </c>
      <c r="D122" s="3" t="s">
        <v>2405</v>
      </c>
      <c r="E122" s="3" t="s">
        <v>2406</v>
      </c>
      <c r="F122" s="3" t="s">
        <v>652</v>
      </c>
    </row>
    <row r="123" spans="1:6" ht="13">
      <c r="A123" s="2">
        <f>A118+1</f>
        <v>71</v>
      </c>
      <c r="C123" s="249" t="s">
        <v>2362</v>
      </c>
      <c r="D123" s="279">
        <f t="shared" ref="D123:D131" si="16">$E$116*(F9/$F$21)</f>
        <v>497470.10767578206</v>
      </c>
      <c r="E123" s="279">
        <f t="shared" ref="E123:E131" si="17">$E$118*(F9/$F$21)</f>
        <v>507088.31358426268</v>
      </c>
      <c r="F123" s="250" t="s">
        <v>222</v>
      </c>
    </row>
    <row r="124" spans="1:6" ht="13">
      <c r="A124" s="2">
        <f t="shared" ref="A124:A135" si="18">A123+1</f>
        <v>72</v>
      </c>
      <c r="C124" s="249" t="s">
        <v>2363</v>
      </c>
      <c r="D124" s="279">
        <f t="shared" si="16"/>
        <v>0</v>
      </c>
      <c r="E124" s="279">
        <f t="shared" si="17"/>
        <v>0</v>
      </c>
      <c r="F124" s="250" t="s">
        <v>222</v>
      </c>
    </row>
    <row r="125" spans="1:6" ht="13">
      <c r="A125" s="2">
        <f t="shared" si="18"/>
        <v>73</v>
      </c>
      <c r="C125" s="249" t="s">
        <v>2364</v>
      </c>
      <c r="D125" s="279">
        <f t="shared" si="16"/>
        <v>210030.36193215434</v>
      </c>
      <c r="E125" s="279">
        <f t="shared" si="17"/>
        <v>214091.13912645512</v>
      </c>
      <c r="F125" s="250" t="s">
        <v>222</v>
      </c>
    </row>
    <row r="126" spans="1:6" ht="13">
      <c r="A126" s="2">
        <f t="shared" si="18"/>
        <v>74</v>
      </c>
      <c r="C126" s="249" t="s">
        <v>2365</v>
      </c>
      <c r="D126" s="279">
        <f t="shared" si="16"/>
        <v>-33760.15631070899</v>
      </c>
      <c r="E126" s="279">
        <f t="shared" si="17"/>
        <v>-34412.883238194081</v>
      </c>
      <c r="F126" s="250" t="s">
        <v>222</v>
      </c>
    </row>
    <row r="127" spans="1:6" ht="13">
      <c r="A127" s="2">
        <f t="shared" si="18"/>
        <v>75</v>
      </c>
      <c r="C127" s="249" t="s">
        <v>2366</v>
      </c>
      <c r="D127" s="279">
        <f t="shared" si="16"/>
        <v>0</v>
      </c>
      <c r="E127" s="279">
        <f t="shared" si="17"/>
        <v>0</v>
      </c>
      <c r="F127" s="250" t="s">
        <v>222</v>
      </c>
    </row>
    <row r="128" spans="1:6" ht="13">
      <c r="A128" s="2">
        <f t="shared" si="18"/>
        <v>76</v>
      </c>
      <c r="C128" s="249" t="s">
        <v>2367</v>
      </c>
      <c r="D128" s="279">
        <f t="shared" si="16"/>
        <v>0</v>
      </c>
      <c r="E128" s="279">
        <f t="shared" si="17"/>
        <v>0</v>
      </c>
      <c r="F128" s="250" t="s">
        <v>222</v>
      </c>
    </row>
    <row r="129" spans="1:8" ht="13">
      <c r="A129" s="2">
        <f t="shared" si="18"/>
        <v>77</v>
      </c>
      <c r="C129" s="249" t="s">
        <v>2368</v>
      </c>
      <c r="D129" s="279">
        <f t="shared" si="16"/>
        <v>0</v>
      </c>
      <c r="E129" s="279">
        <f t="shared" si="17"/>
        <v>0</v>
      </c>
      <c r="F129" s="250" t="s">
        <v>222</v>
      </c>
    </row>
    <row r="130" spans="1:8" ht="13">
      <c r="A130" s="2">
        <f t="shared" si="18"/>
        <v>78</v>
      </c>
      <c r="C130" s="249" t="s">
        <v>2369</v>
      </c>
      <c r="D130" s="279">
        <f t="shared" si="16"/>
        <v>-18207743.212795481</v>
      </c>
      <c r="E130" s="279">
        <f t="shared" si="17"/>
        <v>-18559776.069940627</v>
      </c>
      <c r="F130" s="250" t="s">
        <v>222</v>
      </c>
    </row>
    <row r="131" spans="1:8" ht="13">
      <c r="A131" s="2">
        <f t="shared" si="18"/>
        <v>79</v>
      </c>
      <c r="C131" s="249" t="s">
        <v>2370</v>
      </c>
      <c r="D131" s="279">
        <f t="shared" si="16"/>
        <v>120766.54537943051</v>
      </c>
      <c r="E131" s="279">
        <f t="shared" si="17"/>
        <v>123101.47461918346</v>
      </c>
      <c r="F131" s="250" t="s">
        <v>222</v>
      </c>
    </row>
    <row r="132" spans="1:8" ht="13">
      <c r="A132" s="2">
        <f t="shared" si="18"/>
        <v>80</v>
      </c>
      <c r="C132" s="249" t="s">
        <v>2371</v>
      </c>
      <c r="D132" s="279">
        <f t="shared" ref="D132" si="19">$E$116*(F18/$F$21)</f>
        <v>-12530291.103309318</v>
      </c>
      <c r="E132" s="279">
        <f t="shared" ref="E132" si="20">$E$118*(F18/$F$21)</f>
        <v>-12772554.745014155</v>
      </c>
      <c r="F132" s="250" t="s">
        <v>222</v>
      </c>
    </row>
    <row r="133" spans="1:8" ht="13">
      <c r="A133" s="2">
        <f t="shared" si="18"/>
        <v>81</v>
      </c>
      <c r="C133" s="1088" t="s">
        <v>2372</v>
      </c>
      <c r="D133" s="279">
        <f t="shared" ref="D133" si="21">$E$116*(F19/$F$21)</f>
        <v>983364.87029356882</v>
      </c>
      <c r="E133" s="279">
        <f t="shared" ref="E133" si="22">$E$118*(F19/$F$21)</f>
        <v>1002377.4816238041</v>
      </c>
      <c r="F133" s="250" t="s">
        <v>222</v>
      </c>
    </row>
    <row r="134" spans="1:8" ht="13">
      <c r="A134" s="2">
        <f t="shared" si="18"/>
        <v>82</v>
      </c>
      <c r="C134" s="870"/>
      <c r="D134" s="247" t="s">
        <v>380</v>
      </c>
      <c r="E134" s="247" t="s">
        <v>380</v>
      </c>
      <c r="F134" s="250" t="s">
        <v>222</v>
      </c>
    </row>
    <row r="135" spans="1:8" ht="13">
      <c r="A135" s="2">
        <f t="shared" si="18"/>
        <v>83</v>
      </c>
      <c r="C135" s="249" t="s">
        <v>431</v>
      </c>
      <c r="D135" s="6">
        <f>SUM(D123:D134)</f>
        <v>-28960162.587134574</v>
      </c>
      <c r="E135" s="6">
        <f>SUM(E123:E134)</f>
        <v>-29520085.289239269</v>
      </c>
      <c r="F135" s="250" t="str">
        <f>"Sum of Lines "&amp;A123&amp;" to "&amp;A134&amp;""</f>
        <v>Sum of Lines 71 to 82</v>
      </c>
    </row>
    <row r="137" spans="1:8" ht="13">
      <c r="B137" s="1" t="s">
        <v>2407</v>
      </c>
    </row>
    <row r="138" spans="1:8" ht="13">
      <c r="B138" s="1"/>
    </row>
    <row r="139" spans="1:8" ht="14.5">
      <c r="C139" s="195" t="s">
        <v>2401</v>
      </c>
    </row>
    <row r="140" spans="1:8" ht="13">
      <c r="E140" s="3" t="s">
        <v>102</v>
      </c>
      <c r="F140" s="3" t="s">
        <v>652</v>
      </c>
      <c r="H140" s="1"/>
    </row>
    <row r="141" spans="1:8" ht="13">
      <c r="A141" s="2">
        <f>A135+1</f>
        <v>84</v>
      </c>
      <c r="D141" s="249" t="s">
        <v>2408</v>
      </c>
      <c r="E141" s="6">
        <f>SUM(D65:D68)</f>
        <v>41654689.169779576</v>
      </c>
      <c r="F141" s="12" t="str">
        <f>"Sum Line "&amp;A65&amp;" to "&amp;A68&amp;""</f>
        <v>Sum Line 34 to 37</v>
      </c>
    </row>
    <row r="142" spans="1:8" ht="13">
      <c r="A142" s="2">
        <f t="shared" ref="A142:A149" si="23">A141+1</f>
        <v>85</v>
      </c>
      <c r="D142" s="249" t="s">
        <v>2409</v>
      </c>
      <c r="E142" s="6">
        <f>E116</f>
        <v>-28960162.587134574</v>
      </c>
      <c r="F142" s="12" t="str">
        <f>"Line "&amp;A116&amp;""</f>
        <v>Line 68</v>
      </c>
    </row>
    <row r="143" spans="1:8" ht="13">
      <c r="A143" s="2">
        <f t="shared" si="23"/>
        <v>86</v>
      </c>
      <c r="D143" s="249" t="s">
        <v>2410</v>
      </c>
      <c r="E143" s="6">
        <f>SUM(E141:E142)</f>
        <v>12694526.582645003</v>
      </c>
      <c r="F143" s="12" t="str">
        <f>"Line "&amp;A141&amp;" + Line "&amp;A142&amp;""</f>
        <v>Line 84 + Line 85</v>
      </c>
    </row>
    <row r="144" spans="1:8" ht="13">
      <c r="A144" s="2">
        <f t="shared" si="23"/>
        <v>87</v>
      </c>
      <c r="D144" s="249" t="s">
        <v>2411</v>
      </c>
      <c r="E144" s="7">
        <f>'28-FFU'!D22</f>
        <v>9.3645816374923023E-3</v>
      </c>
      <c r="F144" s="250" t="str">
        <f>"28-FFU, Line "&amp;'28-FFU'!A22&amp;""</f>
        <v>28-FFU, Line 5</v>
      </c>
    </row>
    <row r="145" spans="1:8" ht="13">
      <c r="A145" s="2">
        <f t="shared" si="23"/>
        <v>88</v>
      </c>
      <c r="D145" s="249" t="s">
        <v>2412</v>
      </c>
      <c r="E145" s="7">
        <f>'28-FFU'!E22</f>
        <v>9.9696572646551899E-3</v>
      </c>
      <c r="F145" s="250" t="str">
        <f>"28-FFU, Line "&amp;'28-FFU'!A22&amp;""</f>
        <v>28-FFU, Line 5</v>
      </c>
    </row>
    <row r="146" spans="1:8" ht="13">
      <c r="A146" s="2">
        <f t="shared" si="23"/>
        <v>89</v>
      </c>
      <c r="D146" s="249" t="s">
        <v>2413</v>
      </c>
      <c r="E146" s="6">
        <f>E143*E144</f>
        <v>118878.9305324953</v>
      </c>
      <c r="F146" s="12" t="str">
        <f>"Line "&amp;A143&amp;" * Line "&amp;A144&amp;""</f>
        <v>Line 86 * Line 87</v>
      </c>
    </row>
    <row r="147" spans="1:8" ht="13">
      <c r="A147" s="2">
        <f t="shared" si="23"/>
        <v>90</v>
      </c>
      <c r="D147" s="249" t="s">
        <v>2414</v>
      </c>
      <c r="E147" s="6">
        <f>E143*E145</f>
        <v>126560.07916602517</v>
      </c>
      <c r="F147" s="12" t="str">
        <f>"Line "&amp;A143&amp;" * Line "&amp;A145&amp;""</f>
        <v>Line 86 * Line 88</v>
      </c>
    </row>
    <row r="148" spans="1:8" ht="13">
      <c r="A148" s="2">
        <f t="shared" si="23"/>
        <v>91</v>
      </c>
      <c r="D148" s="249" t="s">
        <v>2415</v>
      </c>
      <c r="E148" s="6">
        <f>E143+E146+E147</f>
        <v>12939965.592343522</v>
      </c>
      <c r="F148" s="250" t="str">
        <f>"Line "&amp;A143&amp;" + Line "&amp;A146&amp;" + Line "&amp;A147&amp;""</f>
        <v>Line 86 + Line 89 + Line 90</v>
      </c>
    </row>
    <row r="149" spans="1:8" ht="13">
      <c r="A149" s="2">
        <f t="shared" si="23"/>
        <v>92</v>
      </c>
      <c r="D149" s="249" t="s">
        <v>2416</v>
      </c>
      <c r="E149" s="6">
        <f>E143+E146</f>
        <v>12813405.513177497</v>
      </c>
      <c r="F149" s="250" t="str">
        <f>"Line "&amp;A143&amp;" + Line "&amp;A146&amp;""</f>
        <v>Line 86 + Line 89</v>
      </c>
    </row>
    <row r="151" spans="1:8" ht="14.5">
      <c r="C151" s="195" t="s">
        <v>2417</v>
      </c>
    </row>
    <row r="152" spans="1:8" ht="14.5">
      <c r="C152" s="195"/>
      <c r="D152" s="48" t="s">
        <v>336</v>
      </c>
      <c r="E152" s="48" t="s">
        <v>337</v>
      </c>
      <c r="F152" s="48" t="s">
        <v>338</v>
      </c>
      <c r="G152" s="48" t="s">
        <v>339</v>
      </c>
    </row>
    <row r="153" spans="1:8" ht="12.75" customHeight="1">
      <c r="D153" s="125" t="s">
        <v>2386</v>
      </c>
      <c r="E153" s="125" t="s">
        <v>8</v>
      </c>
    </row>
    <row r="154" spans="1:8" ht="12.75" customHeight="1">
      <c r="D154" s="3" t="s">
        <v>2405</v>
      </c>
      <c r="E154" s="3" t="s">
        <v>2405</v>
      </c>
      <c r="F154" s="3" t="s">
        <v>2398</v>
      </c>
      <c r="G154" s="126" t="s">
        <v>249</v>
      </c>
      <c r="H154" s="3" t="s">
        <v>652</v>
      </c>
    </row>
    <row r="155" spans="1:8" ht="13">
      <c r="A155" s="2">
        <f>A149+1</f>
        <v>93</v>
      </c>
      <c r="C155" s="249" t="s">
        <v>2362</v>
      </c>
      <c r="D155" s="6">
        <f t="shared" ref="D155:D163" si="24">D78+E78+F78</f>
        <v>456181.83134598471</v>
      </c>
      <c r="E155" s="6">
        <f t="shared" ref="E155:E163" si="25">D123</f>
        <v>497470.10767578206</v>
      </c>
      <c r="F155" s="6">
        <f>(D155+E155)*('28-FFU'!$D$22+'28-FFU'!$E$22)</f>
        <v>18438.134418543032</v>
      </c>
      <c r="G155" s="6">
        <f>SUM(D155:F155)</f>
        <v>972090.07344030985</v>
      </c>
      <c r="H155" s="250" t="s">
        <v>213</v>
      </c>
    </row>
    <row r="156" spans="1:8" ht="13">
      <c r="A156" s="2">
        <f t="shared" ref="A156:A167" si="26">A155+1</f>
        <v>94</v>
      </c>
      <c r="C156" s="249" t="s">
        <v>2363</v>
      </c>
      <c r="D156" s="6">
        <f t="shared" si="24"/>
        <v>0</v>
      </c>
      <c r="E156" s="6">
        <f t="shared" si="25"/>
        <v>0</v>
      </c>
      <c r="F156" s="6">
        <f>(D156+E156)*('28-FFU'!$D$22+'28-FFU'!$E$22)</f>
        <v>0</v>
      </c>
      <c r="G156" s="6">
        <f t="shared" ref="G156:G163" si="27">SUM(D156:F156)</f>
        <v>0</v>
      </c>
      <c r="H156" s="250" t="s">
        <v>213</v>
      </c>
    </row>
    <row r="157" spans="1:8" ht="13">
      <c r="A157" s="2">
        <f t="shared" si="26"/>
        <v>95</v>
      </c>
      <c r="C157" s="249" t="s">
        <v>2364</v>
      </c>
      <c r="D157" s="6">
        <f t="shared" si="24"/>
        <v>551749.1477410557</v>
      </c>
      <c r="E157" s="6">
        <f t="shared" si="25"/>
        <v>210030.36193215434</v>
      </c>
      <c r="F157" s="6">
        <f>(D157+E157)*('28-FFU'!$D$22+'28-FFU'!$E$22)</f>
        <v>14728.427030782621</v>
      </c>
      <c r="G157" s="6">
        <f t="shared" si="27"/>
        <v>776507.93670399266</v>
      </c>
      <c r="H157" s="250" t="s">
        <v>213</v>
      </c>
    </row>
    <row r="158" spans="1:8" ht="13">
      <c r="A158" s="2">
        <f t="shared" si="26"/>
        <v>96</v>
      </c>
      <c r="C158" s="249" t="s">
        <v>2365</v>
      </c>
      <c r="D158" s="6">
        <f t="shared" si="24"/>
        <v>33760.156310708975</v>
      </c>
      <c r="E158" s="6">
        <f t="shared" si="25"/>
        <v>-33760.15631070899</v>
      </c>
      <c r="F158" s="6">
        <f>(D158+E158)*('28-FFU'!$D$22+'28-FFU'!$E$22)</f>
        <v>-2.8135020550904289E-13</v>
      </c>
      <c r="G158" s="6">
        <f t="shared" si="27"/>
        <v>-1.4833265433875896E-11</v>
      </c>
      <c r="H158" s="250" t="s">
        <v>213</v>
      </c>
    </row>
    <row r="159" spans="1:8" ht="13">
      <c r="A159" s="2">
        <f t="shared" si="26"/>
        <v>97</v>
      </c>
      <c r="C159" s="249" t="s">
        <v>2366</v>
      </c>
      <c r="D159" s="6">
        <f t="shared" si="24"/>
        <v>0</v>
      </c>
      <c r="E159" s="6">
        <f t="shared" si="25"/>
        <v>0</v>
      </c>
      <c r="F159" s="6">
        <f>(D159+E159)*('28-FFU'!$D$22+'28-FFU'!$E$22)</f>
        <v>0</v>
      </c>
      <c r="G159" s="6">
        <f t="shared" si="27"/>
        <v>0</v>
      </c>
      <c r="H159" s="250" t="s">
        <v>213</v>
      </c>
    </row>
    <row r="160" spans="1:8" ht="13">
      <c r="A160" s="2">
        <f t="shared" si="26"/>
        <v>98</v>
      </c>
      <c r="C160" s="249" t="s">
        <v>2367</v>
      </c>
      <c r="D160" s="6">
        <f t="shared" si="24"/>
        <v>0</v>
      </c>
      <c r="E160" s="6">
        <f t="shared" si="25"/>
        <v>0</v>
      </c>
      <c r="F160" s="6">
        <f>(D160+E160)*('28-FFU'!$D$22+'28-FFU'!$E$22)</f>
        <v>0</v>
      </c>
      <c r="G160" s="6">
        <f t="shared" si="27"/>
        <v>0</v>
      </c>
      <c r="H160" s="250" t="s">
        <v>213</v>
      </c>
    </row>
    <row r="161" spans="1:8" ht="13">
      <c r="A161" s="2">
        <f t="shared" si="26"/>
        <v>99</v>
      </c>
      <c r="C161" s="249" t="s">
        <v>2368</v>
      </c>
      <c r="D161" s="6">
        <f t="shared" si="24"/>
        <v>0</v>
      </c>
      <c r="E161" s="6">
        <f t="shared" si="25"/>
        <v>0</v>
      </c>
      <c r="F161" s="6">
        <f>(D161+E161)*('28-FFU'!$D$22+'28-FFU'!$E$22)</f>
        <v>0</v>
      </c>
      <c r="G161" s="6">
        <f t="shared" si="27"/>
        <v>0</v>
      </c>
      <c r="H161" s="250" t="s">
        <v>213</v>
      </c>
    </row>
    <row r="162" spans="1:8" ht="13">
      <c r="A162" s="2">
        <f t="shared" si="26"/>
        <v>100</v>
      </c>
      <c r="C162" s="249" t="s">
        <v>2369</v>
      </c>
      <c r="D162" s="6">
        <f t="shared" si="24"/>
        <v>18322151.256493237</v>
      </c>
      <c r="E162" s="6">
        <f t="shared" si="25"/>
        <v>-18207743.212795481</v>
      </c>
      <c r="F162" s="6">
        <f>(D162+E162)*('28-FFU'!$D$22+'28-FFU'!$E$22)</f>
        <v>2211.9924491797401</v>
      </c>
      <c r="G162" s="6">
        <f t="shared" si="27"/>
        <v>116620.03614693553</v>
      </c>
      <c r="H162" s="250" t="s">
        <v>213</v>
      </c>
    </row>
    <row r="163" spans="1:8" ht="13">
      <c r="A163" s="2">
        <f t="shared" si="26"/>
        <v>101</v>
      </c>
      <c r="C163" s="249" t="s">
        <v>2370</v>
      </c>
      <c r="D163" s="6">
        <f t="shared" si="24"/>
        <v>2302513.0230629356</v>
      </c>
      <c r="E163" s="6">
        <f t="shared" si="25"/>
        <v>120766.54537943051</v>
      </c>
      <c r="F163" s="6">
        <f>(D163+E163)*('28-FFU'!$D$22+'28-FFU'!$E$22)</f>
        <v>46852.266102957583</v>
      </c>
      <c r="G163" s="6">
        <f t="shared" si="27"/>
        <v>2470131.8345453236</v>
      </c>
      <c r="H163" s="250" t="s">
        <v>213</v>
      </c>
    </row>
    <row r="164" spans="1:8" ht="13">
      <c r="A164" s="2">
        <f t="shared" si="26"/>
        <v>102</v>
      </c>
      <c r="C164" s="249" t="s">
        <v>2371</v>
      </c>
      <c r="D164" s="6">
        <f t="shared" ref="D164:D165" si="28">D87+E87+F87</f>
        <v>17253117.306166083</v>
      </c>
      <c r="E164" s="6">
        <f t="shared" ref="E164" si="29">D132</f>
        <v>-12530291.103309318</v>
      </c>
      <c r="F164" s="6">
        <f>(D164+E164)*('28-FFU'!$D$22+'28-FFU'!$E$22)</f>
        <v>91312.250099354773</v>
      </c>
      <c r="G164" s="6">
        <f t="shared" ref="G164" si="30">SUM(D164:F164)</f>
        <v>4814138.4529561186</v>
      </c>
      <c r="H164" s="250" t="s">
        <v>213</v>
      </c>
    </row>
    <row r="165" spans="1:8" ht="13">
      <c r="A165" s="2">
        <f t="shared" si="26"/>
        <v>103</v>
      </c>
      <c r="C165" s="1088" t="s">
        <v>2372</v>
      </c>
      <c r="D165" s="6">
        <f t="shared" si="28"/>
        <v>2735216.4486595728</v>
      </c>
      <c r="E165" s="6">
        <f t="shared" ref="E165" si="31">D133</f>
        <v>983364.87029356882</v>
      </c>
      <c r="F165" s="6">
        <f>(D165+E165)*('28-FFU'!$D$22+'28-FFU'!$E$22)</f>
        <v>71895.93959770276</v>
      </c>
      <c r="G165" s="6">
        <f t="shared" ref="G165" si="32">SUM(D165:F165)</f>
        <v>3790477.2585508442</v>
      </c>
      <c r="H165" s="250" t="s">
        <v>213</v>
      </c>
    </row>
    <row r="166" spans="1:8" ht="13">
      <c r="A166" s="2">
        <f t="shared" si="26"/>
        <v>104</v>
      </c>
      <c r="C166" s="870"/>
      <c r="D166" s="247" t="s">
        <v>380</v>
      </c>
      <c r="E166" s="247" t="s">
        <v>380</v>
      </c>
      <c r="F166" s="247" t="s">
        <v>380</v>
      </c>
      <c r="G166" s="247" t="s">
        <v>380</v>
      </c>
      <c r="H166" s="250" t="s">
        <v>213</v>
      </c>
    </row>
    <row r="167" spans="1:8" ht="13">
      <c r="A167" s="2">
        <f t="shared" si="26"/>
        <v>105</v>
      </c>
      <c r="C167" s="249" t="s">
        <v>431</v>
      </c>
      <c r="D167" s="6">
        <f>SUM(D155:D166)</f>
        <v>41654689.169779584</v>
      </c>
      <c r="E167" s="6">
        <f>SUM(E155:E166)</f>
        <v>-28960162.587134574</v>
      </c>
      <c r="F167" s="6">
        <f>SUM(F155:F166)</f>
        <v>245439.0096985205</v>
      </c>
      <c r="G167" s="6">
        <f>SUM(G155:G166)</f>
        <v>12939965.592343524</v>
      </c>
    </row>
    <row r="169" spans="1:8" ht="14.5">
      <c r="C169" s="195" t="s">
        <v>2418</v>
      </c>
    </row>
    <row r="170" spans="1:8" ht="14.5">
      <c r="C170" s="195"/>
    </row>
    <row r="171" spans="1:8" ht="13">
      <c r="D171" s="48" t="s">
        <v>336</v>
      </c>
      <c r="E171" s="48" t="s">
        <v>337</v>
      </c>
      <c r="F171" s="48" t="s">
        <v>338</v>
      </c>
      <c r="G171" s="48" t="s">
        <v>339</v>
      </c>
    </row>
    <row r="172" spans="1:8" ht="12.75" customHeight="1">
      <c r="D172" s="125" t="s">
        <v>2386</v>
      </c>
      <c r="E172" s="125" t="s">
        <v>8</v>
      </c>
      <c r="F172" s="48"/>
      <c r="G172" s="48"/>
    </row>
    <row r="173" spans="1:8" ht="12.75" customHeight="1">
      <c r="D173" s="3" t="s">
        <v>2405</v>
      </c>
      <c r="E173" s="3" t="s">
        <v>2405</v>
      </c>
      <c r="F173" s="3" t="s">
        <v>2419</v>
      </c>
      <c r="G173" s="126" t="s">
        <v>249</v>
      </c>
      <c r="H173" s="3" t="s">
        <v>652</v>
      </c>
    </row>
    <row r="174" spans="1:8" ht="13">
      <c r="A174" s="2">
        <f>A167+1</f>
        <v>106</v>
      </c>
      <c r="C174" s="249" t="s">
        <v>2362</v>
      </c>
      <c r="D174" s="6">
        <f t="shared" ref="D174:D182" si="33">D78+E78+F78</f>
        <v>456181.83134598471</v>
      </c>
      <c r="E174" s="6">
        <f t="shared" ref="E174:E182" si="34">D123</f>
        <v>497470.10767578206</v>
      </c>
      <c r="F174" s="6">
        <f>(D174+E174)*('28-FFU'!$D$22)</f>
        <v>8930.5514367221658</v>
      </c>
      <c r="G174" s="6">
        <f>SUM(D174:F174)</f>
        <v>962582.49045848893</v>
      </c>
      <c r="H174" s="250" t="s">
        <v>126</v>
      </c>
    </row>
    <row r="175" spans="1:8" ht="13">
      <c r="A175" s="2">
        <f t="shared" ref="A175:A186" si="35">A174+1</f>
        <v>107</v>
      </c>
      <c r="C175" s="249" t="s">
        <v>2363</v>
      </c>
      <c r="D175" s="6">
        <f t="shared" si="33"/>
        <v>0</v>
      </c>
      <c r="E175" s="6">
        <f t="shared" si="34"/>
        <v>0</v>
      </c>
      <c r="F175" s="6">
        <f>(D175+E175)*('28-FFU'!$D$22)</f>
        <v>0</v>
      </c>
      <c r="G175" s="6">
        <f t="shared" ref="G175:G182" si="36">SUM(D175:F175)</f>
        <v>0</v>
      </c>
      <c r="H175" s="250" t="s">
        <v>126</v>
      </c>
    </row>
    <row r="176" spans="1:8" ht="13">
      <c r="A176" s="2">
        <f t="shared" si="35"/>
        <v>108</v>
      </c>
      <c r="C176" s="249" t="s">
        <v>2364</v>
      </c>
      <c r="D176" s="6">
        <f t="shared" si="33"/>
        <v>551749.1477410557</v>
      </c>
      <c r="E176" s="6">
        <f t="shared" si="34"/>
        <v>210030.36193215434</v>
      </c>
      <c r="F176" s="6">
        <f>(D176+E176)*('28-FFU'!$D$22)</f>
        <v>7133.7464081036333</v>
      </c>
      <c r="G176" s="6">
        <f t="shared" si="36"/>
        <v>768913.25608131371</v>
      </c>
      <c r="H176" s="250" t="s">
        <v>126</v>
      </c>
    </row>
    <row r="177" spans="1:8" ht="13">
      <c r="A177" s="2">
        <f t="shared" si="35"/>
        <v>109</v>
      </c>
      <c r="C177" s="249" t="s">
        <v>2365</v>
      </c>
      <c r="D177" s="6">
        <f t="shared" si="33"/>
        <v>33760.156310708975</v>
      </c>
      <c r="E177" s="6">
        <f t="shared" si="34"/>
        <v>-33760.15631070899</v>
      </c>
      <c r="F177" s="6">
        <f>(D177+E177)*('28-FFU'!$D$22)</f>
        <v>-1.3627259813790882E-13</v>
      </c>
      <c r="G177" s="6">
        <f t="shared" si="36"/>
        <v>-1.4688187826504761E-11</v>
      </c>
      <c r="H177" s="250" t="s">
        <v>126</v>
      </c>
    </row>
    <row r="178" spans="1:8" ht="13">
      <c r="A178" s="2">
        <f t="shared" si="35"/>
        <v>110</v>
      </c>
      <c r="C178" s="249" t="s">
        <v>2366</v>
      </c>
      <c r="D178" s="6">
        <f t="shared" si="33"/>
        <v>0</v>
      </c>
      <c r="E178" s="6">
        <f t="shared" si="34"/>
        <v>0</v>
      </c>
      <c r="F178" s="6">
        <f>(D178+E178)*('28-FFU'!$D$22)</f>
        <v>0</v>
      </c>
      <c r="G178" s="6">
        <f t="shared" si="36"/>
        <v>0</v>
      </c>
      <c r="H178" s="250" t="s">
        <v>126</v>
      </c>
    </row>
    <row r="179" spans="1:8" ht="13">
      <c r="A179" s="2">
        <f t="shared" si="35"/>
        <v>111</v>
      </c>
      <c r="C179" s="249" t="s">
        <v>2367</v>
      </c>
      <c r="D179" s="6">
        <f t="shared" si="33"/>
        <v>0</v>
      </c>
      <c r="E179" s="6">
        <f t="shared" si="34"/>
        <v>0</v>
      </c>
      <c r="F179" s="6">
        <f>(D179+E179)*('28-FFU'!$D$22)</f>
        <v>0</v>
      </c>
      <c r="G179" s="6">
        <f t="shared" si="36"/>
        <v>0</v>
      </c>
      <c r="H179" s="250" t="s">
        <v>126</v>
      </c>
    </row>
    <row r="180" spans="1:8" ht="13">
      <c r="A180" s="2">
        <f t="shared" si="35"/>
        <v>112</v>
      </c>
      <c r="C180" s="249" t="s">
        <v>2368</v>
      </c>
      <c r="D180" s="6">
        <f t="shared" si="33"/>
        <v>0</v>
      </c>
      <c r="E180" s="6">
        <f t="shared" si="34"/>
        <v>0</v>
      </c>
      <c r="F180" s="6">
        <f>(D180+E180)*('28-FFU'!$D$22)</f>
        <v>0</v>
      </c>
      <c r="G180" s="6">
        <f t="shared" si="36"/>
        <v>0</v>
      </c>
      <c r="H180" s="250" t="s">
        <v>126</v>
      </c>
    </row>
    <row r="181" spans="1:8" ht="13">
      <c r="A181" s="2">
        <f t="shared" si="35"/>
        <v>113</v>
      </c>
      <c r="C181" s="249" t="s">
        <v>2369</v>
      </c>
      <c r="D181" s="6">
        <f t="shared" si="33"/>
        <v>18322151.256493237</v>
      </c>
      <c r="E181" s="6">
        <f t="shared" si="34"/>
        <v>-18207743.212795481</v>
      </c>
      <c r="F181" s="6">
        <f>(D181+E181)*('28-FFU'!$D$22)</f>
        <v>1071.3834651934208</v>
      </c>
      <c r="G181" s="6">
        <f t="shared" si="36"/>
        <v>115479.4271629492</v>
      </c>
      <c r="H181" s="250" t="s">
        <v>126</v>
      </c>
    </row>
    <row r="182" spans="1:8" ht="13">
      <c r="A182" s="2">
        <f t="shared" si="35"/>
        <v>114</v>
      </c>
      <c r="C182" s="249" t="s">
        <v>2370</v>
      </c>
      <c r="D182" s="6">
        <f t="shared" si="33"/>
        <v>2302513.0230629356</v>
      </c>
      <c r="E182" s="6">
        <f t="shared" si="34"/>
        <v>120766.54537943051</v>
      </c>
      <c r="F182" s="6">
        <f>(D182+E182)*('28-FFU'!$D$22)</f>
        <v>22692.999349145652</v>
      </c>
      <c r="G182" s="6">
        <f t="shared" si="36"/>
        <v>2445972.5677915118</v>
      </c>
      <c r="H182" s="250" t="s">
        <v>126</v>
      </c>
    </row>
    <row r="183" spans="1:8" ht="13">
      <c r="A183" s="2">
        <f t="shared" si="35"/>
        <v>115</v>
      </c>
      <c r="C183" s="249" t="s">
        <v>2371</v>
      </c>
      <c r="D183" s="6">
        <f t="shared" ref="D183" si="37">D87+E87+F87</f>
        <v>17253117.306166083</v>
      </c>
      <c r="E183" s="6">
        <f t="shared" ref="E183" si="38">D132</f>
        <v>-12530291.103309318</v>
      </c>
      <c r="F183" s="6">
        <f>(D183+E183)*('28-FFU'!$D$22)</f>
        <v>44227.291536339952</v>
      </c>
      <c r="G183" s="6">
        <f t="shared" ref="G183" si="39">SUM(D183:F183)</f>
        <v>4767053.4943931038</v>
      </c>
      <c r="H183" s="250" t="s">
        <v>126</v>
      </c>
    </row>
    <row r="184" spans="1:8" ht="13">
      <c r="A184" s="2">
        <f t="shared" si="35"/>
        <v>116</v>
      </c>
      <c r="C184" s="1088" t="s">
        <v>2372</v>
      </c>
      <c r="D184" s="6">
        <f t="shared" ref="D184" si="40">D88+E88+F88</f>
        <v>2735216.4486595728</v>
      </c>
      <c r="E184" s="6">
        <f t="shared" ref="E184" si="41">D133</f>
        <v>983364.87029356882</v>
      </c>
      <c r="F184" s="6">
        <f>(D184+E184)*('28-FFU'!$D$22)</f>
        <v>34822.958336990494</v>
      </c>
      <c r="G184" s="6">
        <f t="shared" ref="G184" si="42">SUM(D184:F184)</f>
        <v>3753404.2772901319</v>
      </c>
      <c r="H184" s="250" t="s">
        <v>126</v>
      </c>
    </row>
    <row r="185" spans="1:8" ht="13">
      <c r="A185" s="2">
        <f t="shared" si="35"/>
        <v>117</v>
      </c>
      <c r="C185" s="870"/>
      <c r="D185" s="247" t="s">
        <v>380</v>
      </c>
      <c r="E185" s="247" t="s">
        <v>380</v>
      </c>
      <c r="F185" s="247" t="s">
        <v>380</v>
      </c>
      <c r="G185" s="247" t="s">
        <v>380</v>
      </c>
      <c r="H185" s="250" t="s">
        <v>126</v>
      </c>
    </row>
    <row r="186" spans="1:8" ht="13">
      <c r="A186" s="2">
        <f t="shared" si="35"/>
        <v>118</v>
      </c>
      <c r="C186" s="249" t="s">
        <v>431</v>
      </c>
      <c r="D186" s="6">
        <f>SUM(D174:D185)</f>
        <v>41654689.169779584</v>
      </c>
      <c r="E186" s="6">
        <f>SUM(E174:E185)</f>
        <v>-28960162.587134574</v>
      </c>
      <c r="F186" s="6">
        <f>SUM(F174:F185)</f>
        <v>118878.93053249532</v>
      </c>
      <c r="G186" s="6">
        <f>SUM(G174:G185)</f>
        <v>12813405.513177499</v>
      </c>
    </row>
    <row r="188" spans="1:8" ht="13">
      <c r="B188" s="1" t="s">
        <v>228</v>
      </c>
    </row>
    <row r="189" spans="1:8">
      <c r="B189" s="295" t="str">
        <f>"1) (Sum Lines "&amp;A65&amp;" to "&amp;A68&amp;") * (FF + U Factors from 28-FFU) for Prior Year TRR"</f>
        <v>1) (Sum Lines 34 to 37) * (FF + U Factors from 28-FFU) for Prior Year TRR</v>
      </c>
    </row>
    <row r="190" spans="1:8">
      <c r="B190" s="250" t="str">
        <f>"(Sum Lines "&amp;A65&amp;" to "&amp;A68&amp;") * (FF Factor from 28-FFU) for True Up TRR"</f>
        <v>(Sum Lines 34 to 37) * (FF Factor from 28-FFU) for True Up TRR</v>
      </c>
    </row>
    <row r="191" spans="1:8">
      <c r="B191" s="251" t="str">
        <f>"2) Project Cost of capital is a fraction of total Cost of Capital on Line "&amp;A27&amp;" based on fraction of project CWIP Balances on Lines "&amp;A9&amp;" to "&amp;A21&amp;", Col 1."</f>
        <v>2) Project Cost of capital is a fraction of total Cost of Capital on Line 16 based on fraction of project CWIP Balances on Lines 1 to 13, Col 1.</v>
      </c>
    </row>
    <row r="192" spans="1:8">
      <c r="B192" s="250" t="str">
        <f>"Project Income Taxes is a fraction of total Income on Line "&amp;A35&amp;" based on fraction of project CWIP Balances on Lines "&amp;A9&amp;" to "&amp;A21&amp;", Col 1."</f>
        <v>Project Income Taxes is a fraction of total Income on Line 20 based on fraction of project CWIP Balances on Lines 1 to 13, Col 1.</v>
      </c>
    </row>
    <row r="193" spans="2:2">
      <c r="B193" s="12" t="str">
        <f>"ROE Adder is from Lines "&amp;A67&amp;" and "&amp;A68&amp;".  FF&amp;U Expenses are based on FF&amp;U Factors on 28-FFU."</f>
        <v>ROE Adder is from Lines 36 and 37.  FF&amp;U Expenses are based on FF&amp;U Factors on 28-FFU.</v>
      </c>
    </row>
    <row r="194" spans="2:2">
      <c r="B194" s="251" t="str">
        <f>"3) Project Cost of capital is a fraction of total Cost of Capital on Line "&amp;A27&amp;" based on fraction of project CWIP Balances on Lines "&amp;A9&amp;" to "&amp;A21&amp;", Col 2."</f>
        <v>3) Project Cost of capital is a fraction of total Cost of Capital on Line 16 based on fraction of project CWIP Balances on Lines 1 to 13, Col 2.</v>
      </c>
    </row>
    <row r="195" spans="2:2">
      <c r="B195" s="250" t="str">
        <f>"Project Income Taxes is a fraction of total Income on Line "&amp;A35&amp;" based on fraction of project CWIP Balances on Lines "&amp;A9&amp;" to "&amp;A21&amp;", Col 2."</f>
        <v>Project Income Taxes is a fraction of total Income on Line 20 based on fraction of project CWIP Balances on Lines 1 to 13, Col 2.</v>
      </c>
    </row>
    <row r="196" spans="2:2">
      <c r="B196" s="12" t="str">
        <f>"ROE Adder is from Lines "&amp;A67&amp;" and "&amp;A68&amp;".  FF&amp;U Expenses are based on FF&amp;U Factors on 28-FFU."</f>
        <v>ROE Adder is from Lines 36 and 37.  FF&amp;U Expenses are based on FF&amp;U Factors on 28-FFU.</v>
      </c>
    </row>
    <row r="197" spans="2:2">
      <c r="B197" s="251" t="str">
        <f>"4) Project contribution to total IFPTRR is based on fraction of Forecast Period CWIP Balances on Lines "&amp;A9&amp;" to "&amp;A21&amp;", Col 3."</f>
        <v>4) Project contribution to total IFPTRR is based on fraction of Forecast Period CWIP Balances on Lines 1 to 13, Col 3.</v>
      </c>
    </row>
    <row r="198" spans="2:2">
      <c r="B198" s="251" t="str">
        <f>"5) Column 1 is from Lines "&amp;A78&amp;" to "&amp;A89&amp;", Sum of Column 1-3 (no FF&amp;U)."</f>
        <v>5) Column 1 is from Lines 40 to 51, Sum of Column 1-3 (no FF&amp;U).</v>
      </c>
    </row>
    <row r="199" spans="2:2">
      <c r="B199" s="250" t="str">
        <f>"Column 2 is from Lines "&amp;A123&amp;" to "&amp;A134&amp;" (no FF&amp;U)."</f>
        <v>Column 2 is from Lines 71 to 82 (no FF&amp;U).</v>
      </c>
    </row>
    <row r="200" spans="2:2">
      <c r="B200" s="250" t="str">
        <f>"Column 3 is the product of (C1 + C2) and the sum of FF and U factors (28-FFU, L"&amp;'28-FFU'!A22&amp;")"</f>
        <v>Column 3 is the product of (C1 + C2) and the sum of FF and U factors (28-FFU, L5)</v>
      </c>
    </row>
    <row r="201" spans="2:2">
      <c r="B201" s="251" t="s">
        <v>2420</v>
      </c>
    </row>
  </sheetData>
  <phoneticPr fontId="23" type="noConversion"/>
  <pageMargins left="0.7" right="0.7" top="0.75" bottom="0.75" header="0.3" footer="0.3"/>
  <pageSetup scale="70" orientation="portrait" cellComments="asDisplayed" r:id="rId1"/>
  <headerFooter>
    <oddHeader>&amp;CSchedule 24
CWIP TRR
&amp;RTO2023 Draft Annual Update 
Attachment 1</oddHeader>
    <oddFooter>&amp;R&amp;A</oddFooter>
  </headerFooter>
  <rowBreaks count="2" manualBreakCount="2">
    <brk id="71" max="16383" man="1"/>
    <brk id="136"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topLeftCell="D70" zoomScaleNormal="100" workbookViewId="0">
      <selection activeCell="G69" sqref="G69"/>
    </sheetView>
  </sheetViews>
  <sheetFormatPr defaultRowHeight="12.5"/>
  <cols>
    <col min="1" max="1" width="4.54296875" customWidth="1"/>
    <col min="6" max="6" width="17.81640625" customWidth="1"/>
    <col min="7" max="7" width="23.1796875" customWidth="1"/>
    <col min="8" max="8" width="15.54296875" customWidth="1"/>
    <col min="9" max="9" width="14.54296875" customWidth="1"/>
  </cols>
  <sheetData>
    <row r="1" spans="1:12" ht="13">
      <c r="A1" s="1" t="s">
        <v>2421</v>
      </c>
      <c r="B1" s="117"/>
      <c r="C1" s="117"/>
      <c r="D1" s="117"/>
      <c r="E1" s="117"/>
      <c r="F1" s="117"/>
      <c r="G1" s="117"/>
      <c r="H1" s="117"/>
      <c r="I1" s="117"/>
      <c r="J1" s="117"/>
      <c r="K1" s="117"/>
      <c r="L1" s="117"/>
    </row>
    <row r="2" spans="1:12" ht="13">
      <c r="A2" s="1"/>
      <c r="B2" s="117"/>
      <c r="C2" s="39" t="s">
        <v>195</v>
      </c>
      <c r="D2" s="258" t="s">
        <v>2422</v>
      </c>
      <c r="E2" s="876"/>
      <c r="F2" s="210"/>
      <c r="G2" s="117"/>
      <c r="H2" s="238" t="s">
        <v>635</v>
      </c>
      <c r="I2" s="210"/>
      <c r="J2" s="117"/>
      <c r="K2" s="117"/>
      <c r="L2" s="117"/>
    </row>
    <row r="3" spans="1:12" ht="13">
      <c r="A3" s="1"/>
      <c r="B3" s="117" t="s">
        <v>2423</v>
      </c>
      <c r="C3" s="117"/>
      <c r="D3" s="117"/>
      <c r="E3" s="117"/>
      <c r="F3" s="117"/>
      <c r="G3" s="117"/>
      <c r="H3" s="117"/>
      <c r="I3" s="117"/>
      <c r="J3" s="117"/>
      <c r="K3" s="117"/>
      <c r="L3" s="117"/>
    </row>
    <row r="4" spans="1:12" ht="13">
      <c r="A4" s="1"/>
      <c r="B4" s="117" t="s">
        <v>2424</v>
      </c>
      <c r="C4" s="117"/>
      <c r="D4" s="117"/>
      <c r="E4" s="117"/>
      <c r="F4" s="117"/>
      <c r="G4" s="117"/>
      <c r="H4" s="117"/>
      <c r="I4" s="117"/>
      <c r="J4" s="117"/>
      <c r="K4" s="117"/>
      <c r="L4" s="117"/>
    </row>
    <row r="5" spans="1:12" ht="13">
      <c r="A5" s="1"/>
      <c r="B5" s="117" t="s">
        <v>2425</v>
      </c>
      <c r="C5" s="117"/>
      <c r="D5" s="117"/>
      <c r="E5" s="117"/>
      <c r="F5" s="117"/>
      <c r="G5" s="117"/>
      <c r="H5" s="117"/>
      <c r="I5" s="117"/>
      <c r="J5" s="117"/>
      <c r="K5" s="117"/>
      <c r="L5" s="117"/>
    </row>
    <row r="6" spans="1:12" ht="13">
      <c r="A6" s="1"/>
      <c r="B6" s="117"/>
      <c r="C6" s="117"/>
      <c r="D6" s="117"/>
      <c r="E6" s="117"/>
      <c r="F6" s="117"/>
      <c r="G6" s="117"/>
      <c r="H6" s="117"/>
      <c r="I6" s="117"/>
      <c r="J6" s="117"/>
      <c r="K6" s="117"/>
      <c r="L6" s="117"/>
    </row>
    <row r="7" spans="1:12" ht="13">
      <c r="A7" s="1"/>
      <c r="B7" s="117" t="s">
        <v>2426</v>
      </c>
      <c r="C7" s="117"/>
      <c r="D7" s="117"/>
      <c r="E7" s="117"/>
      <c r="F7" s="117"/>
      <c r="G7" s="117"/>
      <c r="H7" s="117"/>
      <c r="I7" s="117"/>
      <c r="J7" s="117"/>
      <c r="K7" s="117"/>
      <c r="L7" s="117"/>
    </row>
    <row r="8" spans="1:12" ht="13">
      <c r="A8" s="1"/>
      <c r="B8" s="117" t="s">
        <v>2427</v>
      </c>
      <c r="C8" s="117"/>
      <c r="D8" s="117"/>
      <c r="E8" s="117"/>
      <c r="F8" s="117"/>
      <c r="G8" s="117"/>
      <c r="H8" s="117"/>
      <c r="I8" s="117"/>
      <c r="J8" s="117"/>
      <c r="K8" s="117"/>
      <c r="L8" s="117"/>
    </row>
    <row r="9" spans="1:12" ht="13">
      <c r="A9" s="1"/>
      <c r="B9" s="117" t="s">
        <v>2428</v>
      </c>
      <c r="C9" s="117"/>
      <c r="D9" s="117"/>
      <c r="E9" s="117"/>
      <c r="F9" s="117"/>
      <c r="G9" s="117"/>
      <c r="H9" s="117"/>
      <c r="I9" s="117"/>
      <c r="J9" s="117"/>
      <c r="K9" s="117"/>
      <c r="L9" s="117"/>
    </row>
    <row r="10" spans="1:12" ht="13">
      <c r="A10" s="1"/>
      <c r="B10" s="117"/>
      <c r="C10" s="117"/>
      <c r="D10" s="117"/>
      <c r="E10" s="117"/>
      <c r="F10" s="117"/>
      <c r="G10" s="117"/>
      <c r="H10" s="120" t="s">
        <v>2429</v>
      </c>
      <c r="I10" s="117"/>
      <c r="J10" s="117"/>
      <c r="K10" s="117"/>
      <c r="L10" s="117"/>
    </row>
    <row r="11" spans="1:12" ht="14.5">
      <c r="A11" s="1"/>
      <c r="B11" s="117"/>
      <c r="C11" s="117"/>
      <c r="D11" s="117"/>
      <c r="E11" s="117"/>
      <c r="F11" s="117"/>
      <c r="G11" s="120" t="s">
        <v>123</v>
      </c>
      <c r="H11" s="125" t="s">
        <v>2430</v>
      </c>
      <c r="I11" s="120" t="s">
        <v>1097</v>
      </c>
      <c r="J11" s="117"/>
      <c r="K11" s="117"/>
      <c r="L11" s="117"/>
    </row>
    <row r="12" spans="1:12" ht="13">
      <c r="A12" s="30" t="s">
        <v>273</v>
      </c>
      <c r="B12" s="117"/>
      <c r="C12" s="117"/>
      <c r="D12" s="117"/>
      <c r="E12" s="117"/>
      <c r="F12" s="117"/>
      <c r="G12" s="193" t="s">
        <v>2431</v>
      </c>
      <c r="H12" s="193" t="s">
        <v>2431</v>
      </c>
      <c r="I12" s="193" t="s">
        <v>2432</v>
      </c>
      <c r="J12" s="117"/>
      <c r="K12" s="117"/>
      <c r="L12" s="117"/>
    </row>
    <row r="13" spans="1:12" ht="13">
      <c r="A13" s="2">
        <v>1</v>
      </c>
      <c r="B13" s="117" t="s">
        <v>2433</v>
      </c>
      <c r="C13" s="117"/>
      <c r="D13" s="117"/>
      <c r="E13" s="117"/>
      <c r="F13" s="117"/>
      <c r="G13" s="131" t="s">
        <v>1228</v>
      </c>
      <c r="H13" s="131" t="s">
        <v>1228</v>
      </c>
      <c r="I13" s="37" t="s">
        <v>940</v>
      </c>
      <c r="J13" s="117"/>
      <c r="K13" s="117"/>
      <c r="L13" s="117"/>
    </row>
    <row r="14" spans="1:12" ht="13">
      <c r="A14" s="2">
        <f>A13+1</f>
        <v>2</v>
      </c>
      <c r="B14" s="117" t="s">
        <v>2434</v>
      </c>
      <c r="C14" s="117"/>
      <c r="D14" s="117"/>
      <c r="E14" s="117"/>
      <c r="F14" s="117"/>
      <c r="G14" s="131" t="s">
        <v>1228</v>
      </c>
      <c r="H14" s="131" t="s">
        <v>1228</v>
      </c>
      <c r="I14" s="131" t="s">
        <v>1228</v>
      </c>
      <c r="J14" s="117"/>
      <c r="K14" s="117"/>
      <c r="L14" s="117"/>
    </row>
    <row r="15" spans="1:12" ht="13">
      <c r="A15" s="2">
        <f>A14+1</f>
        <v>3</v>
      </c>
      <c r="B15" s="117" t="s">
        <v>2435</v>
      </c>
      <c r="C15" s="117"/>
      <c r="D15" s="117"/>
      <c r="E15" s="117"/>
      <c r="F15" s="117"/>
      <c r="G15" s="131" t="s">
        <v>1228</v>
      </c>
      <c r="H15" s="131" t="s">
        <v>1228</v>
      </c>
      <c r="I15" s="131" t="s">
        <v>1228</v>
      </c>
      <c r="J15" s="117"/>
      <c r="K15" s="117"/>
      <c r="L15" s="117"/>
    </row>
    <row r="16" spans="1:12" ht="13">
      <c r="A16" s="2">
        <f>A15+1</f>
        <v>4</v>
      </c>
      <c r="B16" s="117" t="s">
        <v>2436</v>
      </c>
      <c r="C16" s="117"/>
      <c r="D16" s="117"/>
      <c r="E16" s="117"/>
      <c r="F16" s="117"/>
      <c r="G16" s="131" t="s">
        <v>1228</v>
      </c>
      <c r="H16" s="131" t="s">
        <v>1228</v>
      </c>
      <c r="I16" s="131" t="s">
        <v>940</v>
      </c>
      <c r="J16" s="117"/>
      <c r="K16" s="117"/>
      <c r="L16" s="117"/>
    </row>
    <row r="17" spans="1:12" ht="13">
      <c r="A17" s="2">
        <f>A16+1</f>
        <v>5</v>
      </c>
      <c r="B17" s="117" t="s">
        <v>2437</v>
      </c>
      <c r="C17" s="117"/>
      <c r="D17" s="117"/>
      <c r="E17" s="117"/>
      <c r="F17" s="117"/>
      <c r="G17" s="131" t="s">
        <v>940</v>
      </c>
      <c r="H17" s="131" t="s">
        <v>1228</v>
      </c>
      <c r="I17" s="131" t="s">
        <v>940</v>
      </c>
      <c r="J17" s="117"/>
      <c r="K17" s="117"/>
      <c r="L17" s="117"/>
    </row>
    <row r="18" spans="1:12" ht="13">
      <c r="A18" s="2">
        <f>A17+1</f>
        <v>6</v>
      </c>
      <c r="B18" s="117" t="s">
        <v>2438</v>
      </c>
      <c r="C18" s="117"/>
      <c r="D18" s="117"/>
      <c r="E18" s="117"/>
      <c r="F18" s="117"/>
      <c r="G18" s="131" t="s">
        <v>940</v>
      </c>
      <c r="H18" s="131" t="s">
        <v>1228</v>
      </c>
      <c r="I18" s="131" t="s">
        <v>940</v>
      </c>
      <c r="J18" s="117"/>
      <c r="K18" s="117"/>
      <c r="L18" s="117"/>
    </row>
    <row r="19" spans="1:12">
      <c r="A19" s="117"/>
      <c r="B19" s="117"/>
      <c r="C19" s="239"/>
      <c r="D19" s="117"/>
      <c r="E19" s="117"/>
      <c r="F19" s="117"/>
      <c r="G19" s="117"/>
      <c r="H19" s="117"/>
      <c r="I19" s="117"/>
      <c r="J19" s="117"/>
      <c r="K19" s="117"/>
      <c r="L19" s="117"/>
    </row>
    <row r="20" spans="1:12" ht="13">
      <c r="A20" s="117"/>
      <c r="B20" s="209" t="s">
        <v>2439</v>
      </c>
      <c r="C20" s="265"/>
      <c r="D20" s="117"/>
      <c r="E20" s="117"/>
      <c r="F20" s="117"/>
      <c r="G20" s="117"/>
      <c r="H20" s="117"/>
      <c r="I20" s="117"/>
      <c r="J20" s="117"/>
      <c r="K20" s="117"/>
      <c r="L20" s="117"/>
    </row>
    <row r="21" spans="1:12" ht="13">
      <c r="A21" s="117"/>
      <c r="B21" s="209"/>
      <c r="C21" s="265"/>
      <c r="D21" s="117"/>
      <c r="E21" s="117"/>
      <c r="F21" s="117"/>
      <c r="G21" s="117"/>
      <c r="H21" s="117"/>
      <c r="I21" s="117"/>
      <c r="J21" s="117"/>
      <c r="K21" s="117"/>
      <c r="L21" s="117"/>
    </row>
    <row r="22" spans="1:12" ht="13">
      <c r="A22" s="117"/>
      <c r="B22" s="240" t="s">
        <v>2440</v>
      </c>
      <c r="C22" s="503"/>
      <c r="D22" s="117"/>
      <c r="E22" s="117"/>
      <c r="F22" s="117"/>
      <c r="G22" s="117"/>
      <c r="H22" s="117"/>
      <c r="I22" s="117"/>
      <c r="J22" s="117"/>
      <c r="K22" s="117"/>
      <c r="L22" s="117"/>
    </row>
    <row r="23" spans="1:12">
      <c r="A23" s="117"/>
      <c r="B23" s="129" t="s">
        <v>2441</v>
      </c>
      <c r="C23" s="503"/>
      <c r="D23" s="117"/>
      <c r="E23" s="117"/>
      <c r="F23" s="117"/>
      <c r="G23" s="117"/>
      <c r="H23" s="117"/>
      <c r="I23" s="117"/>
      <c r="J23" s="117"/>
      <c r="K23" s="117"/>
      <c r="L23" s="117"/>
    </row>
    <row r="24" spans="1:12">
      <c r="A24" s="117"/>
      <c r="B24" s="129" t="s">
        <v>2442</v>
      </c>
      <c r="C24" s="117"/>
      <c r="D24" s="117"/>
      <c r="E24" s="117"/>
      <c r="F24" s="117"/>
      <c r="G24" s="117"/>
      <c r="H24" s="117"/>
      <c r="I24" s="117"/>
      <c r="J24" s="117"/>
      <c r="K24" s="117"/>
      <c r="L24" s="117"/>
    </row>
    <row r="25" spans="1:12" ht="13">
      <c r="A25" s="117"/>
      <c r="B25" s="117"/>
      <c r="C25" s="117"/>
      <c r="D25" s="117"/>
      <c r="E25" s="117"/>
      <c r="F25" s="117"/>
      <c r="G25" s="117"/>
      <c r="H25" s="48" t="s">
        <v>336</v>
      </c>
      <c r="I25" s="48" t="s">
        <v>337</v>
      </c>
      <c r="J25" s="117"/>
      <c r="K25" s="117"/>
      <c r="L25" s="117"/>
    </row>
    <row r="26" spans="1:12" ht="13">
      <c r="A26" s="117"/>
      <c r="B26" s="117"/>
      <c r="C26" s="117"/>
      <c r="D26" s="117"/>
      <c r="E26" s="117"/>
      <c r="F26" s="117"/>
      <c r="G26" s="117"/>
      <c r="H26" s="241" t="s">
        <v>2443</v>
      </c>
      <c r="I26" s="117"/>
      <c r="J26" s="117"/>
      <c r="K26" s="117"/>
      <c r="L26" s="117"/>
    </row>
    <row r="27" spans="1:12" ht="13">
      <c r="A27" s="117"/>
      <c r="B27" s="117"/>
      <c r="C27" s="117"/>
      <c r="D27" s="117"/>
      <c r="E27" s="117"/>
      <c r="F27" s="117"/>
      <c r="G27" s="117"/>
      <c r="H27" s="241" t="s">
        <v>2431</v>
      </c>
      <c r="I27" s="120" t="s">
        <v>620</v>
      </c>
      <c r="J27" s="117"/>
      <c r="K27" s="117"/>
      <c r="L27" s="117"/>
    </row>
    <row r="28" spans="1:12" ht="13">
      <c r="A28" s="117"/>
      <c r="B28" s="117"/>
      <c r="C28" s="117"/>
      <c r="D28" s="117"/>
      <c r="E28" s="117"/>
      <c r="F28" s="117"/>
      <c r="G28" s="19" t="s">
        <v>659</v>
      </c>
      <c r="H28" s="120" t="s">
        <v>2444</v>
      </c>
      <c r="I28" s="120" t="s">
        <v>2445</v>
      </c>
      <c r="J28" s="117"/>
      <c r="K28" s="117"/>
      <c r="L28" s="117"/>
    </row>
    <row r="29" spans="1:12" ht="14.5">
      <c r="A29" s="30"/>
      <c r="B29" s="117"/>
      <c r="C29" s="117"/>
      <c r="D29" s="117"/>
      <c r="E29" s="117"/>
      <c r="F29" s="117"/>
      <c r="G29" s="18" t="s">
        <v>652</v>
      </c>
      <c r="H29" s="242" t="s">
        <v>2446</v>
      </c>
      <c r="I29" s="126" t="s">
        <v>2430</v>
      </c>
      <c r="J29" s="193"/>
      <c r="K29" s="117"/>
      <c r="L29" s="117"/>
    </row>
    <row r="30" spans="1:12" ht="13">
      <c r="A30" s="2">
        <f>A18+1</f>
        <v>7</v>
      </c>
      <c r="B30" s="117"/>
      <c r="C30" s="117" t="s">
        <v>2447</v>
      </c>
      <c r="D30" s="117"/>
      <c r="E30" s="117"/>
      <c r="F30" s="117"/>
      <c r="G30" s="250" t="s">
        <v>2448</v>
      </c>
      <c r="H30" s="119">
        <v>31556000</v>
      </c>
      <c r="I30" s="119">
        <v>-2176300</v>
      </c>
      <c r="J30" s="117"/>
      <c r="K30" s="117"/>
      <c r="L30" s="117"/>
    </row>
    <row r="31" spans="1:12" ht="13">
      <c r="A31" s="2">
        <f>A30+1</f>
        <v>8</v>
      </c>
      <c r="B31" s="117"/>
      <c r="C31" s="117" t="s">
        <v>2449</v>
      </c>
      <c r="D31" s="117"/>
      <c r="E31" s="117"/>
      <c r="F31" s="117"/>
      <c r="G31" s="250" t="s">
        <v>2448</v>
      </c>
      <c r="H31" s="119">
        <v>-35044000</v>
      </c>
      <c r="I31" s="119">
        <v>2503000</v>
      </c>
      <c r="J31" s="117"/>
      <c r="K31" s="117"/>
      <c r="L31" s="117"/>
    </row>
    <row r="32" spans="1:12" ht="13">
      <c r="A32" s="2">
        <f>A31+1</f>
        <v>9</v>
      </c>
      <c r="B32" s="117"/>
      <c r="C32" s="117" t="s">
        <v>2450</v>
      </c>
      <c r="D32" s="117"/>
      <c r="E32" s="117"/>
      <c r="F32" s="117"/>
      <c r="G32" s="250" t="s">
        <v>2448</v>
      </c>
      <c r="H32" s="119">
        <v>-624650</v>
      </c>
      <c r="I32" s="119">
        <v>43100</v>
      </c>
      <c r="J32" s="117"/>
      <c r="K32" s="117"/>
      <c r="L32" s="117"/>
    </row>
    <row r="33" spans="1:12" ht="13">
      <c r="A33" s="2">
        <f>A32+1</f>
        <v>10</v>
      </c>
      <c r="B33" s="117"/>
      <c r="C33" s="117" t="s">
        <v>2451</v>
      </c>
      <c r="D33" s="117"/>
      <c r="E33" s="117"/>
      <c r="F33" s="117"/>
      <c r="G33" s="250" t="s">
        <v>2448</v>
      </c>
      <c r="H33" s="192">
        <v>-7410000</v>
      </c>
      <c r="I33" s="192">
        <v>511200</v>
      </c>
      <c r="J33" s="117"/>
      <c r="K33" s="117"/>
      <c r="L33" s="117"/>
    </row>
    <row r="34" spans="1:12" ht="13">
      <c r="A34" s="2">
        <f>A33+1</f>
        <v>11</v>
      </c>
      <c r="B34" s="117"/>
      <c r="C34" s="117"/>
      <c r="D34" s="117"/>
      <c r="E34" s="117"/>
      <c r="G34" s="118" t="s">
        <v>431</v>
      </c>
      <c r="H34" s="119">
        <f>SUM(H30:H33)</f>
        <v>-11522650</v>
      </c>
      <c r="I34" s="119">
        <f>SUM(I30:I33)</f>
        <v>881000</v>
      </c>
      <c r="J34" s="117"/>
      <c r="K34" s="117"/>
      <c r="L34" s="117"/>
    </row>
    <row r="35" spans="1:12" ht="13">
      <c r="A35" s="2"/>
      <c r="B35" s="117"/>
      <c r="C35" s="117"/>
      <c r="D35" s="117"/>
      <c r="E35" s="117"/>
      <c r="G35" s="118"/>
      <c r="H35" s="119"/>
      <c r="I35" s="119"/>
      <c r="J35" s="117"/>
      <c r="K35" s="117"/>
      <c r="L35" s="117"/>
    </row>
    <row r="36" spans="1:12" ht="13">
      <c r="A36" s="2"/>
      <c r="B36" s="240" t="s">
        <v>2452</v>
      </c>
      <c r="C36" s="117"/>
      <c r="D36" s="117"/>
      <c r="E36" s="117"/>
      <c r="G36" s="118"/>
      <c r="H36" s="119"/>
      <c r="I36" s="119"/>
      <c r="J36" s="117"/>
      <c r="K36" s="117"/>
      <c r="L36" s="117"/>
    </row>
    <row r="37" spans="1:12" ht="13">
      <c r="A37" s="2"/>
      <c r="B37" s="129" t="s">
        <v>2453</v>
      </c>
      <c r="C37" s="117"/>
      <c r="D37" s="117"/>
      <c r="E37" s="117"/>
      <c r="G37" s="118"/>
      <c r="H37" s="119"/>
      <c r="I37" s="119"/>
      <c r="J37" s="117"/>
      <c r="K37" s="117"/>
      <c r="L37" s="117"/>
    </row>
    <row r="38" spans="1:12" ht="13">
      <c r="A38" s="2"/>
      <c r="B38" s="129" t="s">
        <v>2454</v>
      </c>
      <c r="C38" s="117"/>
      <c r="D38" s="117"/>
      <c r="E38" s="117"/>
      <c r="G38" s="118"/>
      <c r="H38" s="119"/>
      <c r="I38" s="119"/>
      <c r="J38" s="117"/>
      <c r="K38" s="117"/>
      <c r="L38" s="117"/>
    </row>
    <row r="39" spans="1:12" ht="13">
      <c r="A39" s="120"/>
      <c r="B39" s="117"/>
      <c r="C39" s="117"/>
      <c r="D39" s="117"/>
      <c r="E39" s="117"/>
      <c r="F39" s="117"/>
      <c r="G39" s="19" t="s">
        <v>659</v>
      </c>
      <c r="H39" s="117"/>
      <c r="I39" s="117"/>
      <c r="J39" s="117"/>
      <c r="K39" s="117"/>
      <c r="L39" s="117"/>
    </row>
    <row r="40" spans="1:12" ht="13">
      <c r="A40" s="120"/>
      <c r="B40" s="243"/>
      <c r="C40" s="265"/>
      <c r="D40" s="117"/>
      <c r="E40" s="117"/>
      <c r="F40" s="117"/>
      <c r="G40" s="18" t="s">
        <v>652</v>
      </c>
      <c r="H40" s="3" t="s">
        <v>102</v>
      </c>
      <c r="I40" s="244" t="s">
        <v>2455</v>
      </c>
      <c r="J40" s="117"/>
      <c r="K40" s="117"/>
      <c r="L40" s="117"/>
    </row>
    <row r="41" spans="1:12" ht="13">
      <c r="A41" s="2">
        <f>A34+1</f>
        <v>12</v>
      </c>
      <c r="B41" s="129" t="s">
        <v>2456</v>
      </c>
      <c r="C41" s="117"/>
      <c r="D41" s="117"/>
      <c r="E41" s="117"/>
      <c r="F41" s="117"/>
      <c r="G41" s="129" t="str">
        <f>"2-IFPTRR Line "&amp;'2-IFPTRR'!A25&amp;""</f>
        <v>2-IFPTRR Line 16</v>
      </c>
      <c r="H41" s="124">
        <f>'2-IFPTRR'!D25</f>
        <v>9.095767265694614E-2</v>
      </c>
      <c r="I41" s="131">
        <v>1</v>
      </c>
      <c r="J41" s="117"/>
      <c r="K41" s="117"/>
      <c r="L41" s="117"/>
    </row>
    <row r="42" spans="1:12" ht="13">
      <c r="A42" s="2">
        <f>A41+1</f>
        <v>13</v>
      </c>
      <c r="B42" s="129" t="s">
        <v>860</v>
      </c>
      <c r="C42" s="117"/>
      <c r="D42" s="117"/>
      <c r="E42" s="117"/>
      <c r="F42" s="117"/>
      <c r="G42" s="129"/>
      <c r="H42" s="245">
        <v>2021</v>
      </c>
      <c r="I42" s="131">
        <v>2</v>
      </c>
      <c r="J42" s="117"/>
      <c r="K42" s="117"/>
      <c r="L42" s="117"/>
    </row>
    <row r="43" spans="1:12" ht="13">
      <c r="A43" s="2">
        <f>A42+1</f>
        <v>14</v>
      </c>
      <c r="B43" s="129" t="s">
        <v>2457</v>
      </c>
      <c r="C43" s="117"/>
      <c r="D43" s="117"/>
      <c r="E43" s="117"/>
      <c r="F43" s="117"/>
      <c r="G43" s="119"/>
      <c r="H43" s="119">
        <f>H34+ (I34*(H42-2010))</f>
        <v>-1831650</v>
      </c>
      <c r="I43" s="131">
        <v>3</v>
      </c>
      <c r="J43" s="117"/>
      <c r="K43" s="117"/>
      <c r="L43" s="117"/>
    </row>
    <row r="44" spans="1:12" ht="13">
      <c r="A44" s="2">
        <f>A43+1</f>
        <v>15</v>
      </c>
      <c r="B44" s="129" t="s">
        <v>2458</v>
      </c>
      <c r="C44" s="265"/>
      <c r="D44" s="117"/>
      <c r="E44" s="117"/>
      <c r="F44" s="117"/>
      <c r="G44" s="250" t="str">
        <f>"Line "&amp;A43&amp;" * Line "&amp;A41&amp;""</f>
        <v>Line 14 * Line 12</v>
      </c>
      <c r="H44" s="119">
        <f xml:space="preserve"> H43*H41</f>
        <v>-166602.62112209538</v>
      </c>
      <c r="I44" s="117"/>
      <c r="J44" s="117"/>
      <c r="K44" s="117"/>
      <c r="L44" s="117"/>
    </row>
    <row r="45" spans="1:12">
      <c r="L45" s="117"/>
    </row>
    <row r="46" spans="1:12" ht="13">
      <c r="B46" s="209" t="s">
        <v>2459</v>
      </c>
      <c r="L46" s="117"/>
    </row>
    <row r="47" spans="1:12">
      <c r="L47" s="117"/>
    </row>
    <row r="48" spans="1:12">
      <c r="B48" s="117" t="str">
        <f>"The annual Wholesale Expense Difference impact is the negative of amounts stated in Lines "&amp;A30&amp;" to "&amp;A33&amp;" above, Column 2."</f>
        <v>The annual Wholesale Expense Difference impact is the negative of amounts stated in Lines 7 to 10 above, Column 2.</v>
      </c>
      <c r="L48" s="117"/>
    </row>
    <row r="49" spans="1:12">
      <c r="B49" s="117" t="s">
        <v>2460</v>
      </c>
      <c r="L49" s="117"/>
    </row>
    <row r="50" spans="1:12">
      <c r="A50" s="117"/>
      <c r="B50" s="117" t="s">
        <v>2461</v>
      </c>
      <c r="C50" s="117"/>
      <c r="D50" s="117"/>
      <c r="E50" s="117"/>
      <c r="F50" s="117"/>
      <c r="G50" s="117"/>
      <c r="H50" s="117"/>
      <c r="I50" s="117"/>
      <c r="J50" s="117"/>
      <c r="K50" s="117"/>
      <c r="L50" s="117"/>
    </row>
    <row r="52" spans="1:12" ht="13">
      <c r="A52" s="117"/>
      <c r="B52" s="40" t="s">
        <v>2462</v>
      </c>
      <c r="C52" s="117"/>
      <c r="D52" s="117"/>
      <c r="E52" s="117"/>
      <c r="F52" s="117"/>
      <c r="G52" s="117"/>
      <c r="H52" s="117"/>
      <c r="I52" s="117"/>
      <c r="J52" s="117"/>
      <c r="K52" s="117"/>
      <c r="L52" s="117"/>
    </row>
    <row r="53" spans="1:12" ht="13">
      <c r="A53" s="117"/>
      <c r="B53" s="117"/>
      <c r="C53" s="117"/>
      <c r="D53" s="117"/>
      <c r="E53" s="117"/>
      <c r="F53" s="117"/>
      <c r="G53" s="19"/>
      <c r="H53" s="117"/>
      <c r="I53" s="117"/>
      <c r="J53" s="117"/>
      <c r="K53" s="117"/>
      <c r="L53" s="117"/>
    </row>
    <row r="54" spans="1:12" ht="13">
      <c r="B54" s="117"/>
      <c r="C54" s="117"/>
      <c r="D54" s="117"/>
      <c r="E54" s="117"/>
      <c r="F54" s="117"/>
      <c r="G54" s="18" t="s">
        <v>652</v>
      </c>
      <c r="H54" s="3" t="s">
        <v>102</v>
      </c>
      <c r="I54" s="117"/>
      <c r="J54" s="193"/>
      <c r="K54" s="117"/>
      <c r="L54" s="117"/>
    </row>
    <row r="55" spans="1:12" ht="13">
      <c r="A55" s="2">
        <f>A44+1</f>
        <v>16</v>
      </c>
      <c r="B55" s="129" t="s">
        <v>2463</v>
      </c>
      <c r="C55" s="117"/>
      <c r="D55" s="117"/>
      <c r="E55" s="117"/>
      <c r="F55" s="117"/>
      <c r="G55" s="250" t="str">
        <f>"Line "&amp;A31&amp;""</f>
        <v>Line 8</v>
      </c>
      <c r="H55" s="119">
        <f>I31</f>
        <v>2503000</v>
      </c>
      <c r="I55" s="117"/>
      <c r="J55" s="117"/>
      <c r="K55" s="117"/>
      <c r="L55" s="117"/>
    </row>
    <row r="56" spans="1:12" ht="13">
      <c r="A56" s="2">
        <f>A55+1</f>
        <v>17</v>
      </c>
      <c r="B56" s="250" t="s">
        <v>2464</v>
      </c>
      <c r="C56" s="117"/>
      <c r="D56" s="117"/>
      <c r="E56" s="117"/>
      <c r="F56" s="117"/>
      <c r="G56" s="129" t="str">
        <f>"1-BaseTRR L "&amp;'1-BaseTRR'!A104&amp;""</f>
        <v>1-BaseTRR L 59</v>
      </c>
      <c r="H56" s="207">
        <f>'1-BaseTRR'!K104</f>
        <v>0.27983599999999997</v>
      </c>
      <c r="I56" s="117"/>
      <c r="J56" s="117"/>
      <c r="K56" s="117"/>
      <c r="L56" s="117"/>
    </row>
    <row r="57" spans="1:12" ht="13">
      <c r="A57" s="2">
        <f>A56+1</f>
        <v>18</v>
      </c>
      <c r="B57" s="250" t="s">
        <v>2465</v>
      </c>
      <c r="C57" s="117"/>
      <c r="D57" s="117"/>
      <c r="E57" s="117"/>
      <c r="F57" s="117"/>
      <c r="G57" s="298" t="s">
        <v>2466</v>
      </c>
      <c r="H57" s="246">
        <f>1/(1-H56)</f>
        <v>1.3885726029071155</v>
      </c>
      <c r="I57" s="117"/>
      <c r="J57" s="117"/>
      <c r="K57" s="117"/>
      <c r="L57" s="117"/>
    </row>
    <row r="58" spans="1:12" ht="13">
      <c r="A58" s="2">
        <f>A57+1</f>
        <v>19</v>
      </c>
      <c r="B58" s="250" t="s">
        <v>2467</v>
      </c>
      <c r="C58" s="117"/>
      <c r="D58" s="117"/>
      <c r="E58" s="117"/>
      <c r="F58" s="117"/>
      <c r="G58" s="117"/>
      <c r="H58" s="117"/>
      <c r="I58" s="117"/>
      <c r="J58" s="117"/>
      <c r="K58" s="117"/>
      <c r="L58" s="117"/>
    </row>
    <row r="59" spans="1:12" ht="13">
      <c r="A59" s="2">
        <f>A58+1</f>
        <v>20</v>
      </c>
      <c r="B59" s="250" t="s">
        <v>2468</v>
      </c>
      <c r="C59" s="117"/>
      <c r="D59" s="117"/>
      <c r="E59" s="117"/>
      <c r="F59" s="117"/>
      <c r="G59" s="250" t="str">
        <f>"- Line "&amp;A55&amp;" * Line "&amp;A57&amp;""</f>
        <v>- Line 16 * Line 18</v>
      </c>
      <c r="H59" s="119">
        <f>-H57*H55</f>
        <v>-3475597.2250765101</v>
      </c>
      <c r="I59" s="117"/>
      <c r="J59" s="117"/>
      <c r="K59" s="117"/>
      <c r="L59" s="117"/>
    </row>
    <row r="61" spans="1:12" ht="13">
      <c r="B61" s="40" t="s">
        <v>2469</v>
      </c>
    </row>
    <row r="63" spans="1:12" ht="13">
      <c r="G63" s="18" t="s">
        <v>652</v>
      </c>
      <c r="H63" s="3" t="s">
        <v>102</v>
      </c>
    </row>
    <row r="64" spans="1:12" ht="13">
      <c r="A64" s="2">
        <f>A59+1</f>
        <v>21</v>
      </c>
      <c r="B64" s="129" t="s">
        <v>2470</v>
      </c>
      <c r="G64" s="250" t="str">
        <f>"Line "&amp;A32&amp;""</f>
        <v>Line 9</v>
      </c>
      <c r="H64" s="6">
        <f>I32</f>
        <v>43100</v>
      </c>
    </row>
    <row r="65" spans="1:12" ht="13">
      <c r="A65" s="2">
        <f>A64+1</f>
        <v>22</v>
      </c>
      <c r="B65" s="250" t="s">
        <v>2465</v>
      </c>
      <c r="C65" s="117"/>
      <c r="D65" s="117"/>
      <c r="E65" s="117"/>
      <c r="F65" s="117"/>
      <c r="G65" s="250" t="str">
        <f>"Line "&amp;A57&amp;""</f>
        <v>Line 18</v>
      </c>
      <c r="H65" s="246">
        <f>H57</f>
        <v>1.3885726029071155</v>
      </c>
    </row>
    <row r="66" spans="1:12" ht="13">
      <c r="A66" s="2">
        <f>A65+1</f>
        <v>23</v>
      </c>
      <c r="B66" s="129" t="s">
        <v>2471</v>
      </c>
      <c r="G66" s="250" t="str">
        <f>"- Line "&amp;A64&amp;" * Line "&amp;A65&amp;""</f>
        <v>- Line 21 * Line 22</v>
      </c>
      <c r="H66" s="6">
        <f>-H64*H65</f>
        <v>-59847.479185296681</v>
      </c>
    </row>
    <row r="67" spans="1:12" ht="13">
      <c r="A67" s="2">
        <f t="shared" ref="A67:A74" si="0">A66+1</f>
        <v>24</v>
      </c>
      <c r="B67" s="129"/>
      <c r="G67" s="250"/>
      <c r="H67" s="6"/>
    </row>
    <row r="68" spans="1:12" ht="13">
      <c r="A68" s="2">
        <f t="shared" si="0"/>
        <v>25</v>
      </c>
      <c r="B68" s="40" t="s">
        <v>2472</v>
      </c>
      <c r="G68" s="250"/>
      <c r="H68" s="6"/>
    </row>
    <row r="69" spans="1:12" ht="13">
      <c r="A69" s="2">
        <f t="shared" si="0"/>
        <v>26</v>
      </c>
      <c r="B69" s="129"/>
      <c r="G69" s="18" t="s">
        <v>652</v>
      </c>
      <c r="H69" s="6"/>
      <c r="I69" s="32" t="s">
        <v>2455</v>
      </c>
    </row>
    <row r="70" spans="1:12" ht="13">
      <c r="A70" s="2">
        <f t="shared" si="0"/>
        <v>27</v>
      </c>
      <c r="B70" s="129" t="s">
        <v>2473</v>
      </c>
      <c r="G70" s="250" t="s">
        <v>895</v>
      </c>
      <c r="H70" s="60">
        <v>341000</v>
      </c>
      <c r="I70" s="250" t="s">
        <v>213</v>
      </c>
    </row>
    <row r="71" spans="1:12" ht="13">
      <c r="A71" s="2">
        <f t="shared" si="0"/>
        <v>28</v>
      </c>
      <c r="B71" s="129" t="s">
        <v>2474</v>
      </c>
      <c r="G71" s="250" t="s">
        <v>895</v>
      </c>
      <c r="H71" s="62">
        <v>40352.54</v>
      </c>
      <c r="I71" s="12" t="s">
        <v>213</v>
      </c>
    </row>
    <row r="72" spans="1:12" ht="13">
      <c r="A72" s="2">
        <f t="shared" si="0"/>
        <v>29</v>
      </c>
      <c r="B72" s="129" t="s">
        <v>2475</v>
      </c>
      <c r="G72" s="298" t="str">
        <f>"Line "&amp;A70&amp;" + "&amp;A71&amp;""</f>
        <v>Line 27 + 28</v>
      </c>
      <c r="H72" s="253">
        <f>SUM(H70:H71)</f>
        <v>381352.54</v>
      </c>
    </row>
    <row r="73" spans="1:12" ht="13">
      <c r="A73" s="2">
        <f t="shared" si="0"/>
        <v>30</v>
      </c>
      <c r="B73" s="129" t="s">
        <v>142</v>
      </c>
      <c r="G73" s="129" t="str">
        <f>"27-Allocators, Line "&amp;'27-Allocators'!A15&amp;""</f>
        <v>27-Allocators, Line 9</v>
      </c>
      <c r="H73" s="29">
        <f>'27-Allocators'!G15</f>
        <v>6.2174818554839952E-2</v>
      </c>
    </row>
    <row r="74" spans="1:12" ht="13">
      <c r="A74" s="2">
        <f t="shared" si="0"/>
        <v>31</v>
      </c>
      <c r="B74" s="129" t="s">
        <v>2476</v>
      </c>
      <c r="G74" s="298" t="str">
        <f>"Line "&amp;A72&amp;" * "&amp;A73&amp;""</f>
        <v>Line 29 * 30</v>
      </c>
      <c r="H74" s="6">
        <f>H72*H73</f>
        <v>23710.524979927344</v>
      </c>
    </row>
    <row r="76" spans="1:12" ht="13">
      <c r="A76" s="117"/>
      <c r="B76" s="240" t="s">
        <v>2477</v>
      </c>
      <c r="C76" s="117"/>
      <c r="D76" s="117"/>
      <c r="E76" s="117"/>
      <c r="F76" s="117"/>
      <c r="G76" s="117"/>
      <c r="H76" s="117"/>
      <c r="I76" s="244" t="s">
        <v>2455</v>
      </c>
      <c r="J76" s="117"/>
      <c r="K76" s="117"/>
      <c r="L76" s="117"/>
    </row>
    <row r="77" spans="1:12" ht="13">
      <c r="A77" s="2">
        <f>A74+1</f>
        <v>32</v>
      </c>
      <c r="B77" s="239" t="s">
        <v>2478</v>
      </c>
      <c r="C77" s="117"/>
      <c r="D77" s="117"/>
      <c r="E77" s="117"/>
      <c r="F77" s="117"/>
      <c r="G77" s="129" t="str">
        <f>" - Line "&amp;A30&amp;", Col. 2"</f>
        <v xml:space="preserve"> - Line 7, Col. 2</v>
      </c>
      <c r="H77" s="119">
        <f>-I30</f>
        <v>2176300</v>
      </c>
      <c r="I77" s="117"/>
      <c r="J77" s="117"/>
      <c r="K77" s="117"/>
      <c r="L77" s="117"/>
    </row>
    <row r="78" spans="1:12" ht="13">
      <c r="A78" s="2">
        <f>A77+1</f>
        <v>33</v>
      </c>
      <c r="B78" s="239" t="s">
        <v>2449</v>
      </c>
      <c r="C78" s="117"/>
      <c r="D78" s="117"/>
      <c r="E78" s="117"/>
      <c r="F78" s="117"/>
      <c r="G78" s="129" t="str">
        <f>"Line "&amp;A59&amp;""</f>
        <v>Line 20</v>
      </c>
      <c r="H78" s="119">
        <f>H59</f>
        <v>-3475597.2250765101</v>
      </c>
      <c r="I78" s="117"/>
      <c r="J78" s="117"/>
      <c r="K78" s="117"/>
      <c r="L78" s="117"/>
    </row>
    <row r="79" spans="1:12" ht="13">
      <c r="A79" s="2">
        <f>A78+1</f>
        <v>34</v>
      </c>
      <c r="B79" s="239" t="s">
        <v>2450</v>
      </c>
      <c r="C79" s="117"/>
      <c r="D79" s="117"/>
      <c r="E79" s="117"/>
      <c r="F79" s="117"/>
      <c r="G79" s="129" t="str">
        <f>"Line "&amp;A66&amp;""</f>
        <v>Line 23</v>
      </c>
      <c r="H79" s="119">
        <f>H66</f>
        <v>-59847.479185296681</v>
      </c>
      <c r="I79" s="117"/>
      <c r="J79" s="117"/>
      <c r="K79" s="117"/>
      <c r="L79" s="117"/>
    </row>
    <row r="80" spans="1:12" ht="13">
      <c r="A80" s="2">
        <f>A79+1</f>
        <v>35</v>
      </c>
      <c r="B80" s="239" t="s">
        <v>2451</v>
      </c>
      <c r="C80" s="117"/>
      <c r="D80" s="117"/>
      <c r="E80" s="117"/>
      <c r="F80" s="117"/>
      <c r="G80" s="129" t="str">
        <f>"- Line "&amp;A33&amp;", Col. 2"</f>
        <v>- Line 10, Col. 2</v>
      </c>
      <c r="H80" s="119">
        <f>-I33</f>
        <v>-511200</v>
      </c>
      <c r="I80" s="117"/>
      <c r="J80" s="117"/>
      <c r="K80" s="117"/>
      <c r="L80" s="117"/>
    </row>
    <row r="81" spans="1:12" ht="13">
      <c r="A81" s="2">
        <f t="shared" ref="A81:A83" si="1">A80+1</f>
        <v>36</v>
      </c>
      <c r="B81" s="239" t="s">
        <v>2479</v>
      </c>
      <c r="C81" s="117"/>
      <c r="D81" s="117"/>
      <c r="E81" s="117"/>
      <c r="F81" s="117"/>
      <c r="G81" s="298" t="str">
        <f>" - Line "&amp;A74&amp;""</f>
        <v xml:space="preserve"> - Line 31</v>
      </c>
      <c r="H81" s="119">
        <f>-H74</f>
        <v>-23710.524979927344</v>
      </c>
      <c r="I81" s="117"/>
      <c r="J81" s="117"/>
      <c r="K81" s="117"/>
      <c r="L81" s="117"/>
    </row>
    <row r="82" spans="1:12" ht="13">
      <c r="A82" s="2">
        <f t="shared" si="1"/>
        <v>37</v>
      </c>
      <c r="B82" s="265" t="s">
        <v>2480</v>
      </c>
      <c r="C82" s="117"/>
      <c r="D82" s="117"/>
      <c r="E82" s="117"/>
      <c r="F82" s="117"/>
      <c r="G82" s="298"/>
      <c r="H82" s="121">
        <v>0</v>
      </c>
      <c r="I82" s="129" t="s">
        <v>126</v>
      </c>
      <c r="J82" s="117"/>
      <c r="K82" s="117"/>
      <c r="L82" s="117"/>
    </row>
    <row r="83" spans="1:12" ht="13">
      <c r="A83" s="2">
        <f t="shared" si="1"/>
        <v>38</v>
      </c>
      <c r="B83" s="117"/>
      <c r="C83" s="117"/>
      <c r="D83" s="117"/>
      <c r="E83" s="117"/>
      <c r="F83" s="117"/>
      <c r="G83" s="118" t="s">
        <v>2481</v>
      </c>
      <c r="H83" s="119">
        <f>SUM(H77:H82)</f>
        <v>-1894055.2292417341</v>
      </c>
      <c r="I83" s="117"/>
      <c r="J83" s="117"/>
      <c r="K83" s="117"/>
      <c r="L83" s="117"/>
    </row>
    <row r="84" spans="1:12">
      <c r="A84" s="117"/>
      <c r="B84" s="117"/>
      <c r="C84" s="117"/>
      <c r="D84" s="117"/>
      <c r="E84" s="117"/>
      <c r="F84" s="117"/>
      <c r="G84" s="117"/>
      <c r="H84" s="117"/>
      <c r="I84" s="117"/>
      <c r="J84" s="117"/>
      <c r="K84" s="117"/>
      <c r="L84" s="117"/>
    </row>
    <row r="85" spans="1:12" ht="13">
      <c r="A85" s="117"/>
      <c r="B85" s="524" t="s">
        <v>2482</v>
      </c>
      <c r="C85" s="117"/>
      <c r="D85" s="117"/>
      <c r="E85" s="117"/>
      <c r="F85" s="117"/>
      <c r="G85" s="117"/>
      <c r="H85" s="117"/>
      <c r="I85" s="117"/>
      <c r="J85" s="117"/>
      <c r="K85" s="117"/>
      <c r="L85" s="117"/>
    </row>
    <row r="86" spans="1:12" ht="13">
      <c r="A86" s="117"/>
      <c r="C86" s="117"/>
      <c r="D86" s="117"/>
      <c r="E86" s="117"/>
      <c r="F86" s="117"/>
      <c r="G86" s="18" t="s">
        <v>652</v>
      </c>
      <c r="H86" s="3" t="s">
        <v>102</v>
      </c>
      <c r="I86" s="117"/>
      <c r="J86" s="117"/>
      <c r="K86" s="117"/>
      <c r="L86" s="117"/>
    </row>
    <row r="87" spans="1:12" ht="13">
      <c r="A87" s="2">
        <f>A83+1</f>
        <v>39</v>
      </c>
      <c r="B87" s="504" t="s">
        <v>2458</v>
      </c>
      <c r="C87" s="117"/>
      <c r="D87" s="117"/>
      <c r="E87" s="117"/>
      <c r="F87" s="117"/>
      <c r="G87" s="129" t="str">
        <f>"Line "&amp;A44&amp;""</f>
        <v>Line 15</v>
      </c>
      <c r="H87" s="119">
        <f>H44</f>
        <v>-166602.62112209538</v>
      </c>
      <c r="I87" s="117"/>
      <c r="J87" s="117"/>
      <c r="K87" s="117"/>
      <c r="L87" s="117"/>
    </row>
    <row r="88" spans="1:12" ht="13">
      <c r="A88" s="2">
        <f>A87+1</f>
        <v>40</v>
      </c>
      <c r="B88" s="117" t="s">
        <v>2483</v>
      </c>
      <c r="C88" s="117"/>
      <c r="D88" s="117"/>
      <c r="E88" s="117"/>
      <c r="F88" s="117"/>
      <c r="G88" s="129" t="str">
        <f>"Line "&amp;A83&amp;""</f>
        <v>Line 38</v>
      </c>
      <c r="H88" s="119">
        <f>H83</f>
        <v>-1894055.2292417341</v>
      </c>
      <c r="I88" s="117"/>
      <c r="J88" s="117"/>
      <c r="K88" s="117"/>
      <c r="L88" s="117"/>
    </row>
    <row r="89" spans="1:12" ht="13">
      <c r="A89" s="2">
        <f>A88+1</f>
        <v>41</v>
      </c>
      <c r="B89" s="251" t="s">
        <v>2484</v>
      </c>
      <c r="C89" s="117"/>
      <c r="D89" s="117"/>
      <c r="E89" s="117"/>
      <c r="F89" s="117"/>
      <c r="G89" s="129" t="str">
        <f>"- 1-Base TRR, L "&amp;'1-BaseTRR'!A142&amp;""</f>
        <v>- 1-Base TRR, L 80</v>
      </c>
      <c r="H89" s="119">
        <f>-'1-BaseTRR'!K142</f>
        <v>-12025320.824247735</v>
      </c>
      <c r="I89" s="117"/>
      <c r="J89" s="117"/>
      <c r="K89" s="117"/>
      <c r="L89" s="117"/>
    </row>
    <row r="90" spans="1:12" ht="13">
      <c r="A90" s="2">
        <f t="shared" ref="A90:A93" si="2">A89+1</f>
        <v>42</v>
      </c>
      <c r="B90" s="251" t="s">
        <v>2485</v>
      </c>
      <c r="C90" s="117"/>
      <c r="D90" s="117"/>
      <c r="E90" s="117"/>
      <c r="F90" s="117"/>
      <c r="G90" s="129" t="str">
        <f>"- 2-IFPTRR, L "&amp;'2-IFPTRR'!A89&amp;""</f>
        <v>- 2-IFPTRR, L 80</v>
      </c>
      <c r="H90" s="192">
        <f>-'2-IFPTRR'!D89</f>
        <v>-955576.05359621113</v>
      </c>
      <c r="I90" s="117"/>
      <c r="J90" s="117"/>
      <c r="K90" s="117"/>
      <c r="L90" s="117"/>
    </row>
    <row r="91" spans="1:12" ht="13">
      <c r="A91" s="2">
        <f t="shared" si="2"/>
        <v>43</v>
      </c>
      <c r="B91" s="251" t="s">
        <v>2486</v>
      </c>
      <c r="C91" s="117"/>
      <c r="D91" s="117"/>
      <c r="E91" s="117"/>
      <c r="F91" s="117"/>
      <c r="G91" s="250" t="str">
        <f>"Sum Line "&amp;A87&amp;" to Line "&amp;A90&amp;""</f>
        <v>Sum Line 39 to Line 42</v>
      </c>
      <c r="H91" s="119">
        <f>SUM(H87:H90)</f>
        <v>-15041554.728207776</v>
      </c>
      <c r="I91" s="117"/>
      <c r="J91" s="117"/>
      <c r="K91" s="117"/>
      <c r="L91" s="117"/>
    </row>
    <row r="92" spans="1:12" ht="13">
      <c r="A92" s="2">
        <f t="shared" si="2"/>
        <v>44</v>
      </c>
      <c r="B92" s="251" t="s">
        <v>2487</v>
      </c>
      <c r="C92" s="117"/>
      <c r="D92" s="117"/>
      <c r="E92" s="117"/>
      <c r="F92" s="117"/>
      <c r="H92" s="192">
        <f>'28-FFU'!D22*SUM(H87+H88)</f>
        <v>-19297.19866667148</v>
      </c>
      <c r="I92" s="129" t="s">
        <v>222</v>
      </c>
      <c r="J92" s="117"/>
      <c r="K92" s="117"/>
      <c r="L92" s="117"/>
    </row>
    <row r="93" spans="1:12" ht="13">
      <c r="A93" s="2">
        <f t="shared" si="2"/>
        <v>45</v>
      </c>
      <c r="B93" t="s">
        <v>2488</v>
      </c>
      <c r="C93" s="117"/>
      <c r="D93" s="117"/>
      <c r="E93" s="117"/>
      <c r="F93" s="117"/>
      <c r="G93" s="250" t="str">
        <f>"Line "&amp;A91&amp;" + Line "&amp;A92&amp;""</f>
        <v>Line 43 + Line 44</v>
      </c>
      <c r="H93" s="119">
        <f>H91+H92</f>
        <v>-15060851.926874448</v>
      </c>
      <c r="I93" s="117"/>
      <c r="J93" s="117"/>
      <c r="K93" s="117"/>
      <c r="L93" s="117"/>
    </row>
    <row r="94" spans="1:12">
      <c r="A94" s="117"/>
      <c r="C94" s="117"/>
      <c r="D94" s="117"/>
      <c r="E94" s="117"/>
      <c r="F94" s="117"/>
      <c r="G94" s="117"/>
      <c r="H94" s="117"/>
      <c r="I94" s="117"/>
      <c r="J94" s="117"/>
      <c r="K94" s="117"/>
      <c r="L94" s="117"/>
    </row>
    <row r="95" spans="1:12" ht="13">
      <c r="A95" s="117"/>
      <c r="B95" s="209" t="s">
        <v>2489</v>
      </c>
      <c r="C95" s="117"/>
      <c r="D95" s="117"/>
      <c r="E95" s="117"/>
      <c r="F95" s="117"/>
      <c r="G95" s="117"/>
      <c r="H95" s="117"/>
      <c r="I95" s="117"/>
      <c r="J95" s="117"/>
      <c r="K95" s="117"/>
      <c r="L95" s="117"/>
    </row>
    <row r="96" spans="1:12">
      <c r="A96" s="117"/>
      <c r="B96" s="117" t="s">
        <v>2490</v>
      </c>
      <c r="C96" s="117"/>
      <c r="D96" s="117"/>
      <c r="E96" s="117"/>
      <c r="F96" s="117"/>
      <c r="G96" s="117"/>
      <c r="H96" s="117"/>
      <c r="I96" s="117"/>
      <c r="J96" s="117"/>
      <c r="K96" s="117"/>
      <c r="L96" s="117"/>
    </row>
    <row r="97" spans="1:12">
      <c r="A97" s="117"/>
      <c r="B97" s="117" t="s">
        <v>2491</v>
      </c>
      <c r="C97" s="117"/>
      <c r="D97" s="117"/>
      <c r="E97" s="117"/>
      <c r="F97" s="117"/>
      <c r="G97" s="117"/>
      <c r="H97" s="117"/>
      <c r="I97" s="117"/>
      <c r="J97" s="117"/>
      <c r="K97" s="117"/>
      <c r="L97" s="117"/>
    </row>
    <row r="98" spans="1:12">
      <c r="A98" s="117"/>
      <c r="B98" s="117" t="str">
        <f>"2) Input Prior Year for this Informational Filing in Line "&amp;A42&amp;"."</f>
        <v>2) Input Prior Year for this Informational Filing in Line 13.</v>
      </c>
      <c r="I98" s="117"/>
      <c r="J98" s="117"/>
      <c r="K98" s="117"/>
      <c r="L98" s="117"/>
    </row>
    <row r="99" spans="1:12">
      <c r="A99" s="117"/>
      <c r="B99" s="117" t="str">
        <f>"3) Calculation: (Line "&amp;A34&amp;", "&amp;H25&amp;") + ((Line "&amp;A34&amp;", "&amp;I25&amp;") * (Line "&amp;A42&amp;" - 2010))."</f>
        <v>3) Calculation: (Line 11, Col 1) + ((Line 11, Col 2) * (Line 13 - 2010)).</v>
      </c>
      <c r="I99" s="117"/>
      <c r="J99" s="117"/>
      <c r="K99" s="117"/>
      <c r="L99" s="117"/>
    </row>
    <row r="100" spans="1:12">
      <c r="A100" s="117"/>
      <c r="B100" s="117" t="str">
        <f>"4) Franchise Fee Exclusion is equal to the Franchise Fee Factor on the 28-FFU Line "&amp;'28-FFU'!A22&amp;""</f>
        <v>4) Franchise Fee Exclusion is equal to the Franchise Fee Factor on the 28-FFU Line 5</v>
      </c>
      <c r="C100" s="117"/>
      <c r="D100" s="117"/>
      <c r="E100" s="117"/>
      <c r="F100" s="117"/>
      <c r="G100" s="117"/>
      <c r="H100" s="117"/>
      <c r="I100" s="117"/>
      <c r="J100" s="117"/>
      <c r="K100" s="117"/>
      <c r="L100" s="117"/>
    </row>
    <row r="101" spans="1:12">
      <c r="A101" s="117"/>
      <c r="B101" s="117" t="str">
        <f>"times Line "&amp;A87&amp;" + "&amp;A88&amp;"."</f>
        <v>times Line 39 + 40.</v>
      </c>
      <c r="C101" s="117"/>
      <c r="D101" s="117"/>
      <c r="E101" s="117"/>
      <c r="F101" s="117"/>
      <c r="G101" s="117"/>
      <c r="H101" s="117"/>
      <c r="I101" s="117"/>
      <c r="J101" s="117"/>
      <c r="K101" s="117"/>
      <c r="L101" s="117"/>
    </row>
    <row r="102" spans="1:12" ht="13">
      <c r="A102" s="117"/>
      <c r="B102" s="117" t="s">
        <v>2492</v>
      </c>
      <c r="C102" s="117"/>
      <c r="D102" s="117"/>
      <c r="E102" s="117"/>
      <c r="F102" s="117"/>
      <c r="G102" s="714"/>
      <c r="H102" s="117"/>
      <c r="I102" s="117"/>
      <c r="J102" s="117"/>
      <c r="K102" s="117"/>
      <c r="L102" s="117"/>
    </row>
    <row r="103" spans="1:12">
      <c r="A103" s="117"/>
      <c r="B103" s="251" t="s">
        <v>2493</v>
      </c>
      <c r="C103" s="117"/>
      <c r="D103" s="117"/>
      <c r="E103" s="117"/>
      <c r="F103" s="117"/>
      <c r="G103" s="117"/>
      <c r="H103" s="117"/>
      <c r="I103" s="117"/>
      <c r="J103" s="117"/>
      <c r="K103" s="117"/>
      <c r="L103" s="117"/>
    </row>
    <row r="104" spans="1:12">
      <c r="A104" s="117"/>
      <c r="B104" s="117"/>
      <c r="C104" s="117"/>
      <c r="D104" s="117"/>
      <c r="E104" s="117"/>
      <c r="F104" s="117"/>
      <c r="G104" s="117"/>
      <c r="H104" s="117"/>
      <c r="I104" s="117"/>
      <c r="J104" s="117"/>
      <c r="K104" s="117"/>
      <c r="L104" s="117"/>
    </row>
    <row r="105" spans="1:12">
      <c r="A105" s="117"/>
      <c r="B105" s="117"/>
      <c r="C105" s="117"/>
      <c r="D105" s="117"/>
      <c r="E105" s="117"/>
      <c r="F105" s="117"/>
      <c r="G105" s="117"/>
      <c r="H105" s="117"/>
      <c r="I105" s="117"/>
      <c r="J105" s="117"/>
      <c r="K105" s="117"/>
      <c r="L105" s="117"/>
    </row>
    <row r="106" spans="1:12">
      <c r="A106" s="117"/>
      <c r="B106" s="117"/>
      <c r="C106" s="117"/>
      <c r="D106" s="117"/>
      <c r="E106" s="117"/>
      <c r="F106" s="117"/>
      <c r="G106" s="117"/>
      <c r="H106" s="117"/>
      <c r="I106" s="117"/>
      <c r="J106" s="117"/>
      <c r="K106" s="117"/>
      <c r="L106" s="117"/>
    </row>
    <row r="107" spans="1:12">
      <c r="A107" s="117"/>
      <c r="B107" s="117"/>
      <c r="C107" s="117"/>
      <c r="D107" s="117"/>
      <c r="E107" s="117"/>
      <c r="F107" s="117"/>
      <c r="G107" s="117"/>
      <c r="H107" s="117"/>
      <c r="I107" s="117"/>
      <c r="J107" s="117"/>
      <c r="K107" s="117"/>
      <c r="L107" s="117"/>
    </row>
    <row r="108" spans="1:12">
      <c r="A108" s="117"/>
      <c r="B108" s="117"/>
      <c r="C108" s="117"/>
      <c r="D108" s="117"/>
      <c r="E108" s="117"/>
      <c r="F108" s="117"/>
      <c r="G108" s="117"/>
      <c r="H108" s="117"/>
      <c r="I108" s="117"/>
      <c r="J108" s="117"/>
      <c r="K108" s="117"/>
      <c r="L108" s="117"/>
    </row>
    <row r="109" spans="1:12">
      <c r="A109" s="117"/>
      <c r="B109" s="117"/>
      <c r="C109" s="117"/>
      <c r="D109" s="117"/>
      <c r="E109" s="117"/>
      <c r="F109" s="117"/>
      <c r="G109" s="117"/>
      <c r="H109" s="117"/>
      <c r="I109" s="117"/>
      <c r="J109" s="117"/>
      <c r="K109" s="117"/>
      <c r="L109" s="117"/>
    </row>
    <row r="110" spans="1:12">
      <c r="A110" s="117"/>
      <c r="B110" s="117"/>
      <c r="C110" s="117"/>
      <c r="D110" s="117"/>
      <c r="E110" s="117"/>
      <c r="F110" s="117"/>
      <c r="G110" s="117"/>
      <c r="H110" s="117"/>
      <c r="I110" s="117"/>
      <c r="J110" s="117"/>
      <c r="K110" s="117"/>
      <c r="L110" s="117"/>
    </row>
    <row r="111" spans="1:12">
      <c r="A111" s="117"/>
      <c r="B111" s="117"/>
      <c r="C111" s="117"/>
      <c r="D111" s="117"/>
      <c r="E111" s="117"/>
      <c r="F111" s="117"/>
      <c r="G111" s="117"/>
      <c r="H111" s="117"/>
      <c r="I111" s="117"/>
      <c r="J111" s="117"/>
      <c r="K111" s="117"/>
      <c r="L111" s="117"/>
    </row>
    <row r="112" spans="1:12">
      <c r="A112" s="117"/>
      <c r="B112" s="117"/>
      <c r="C112" s="117"/>
      <c r="D112" s="117"/>
      <c r="E112" s="117"/>
      <c r="F112" s="117"/>
      <c r="G112" s="117"/>
      <c r="H112" s="117"/>
      <c r="I112" s="117"/>
      <c r="J112" s="117"/>
      <c r="K112" s="117"/>
      <c r="L112" s="117"/>
    </row>
    <row r="113" spans="1:12">
      <c r="A113" s="117"/>
      <c r="B113" s="117"/>
      <c r="C113" s="117"/>
      <c r="D113" s="117"/>
      <c r="E113" s="117"/>
      <c r="F113" s="117"/>
      <c r="G113" s="117"/>
      <c r="H113" s="117"/>
      <c r="I113" s="117"/>
      <c r="J113" s="117"/>
      <c r="K113" s="117"/>
      <c r="L113" s="117"/>
    </row>
    <row r="114" spans="1:12">
      <c r="A114" s="117"/>
      <c r="B114" s="117"/>
      <c r="C114" s="117"/>
      <c r="D114" s="117"/>
      <c r="E114" s="117"/>
      <c r="F114" s="117"/>
      <c r="G114" s="117"/>
      <c r="H114" s="117"/>
      <c r="I114" s="117"/>
      <c r="J114" s="117"/>
      <c r="K114" s="117"/>
      <c r="L114" s="117"/>
    </row>
    <row r="115" spans="1:12">
      <c r="A115" s="117"/>
      <c r="B115" s="117"/>
      <c r="C115" s="117"/>
      <c r="D115" s="117"/>
      <c r="E115" s="117"/>
      <c r="F115" s="117"/>
      <c r="G115" s="117"/>
      <c r="H115" s="117"/>
      <c r="I115" s="117"/>
      <c r="J115" s="117"/>
      <c r="K115" s="117"/>
      <c r="L115" s="117"/>
    </row>
    <row r="116" spans="1:12">
      <c r="A116" s="117"/>
      <c r="B116" s="117"/>
      <c r="C116" s="117"/>
      <c r="D116" s="117"/>
      <c r="E116" s="117"/>
      <c r="F116" s="117"/>
      <c r="G116" s="117"/>
      <c r="H116" s="117"/>
      <c r="I116" s="117"/>
      <c r="J116" s="117"/>
      <c r="K116" s="117"/>
      <c r="L116" s="117"/>
    </row>
    <row r="117" spans="1:12">
      <c r="A117" s="117"/>
      <c r="B117" s="117"/>
      <c r="C117" s="117"/>
      <c r="D117" s="117"/>
      <c r="E117" s="117"/>
      <c r="F117" s="117"/>
      <c r="G117" s="117"/>
      <c r="H117" s="117"/>
      <c r="I117" s="117"/>
      <c r="J117" s="117"/>
      <c r="K117" s="117"/>
      <c r="L117" s="117"/>
    </row>
    <row r="118" spans="1:12">
      <c r="A118" s="117"/>
      <c r="B118" s="117"/>
      <c r="C118" s="117"/>
      <c r="D118" s="117"/>
      <c r="E118" s="117"/>
      <c r="F118" s="117"/>
      <c r="G118" s="117"/>
      <c r="H118" s="117"/>
      <c r="I118" s="117"/>
      <c r="J118" s="117"/>
      <c r="K118" s="117"/>
      <c r="L118" s="117"/>
    </row>
    <row r="119" spans="1:12">
      <c r="A119" s="117"/>
      <c r="B119" s="117"/>
      <c r="C119" s="117"/>
      <c r="D119" s="117"/>
      <c r="E119" s="117"/>
      <c r="F119" s="117"/>
      <c r="G119" s="117"/>
      <c r="H119" s="117"/>
      <c r="I119" s="117"/>
      <c r="J119" s="117"/>
      <c r="K119" s="117"/>
      <c r="L119" s="117"/>
    </row>
    <row r="120" spans="1:12">
      <c r="A120" s="117"/>
      <c r="B120" s="117"/>
      <c r="C120" s="117"/>
      <c r="D120" s="117"/>
      <c r="E120" s="117"/>
      <c r="F120" s="117"/>
      <c r="G120" s="117"/>
      <c r="H120" s="117"/>
      <c r="I120" s="117"/>
      <c r="J120" s="117"/>
      <c r="K120" s="117"/>
      <c r="L120" s="117"/>
    </row>
    <row r="121" spans="1:12">
      <c r="A121" s="117"/>
      <c r="B121" s="117"/>
      <c r="C121" s="117"/>
      <c r="D121" s="117"/>
      <c r="E121" s="117"/>
      <c r="F121" s="117"/>
      <c r="G121" s="117"/>
      <c r="H121" s="117"/>
      <c r="I121" s="117"/>
      <c r="J121" s="117"/>
      <c r="K121" s="117"/>
      <c r="L121" s="117"/>
    </row>
    <row r="122" spans="1:12">
      <c r="A122" s="117"/>
      <c r="B122" s="117"/>
      <c r="C122" s="117"/>
      <c r="D122" s="117"/>
      <c r="E122" s="117"/>
      <c r="F122" s="117"/>
      <c r="G122" s="117"/>
      <c r="H122" s="117"/>
      <c r="I122" s="117"/>
      <c r="J122" s="117"/>
      <c r="K122" s="117"/>
      <c r="L122" s="117"/>
    </row>
    <row r="123" spans="1:12">
      <c r="A123" s="117"/>
      <c r="B123" s="117"/>
      <c r="C123" s="117"/>
      <c r="D123" s="117"/>
      <c r="E123" s="117"/>
      <c r="F123" s="117"/>
      <c r="G123" s="117"/>
      <c r="H123" s="117"/>
      <c r="I123" s="117"/>
      <c r="J123" s="117"/>
      <c r="K123" s="117"/>
      <c r="L123" s="117"/>
    </row>
    <row r="124" spans="1:12">
      <c r="A124" s="117"/>
      <c r="B124" s="117"/>
      <c r="C124" s="117"/>
      <c r="D124" s="117"/>
      <c r="E124" s="117"/>
      <c r="F124" s="117"/>
      <c r="G124" s="117"/>
      <c r="H124" s="117"/>
      <c r="I124" s="117"/>
      <c r="J124" s="117"/>
      <c r="K124" s="117"/>
      <c r="L124" s="117"/>
    </row>
    <row r="125" spans="1:12">
      <c r="A125" s="117"/>
      <c r="B125" s="117"/>
      <c r="C125" s="117"/>
      <c r="D125" s="117"/>
      <c r="E125" s="117"/>
      <c r="F125" s="117"/>
      <c r="G125" s="117"/>
      <c r="H125" s="117"/>
      <c r="I125" s="117"/>
      <c r="J125" s="117"/>
      <c r="K125" s="117"/>
      <c r="L125" s="117"/>
    </row>
    <row r="126" spans="1:12">
      <c r="A126" s="117"/>
      <c r="B126" s="117"/>
      <c r="C126" s="117"/>
      <c r="D126" s="117"/>
      <c r="E126" s="117"/>
      <c r="F126" s="117"/>
      <c r="G126" s="117"/>
      <c r="H126" s="117"/>
      <c r="I126" s="117"/>
      <c r="J126" s="117"/>
      <c r="K126" s="117"/>
      <c r="L126" s="117"/>
    </row>
    <row r="127" spans="1:12">
      <c r="A127" s="117"/>
      <c r="B127" s="117"/>
      <c r="C127" s="117"/>
      <c r="D127" s="117"/>
      <c r="E127" s="117"/>
      <c r="F127" s="117"/>
      <c r="G127" s="117"/>
      <c r="H127" s="117"/>
      <c r="I127" s="117"/>
      <c r="J127" s="117"/>
      <c r="K127" s="117"/>
      <c r="L127" s="117"/>
    </row>
    <row r="128" spans="1:12">
      <c r="A128" s="117"/>
      <c r="B128" s="117"/>
      <c r="C128" s="117"/>
      <c r="D128" s="117"/>
      <c r="E128" s="117"/>
      <c r="F128" s="117"/>
      <c r="G128" s="117"/>
      <c r="H128" s="117"/>
      <c r="I128" s="117"/>
      <c r="J128" s="117"/>
      <c r="K128" s="117"/>
      <c r="L128" s="117"/>
    </row>
    <row r="129" spans="1:12">
      <c r="A129" s="117"/>
      <c r="B129" s="117"/>
      <c r="C129" s="117"/>
      <c r="D129" s="117"/>
      <c r="E129" s="117"/>
      <c r="F129" s="117"/>
      <c r="G129" s="117"/>
      <c r="H129" s="117"/>
      <c r="I129" s="117"/>
      <c r="J129" s="117"/>
      <c r="K129" s="117"/>
      <c r="L129" s="117"/>
    </row>
    <row r="130" spans="1:12">
      <c r="A130" s="117"/>
      <c r="B130" s="117"/>
      <c r="C130" s="117"/>
      <c r="D130" s="117"/>
      <c r="E130" s="117"/>
      <c r="F130" s="117"/>
      <c r="G130" s="117"/>
      <c r="H130" s="117"/>
      <c r="I130" s="117"/>
      <c r="J130" s="117"/>
      <c r="K130" s="117"/>
      <c r="L130" s="117"/>
    </row>
    <row r="131" spans="1:12">
      <c r="A131" s="117"/>
      <c r="B131" s="117"/>
      <c r="C131" s="117"/>
      <c r="D131" s="117"/>
      <c r="E131" s="117"/>
      <c r="F131" s="117"/>
      <c r="G131" s="117"/>
      <c r="H131" s="117"/>
      <c r="I131" s="117"/>
      <c r="J131" s="117"/>
      <c r="K131" s="117"/>
      <c r="L131" s="117"/>
    </row>
    <row r="132" spans="1:12">
      <c r="A132" s="117"/>
      <c r="B132" s="117"/>
      <c r="C132" s="117"/>
      <c r="D132" s="117"/>
      <c r="E132" s="117"/>
      <c r="F132" s="117"/>
      <c r="G132" s="117"/>
      <c r="H132" s="117"/>
      <c r="I132" s="117"/>
      <c r="J132" s="117"/>
      <c r="K132" s="117"/>
      <c r="L132" s="117"/>
    </row>
    <row r="133" spans="1:12">
      <c r="A133" s="117"/>
      <c r="B133" s="117"/>
      <c r="C133" s="117"/>
      <c r="D133" s="117"/>
      <c r="E133" s="117"/>
      <c r="F133" s="117"/>
      <c r="G133" s="117"/>
      <c r="H133" s="117"/>
      <c r="I133" s="117"/>
      <c r="J133" s="117"/>
      <c r="K133" s="117"/>
      <c r="L133" s="117"/>
    </row>
    <row r="134" spans="1:12">
      <c r="A134" s="117"/>
      <c r="B134" s="117"/>
      <c r="C134" s="117"/>
      <c r="D134" s="117"/>
      <c r="E134" s="117"/>
      <c r="F134" s="117"/>
      <c r="G134" s="117"/>
      <c r="H134" s="117"/>
      <c r="I134" s="117"/>
      <c r="J134" s="117"/>
      <c r="K134" s="117"/>
      <c r="L134" s="117"/>
    </row>
    <row r="135" spans="1:12">
      <c r="A135" s="117"/>
      <c r="B135" s="117"/>
      <c r="C135" s="117"/>
      <c r="D135" s="117"/>
      <c r="E135" s="117"/>
      <c r="F135" s="117"/>
      <c r="G135" s="117"/>
      <c r="H135" s="117"/>
      <c r="I135" s="117"/>
      <c r="J135" s="117"/>
      <c r="K135" s="117"/>
      <c r="L135" s="117"/>
    </row>
    <row r="136" spans="1:12">
      <c r="A136" s="117"/>
      <c r="B136" s="117"/>
      <c r="C136" s="117"/>
      <c r="D136" s="117"/>
      <c r="E136" s="117"/>
      <c r="F136" s="117"/>
      <c r="G136" s="117"/>
      <c r="H136" s="117"/>
      <c r="I136" s="117"/>
      <c r="J136" s="117"/>
      <c r="K136" s="117"/>
      <c r="L136" s="117"/>
    </row>
    <row r="137" spans="1:12">
      <c r="A137" s="117"/>
      <c r="B137" s="117"/>
      <c r="C137" s="117"/>
      <c r="D137" s="117"/>
      <c r="E137" s="117"/>
      <c r="F137" s="117"/>
      <c r="G137" s="117"/>
      <c r="H137" s="117"/>
      <c r="I137" s="117"/>
      <c r="J137" s="117"/>
      <c r="K137" s="117"/>
      <c r="L137" s="117"/>
    </row>
    <row r="138" spans="1:12">
      <c r="A138" s="117"/>
      <c r="B138" s="117"/>
      <c r="C138" s="117"/>
      <c r="D138" s="117"/>
      <c r="E138" s="117"/>
      <c r="F138" s="117"/>
      <c r="G138" s="117"/>
      <c r="H138" s="117"/>
      <c r="I138" s="117"/>
      <c r="J138" s="117"/>
      <c r="K138" s="117"/>
      <c r="L138" s="117"/>
    </row>
    <row r="139" spans="1:12">
      <c r="A139" s="117"/>
      <c r="B139" s="117"/>
      <c r="C139" s="117"/>
      <c r="D139" s="117"/>
      <c r="E139" s="117"/>
      <c r="F139" s="117"/>
      <c r="G139" s="117"/>
      <c r="H139" s="117"/>
      <c r="I139" s="117"/>
      <c r="J139" s="117"/>
      <c r="K139" s="117"/>
      <c r="L139" s="117"/>
    </row>
    <row r="140" spans="1:12">
      <c r="A140" s="117"/>
      <c r="B140" s="117"/>
      <c r="C140" s="117"/>
      <c r="D140" s="117"/>
      <c r="E140" s="117"/>
      <c r="F140" s="117"/>
      <c r="G140" s="117"/>
      <c r="H140" s="117"/>
      <c r="I140" s="117"/>
      <c r="J140" s="117"/>
      <c r="K140" s="117"/>
      <c r="L140" s="117"/>
    </row>
    <row r="141" spans="1:12">
      <c r="A141" s="117"/>
      <c r="B141" s="117"/>
      <c r="C141" s="117"/>
      <c r="D141" s="117"/>
      <c r="E141" s="117"/>
      <c r="F141" s="117"/>
      <c r="G141" s="117"/>
      <c r="H141" s="117"/>
      <c r="I141" s="117"/>
      <c r="J141" s="117"/>
      <c r="K141" s="117"/>
      <c r="L141" s="117"/>
    </row>
    <row r="142" spans="1:12">
      <c r="A142" s="117"/>
      <c r="B142" s="117"/>
      <c r="C142" s="117"/>
      <c r="D142" s="117"/>
      <c r="E142" s="117"/>
      <c r="F142" s="117"/>
      <c r="G142" s="117"/>
      <c r="H142" s="117"/>
      <c r="I142" s="117"/>
      <c r="J142" s="117"/>
      <c r="K142" s="117"/>
      <c r="L142" s="117"/>
    </row>
    <row r="143" spans="1:12">
      <c r="A143" s="117"/>
      <c r="B143" s="117"/>
      <c r="C143" s="117"/>
      <c r="D143" s="117"/>
      <c r="E143" s="117"/>
      <c r="F143" s="117"/>
      <c r="G143" s="117"/>
      <c r="H143" s="117"/>
      <c r="I143" s="117"/>
      <c r="J143" s="117"/>
      <c r="K143" s="117"/>
      <c r="L143" s="117"/>
    </row>
    <row r="144" spans="1:12">
      <c r="A144" s="117"/>
      <c r="B144" s="117"/>
      <c r="C144" s="117"/>
      <c r="D144" s="117"/>
      <c r="E144" s="117"/>
      <c r="F144" s="117"/>
      <c r="G144" s="117"/>
      <c r="H144" s="117"/>
      <c r="I144" s="117"/>
      <c r="J144" s="117"/>
      <c r="K144" s="117"/>
      <c r="L144" s="117"/>
    </row>
    <row r="145" spans="1:12">
      <c r="A145" s="117"/>
      <c r="B145" s="117"/>
      <c r="C145" s="117"/>
      <c r="D145" s="117"/>
      <c r="E145" s="117"/>
      <c r="F145" s="117"/>
      <c r="G145" s="117"/>
      <c r="H145" s="117"/>
      <c r="I145" s="117"/>
      <c r="J145" s="117"/>
      <c r="K145" s="117"/>
      <c r="L145" s="117"/>
    </row>
    <row r="146" spans="1:12">
      <c r="A146" s="117"/>
      <c r="B146" s="117"/>
      <c r="C146" s="117"/>
      <c r="D146" s="117"/>
      <c r="E146" s="117"/>
      <c r="F146" s="117"/>
      <c r="G146" s="117"/>
      <c r="H146" s="117"/>
      <c r="I146" s="117"/>
      <c r="J146" s="117"/>
      <c r="K146" s="117"/>
      <c r="L146" s="117"/>
    </row>
    <row r="147" spans="1:12">
      <c r="A147" s="117"/>
      <c r="B147" s="117"/>
      <c r="C147" s="117"/>
      <c r="D147" s="117"/>
      <c r="E147" s="117"/>
      <c r="F147" s="117"/>
      <c r="G147" s="117"/>
      <c r="H147" s="117"/>
      <c r="I147" s="117"/>
      <c r="J147" s="117"/>
      <c r="K147" s="117"/>
      <c r="L147" s="117"/>
    </row>
    <row r="148" spans="1:12">
      <c r="A148" s="117"/>
      <c r="B148" s="117"/>
      <c r="C148" s="117"/>
      <c r="D148" s="117"/>
      <c r="E148" s="117"/>
      <c r="F148" s="117"/>
      <c r="G148" s="117"/>
      <c r="H148" s="117"/>
      <c r="I148" s="117"/>
      <c r="J148" s="117"/>
      <c r="K148" s="117"/>
      <c r="L148" s="117"/>
    </row>
    <row r="149" spans="1:12">
      <c r="A149" s="117"/>
      <c r="B149" s="117"/>
      <c r="C149" s="117"/>
      <c r="D149" s="117"/>
      <c r="E149" s="117"/>
      <c r="F149" s="117"/>
      <c r="G149" s="117"/>
      <c r="H149" s="117"/>
      <c r="I149" s="117"/>
      <c r="J149" s="117"/>
      <c r="K149" s="117"/>
      <c r="L149" s="117"/>
    </row>
    <row r="150" spans="1:12">
      <c r="A150" s="117"/>
      <c r="B150" s="117"/>
      <c r="C150" s="117"/>
      <c r="D150" s="117"/>
      <c r="E150" s="117"/>
      <c r="F150" s="117"/>
      <c r="G150" s="117"/>
      <c r="H150" s="117"/>
      <c r="I150" s="117"/>
      <c r="J150" s="117"/>
      <c r="K150" s="117"/>
      <c r="L150" s="117"/>
    </row>
    <row r="151" spans="1:12">
      <c r="A151" s="117"/>
      <c r="B151" s="117"/>
      <c r="C151" s="117"/>
      <c r="D151" s="117"/>
      <c r="E151" s="117"/>
      <c r="F151" s="117"/>
      <c r="G151" s="117"/>
      <c r="H151" s="117"/>
      <c r="I151" s="117"/>
      <c r="J151" s="117"/>
      <c r="K151" s="117"/>
      <c r="L151" s="117"/>
    </row>
    <row r="152" spans="1:12">
      <c r="A152" s="117"/>
      <c r="B152" s="117"/>
      <c r="C152" s="117"/>
      <c r="D152" s="117"/>
      <c r="E152" s="117"/>
      <c r="F152" s="117"/>
      <c r="G152" s="117"/>
      <c r="H152" s="117"/>
      <c r="I152" s="117"/>
      <c r="J152" s="117"/>
      <c r="K152" s="117"/>
      <c r="L152" s="117"/>
    </row>
    <row r="153" spans="1:12">
      <c r="A153" s="117"/>
      <c r="B153" s="117"/>
      <c r="C153" s="117"/>
      <c r="D153" s="117"/>
      <c r="E153" s="117"/>
      <c r="F153" s="117"/>
      <c r="G153" s="117"/>
      <c r="H153" s="117"/>
      <c r="I153" s="117"/>
      <c r="J153" s="117"/>
      <c r="K153" s="117"/>
      <c r="L153" s="117"/>
    </row>
  </sheetData>
  <pageMargins left="0.7" right="0.7" top="0.75" bottom="0.75" header="0.3" footer="0.3"/>
  <pageSetup scale="77" orientation="portrait" cellComments="asDisplayed" r:id="rId1"/>
  <headerFooter>
    <oddHeader>&amp;CSchedule 25
Wholesale Differences to Base TRR
&amp;RTO2023 Draft Annual Update 
Attachment 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2494</v>
      </c>
    </row>
    <row r="3" spans="1:5" ht="13">
      <c r="B3" s="1" t="s">
        <v>2495</v>
      </c>
      <c r="E3" s="55" t="s">
        <v>635</v>
      </c>
    </row>
    <row r="4" spans="1:5" ht="13">
      <c r="D4" s="2" t="s">
        <v>2496</v>
      </c>
    </row>
    <row r="5" spans="1:5" ht="13">
      <c r="C5" s="2" t="s">
        <v>376</v>
      </c>
      <c r="D5" s="2" t="s">
        <v>2497</v>
      </c>
    </row>
    <row r="6" spans="1:5" ht="13">
      <c r="A6" s="3" t="s">
        <v>273</v>
      </c>
      <c r="C6" s="3" t="s">
        <v>372</v>
      </c>
      <c r="D6" s="3" t="s">
        <v>2498</v>
      </c>
      <c r="E6" s="3" t="s">
        <v>652</v>
      </c>
    </row>
    <row r="7" spans="1:5" ht="13">
      <c r="A7" s="2">
        <v>1</v>
      </c>
      <c r="C7" s="293">
        <v>2023</v>
      </c>
      <c r="D7" s="650">
        <v>0.21</v>
      </c>
      <c r="E7" s="324" t="s">
        <v>2499</v>
      </c>
    </row>
    <row r="8" spans="1:5" ht="13">
      <c r="A8" s="2">
        <f>A7+1</f>
        <v>2</v>
      </c>
      <c r="D8">
        <v>0</v>
      </c>
      <c r="E8" s="250"/>
    </row>
    <row r="9" spans="1:5" ht="13">
      <c r="A9" s="2">
        <f t="shared" ref="A9:A23" si="0">A8+1</f>
        <v>3</v>
      </c>
      <c r="B9" s="1" t="s">
        <v>2500</v>
      </c>
    </row>
    <row r="10" spans="1:5" ht="13">
      <c r="A10" s="2">
        <f t="shared" si="0"/>
        <v>4</v>
      </c>
      <c r="B10" s="1"/>
      <c r="D10" s="2"/>
    </row>
    <row r="11" spans="1:5" ht="13">
      <c r="A11" s="2">
        <f t="shared" si="0"/>
        <v>5</v>
      </c>
      <c r="D11" s="2" t="s">
        <v>2501</v>
      </c>
    </row>
    <row r="12" spans="1:5" ht="13">
      <c r="A12" s="2">
        <f t="shared" si="0"/>
        <v>6</v>
      </c>
      <c r="C12" s="2" t="s">
        <v>376</v>
      </c>
      <c r="D12" s="2" t="s">
        <v>2497</v>
      </c>
    </row>
    <row r="13" spans="1:5" ht="13">
      <c r="A13" s="2">
        <f t="shared" si="0"/>
        <v>7</v>
      </c>
      <c r="C13" s="3" t="s">
        <v>372</v>
      </c>
      <c r="D13" s="3" t="s">
        <v>2502</v>
      </c>
      <c r="E13" s="3" t="s">
        <v>652</v>
      </c>
    </row>
    <row r="14" spans="1:5" ht="13">
      <c r="A14" s="2">
        <f t="shared" si="0"/>
        <v>8</v>
      </c>
      <c r="C14" s="293">
        <v>2023</v>
      </c>
      <c r="D14" s="589">
        <v>8.8400000000000006E-2</v>
      </c>
      <c r="E14" s="324" t="s">
        <v>165</v>
      </c>
    </row>
    <row r="15" spans="1:5" ht="13">
      <c r="A15" s="2">
        <f t="shared" si="0"/>
        <v>9</v>
      </c>
      <c r="C15" s="33"/>
      <c r="E15" s="250"/>
    </row>
    <row r="16" spans="1:5" ht="13">
      <c r="A16" s="2">
        <f t="shared" si="0"/>
        <v>10</v>
      </c>
      <c r="C16" s="33"/>
      <c r="E16" s="12"/>
    </row>
    <row r="17" spans="1:9" ht="13">
      <c r="A17" s="2">
        <f t="shared" si="0"/>
        <v>11</v>
      </c>
      <c r="C17" s="37"/>
      <c r="E17" s="12"/>
    </row>
    <row r="18" spans="1:9" ht="12.75" customHeight="1">
      <c r="A18" s="2">
        <f t="shared" si="0"/>
        <v>12</v>
      </c>
      <c r="B18" s="1" t="s">
        <v>2503</v>
      </c>
      <c r="E18" s="12"/>
    </row>
    <row r="19" spans="1:9" ht="12.75" customHeight="1">
      <c r="A19" s="2">
        <f t="shared" si="0"/>
        <v>13</v>
      </c>
      <c r="E19" s="298"/>
      <c r="F19" s="3" t="s">
        <v>79</v>
      </c>
    </row>
    <row r="20" spans="1:9" ht="12.75" customHeight="1">
      <c r="A20" s="2">
        <f t="shared" si="0"/>
        <v>14</v>
      </c>
      <c r="C20" t="str">
        <f>"Total Electric Payroll Tax Expense (From 1-BaseTRR, Line "&amp;'1-BaseTRR'!A52&amp;")"</f>
        <v>Total Electric Payroll Tax Expense (From 1-BaseTRR, Line 31)</v>
      </c>
      <c r="F20" s="6">
        <f>'1-BaseTRR'!K52</f>
        <v>136573921</v>
      </c>
      <c r="G20" s="251"/>
    </row>
    <row r="21" spans="1:9" ht="12.75" customHeight="1">
      <c r="A21" s="2">
        <f t="shared" si="0"/>
        <v>15</v>
      </c>
      <c r="C21" s="251" t="s">
        <v>2504</v>
      </c>
      <c r="F21" s="319">
        <v>0.5</v>
      </c>
      <c r="G21" s="251"/>
    </row>
    <row r="22" spans="1:9" ht="12.75" customHeight="1">
      <c r="A22" s="2">
        <f t="shared" si="0"/>
        <v>16</v>
      </c>
      <c r="C22" s="251" t="str">
        <f>"Capitalized Overhead portion of Electric Payroll Tax Expense (Line "&amp;A20&amp;" * Line "&amp;A21&amp;")"</f>
        <v>Capitalized Overhead portion of Electric Payroll Tax Expense (Line 14 * Line 15)</v>
      </c>
      <c r="F22" s="192">
        <f>F20*F21</f>
        <v>68286960.5</v>
      </c>
      <c r="G22" s="251"/>
      <c r="I22" s="251"/>
    </row>
    <row r="23" spans="1:9" ht="13">
      <c r="A23" s="2">
        <f t="shared" si="0"/>
        <v>17</v>
      </c>
      <c r="C23" s="251" t="str">
        <f>"Non-Capitalized Overhead portion of Electric Payroll Tax Expense (Line "&amp;A20&amp;" - Line "&amp;A22&amp;")"</f>
        <v>Non-Capitalized Overhead portion of Electric Payroll Tax Expense (Line 14 - Line 16)</v>
      </c>
      <c r="F23" s="6">
        <f>F20-F22</f>
        <v>68286960.5</v>
      </c>
      <c r="G23" s="251"/>
    </row>
    <row r="25" spans="1:9" ht="13">
      <c r="B25" s="30" t="s">
        <v>228</v>
      </c>
    </row>
    <row r="26" spans="1:9">
      <c r="B26" s="295" t="s">
        <v>2505</v>
      </c>
      <c r="D26" s="258" t="s">
        <v>2960</v>
      </c>
      <c r="E26" s="258"/>
      <c r="F26" s="55"/>
    </row>
    <row r="27" spans="1:9">
      <c r="B27" s="295" t="s">
        <v>2506</v>
      </c>
    </row>
    <row r="28" spans="1:9">
      <c r="B28" s="250"/>
      <c r="D28" s="55" t="s">
        <v>2961</v>
      </c>
      <c r="E28" s="55"/>
      <c r="F28" s="55"/>
    </row>
    <row r="29" spans="1:9">
      <c r="B29" s="251" t="s">
        <v>2507</v>
      </c>
      <c r="E29" s="258" t="s">
        <v>2962</v>
      </c>
    </row>
    <row r="30" spans="1:9">
      <c r="B30" s="250" t="s">
        <v>2508</v>
      </c>
      <c r="E30" s="285" t="s">
        <v>2963</v>
      </c>
    </row>
    <row r="31" spans="1:9">
      <c r="B31" s="251" t="s">
        <v>2509</v>
      </c>
    </row>
    <row r="32" spans="1:9">
      <c r="B32" s="251" t="s">
        <v>2510</v>
      </c>
    </row>
    <row r="33" spans="2:2">
      <c r="B33" s="251" t="s">
        <v>2511</v>
      </c>
    </row>
    <row r="34" spans="2:2">
      <c r="B34" s="251" t="s">
        <v>2512</v>
      </c>
    </row>
    <row r="35" spans="2:2">
      <c r="B35" s="251" t="s">
        <v>2513</v>
      </c>
    </row>
    <row r="36" spans="2:2">
      <c r="B36" s="251" t="s">
        <v>2514</v>
      </c>
    </row>
    <row r="37" spans="2:2">
      <c r="B37" s="251" t="s">
        <v>2515</v>
      </c>
    </row>
    <row r="38" spans="2:2">
      <c r="B38" s="251" t="s">
        <v>2516</v>
      </c>
    </row>
    <row r="39" spans="2:2">
      <c r="B39" s="251" t="s">
        <v>2517</v>
      </c>
    </row>
    <row r="40" spans="2:2">
      <c r="B40" s="251" t="s">
        <v>2518</v>
      </c>
    </row>
  </sheetData>
  <phoneticPr fontId="23" type="noConversion"/>
  <pageMargins left="0.75" right="0.75" top="1" bottom="1" header="0.5" footer="0.5"/>
  <pageSetup scale="75" orientation="portrait" cellComments="asDisplayed" r:id="rId1"/>
  <headerFooter alignWithMargins="0">
    <oddHeader>&amp;CSchedule 26
Tax Rates
&amp;RTO2023 Draft Annual Update 
Attachment 1</oddHeader>
    <oddFooter>&amp;R&amp;A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6"/>
  <sheetViews>
    <sheetView topLeftCell="A28" zoomScaleNormal="100" zoomScalePageLayoutView="70" workbookViewId="0">
      <selection activeCell="D48" sqref="D48"/>
    </sheetView>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59</v>
      </c>
      <c r="B1" s="1"/>
      <c r="E1" s="55" t="s">
        <v>635</v>
      </c>
    </row>
    <row r="2" spans="1:9" ht="13">
      <c r="A2" s="1"/>
      <c r="B2" s="1"/>
      <c r="C2" s="39" t="s">
        <v>195</v>
      </c>
      <c r="D2" s="258" t="s">
        <v>2519</v>
      </c>
      <c r="E2" s="282"/>
    </row>
    <row r="3" spans="1:9" ht="13">
      <c r="A3" s="1"/>
      <c r="B3" s="1"/>
      <c r="C3" s="714"/>
      <c r="D3" s="714"/>
      <c r="E3" s="714"/>
    </row>
    <row r="4" spans="1:9" ht="13">
      <c r="A4" s="2"/>
      <c r="B4" s="1" t="s">
        <v>2520</v>
      </c>
      <c r="G4" s="57"/>
    </row>
    <row r="5" spans="1:9" ht="13">
      <c r="A5" s="2"/>
      <c r="C5" s="1"/>
      <c r="D5" s="2"/>
      <c r="E5" s="2" t="s">
        <v>98</v>
      </c>
      <c r="G5" s="4" t="s">
        <v>860</v>
      </c>
    </row>
    <row r="6" spans="1:9" ht="13">
      <c r="A6" s="30" t="s">
        <v>273</v>
      </c>
      <c r="C6" s="1"/>
      <c r="D6" s="3" t="s">
        <v>100</v>
      </c>
      <c r="E6" s="3" t="s">
        <v>101</v>
      </c>
      <c r="G6" s="3" t="s">
        <v>102</v>
      </c>
    </row>
    <row r="7" spans="1:9" ht="13">
      <c r="A7" s="2">
        <v>1</v>
      </c>
      <c r="C7" s="295" t="s">
        <v>2521</v>
      </c>
      <c r="E7" s="251" t="str">
        <f>"19-OandM Line "&amp;'19-OandM'!A124&amp;", Col. 7"</f>
        <v>19-OandM Line 91, Col. 7</v>
      </c>
      <c r="G7" s="6">
        <f>'19-OandM'!H124</f>
        <v>36628694.221578218</v>
      </c>
      <c r="I7" s="251"/>
    </row>
    <row r="8" spans="1:9" ht="13">
      <c r="A8" s="2">
        <f>A7+1</f>
        <v>2</v>
      </c>
      <c r="C8" s="295" t="s">
        <v>2522</v>
      </c>
      <c r="E8" s="251" t="s">
        <v>862</v>
      </c>
      <c r="G8" s="5">
        <v>818339058</v>
      </c>
    </row>
    <row r="9" spans="1:9" ht="13">
      <c r="A9" s="2">
        <f t="shared" ref="A9:A44" si="0">A8+1</f>
        <v>3</v>
      </c>
      <c r="C9" s="250" t="s">
        <v>2523</v>
      </c>
      <c r="E9" s="251" t="s">
        <v>2524</v>
      </c>
      <c r="G9" s="5">
        <v>217038278</v>
      </c>
    </row>
    <row r="10" spans="1:9" ht="13">
      <c r="A10" s="2">
        <f t="shared" si="0"/>
        <v>4</v>
      </c>
      <c r="C10" s="295" t="s">
        <v>2525</v>
      </c>
      <c r="E10" s="251" t="str">
        <f>"Line "&amp;A8&amp;" - Line "&amp;A9&amp;""</f>
        <v>Line 2 - Line 3</v>
      </c>
      <c r="G10" s="6">
        <f>G8-G9</f>
        <v>601300780</v>
      </c>
    </row>
    <row r="11" spans="1:9" ht="13">
      <c r="A11" s="2">
        <f t="shared" si="0"/>
        <v>5</v>
      </c>
      <c r="C11" s="295" t="s">
        <v>2526</v>
      </c>
      <c r="E11" s="251" t="str">
        <f>"20-AandG, Note 2"</f>
        <v>20-AandG, Note 2</v>
      </c>
      <c r="G11" s="6">
        <f>'20-AandG'!E64</f>
        <v>-18680114.5</v>
      </c>
      <c r="I11" s="251"/>
    </row>
    <row r="12" spans="1:9" ht="13">
      <c r="A12" s="2">
        <f t="shared" si="0"/>
        <v>6</v>
      </c>
      <c r="C12" s="250" t="s">
        <v>2527</v>
      </c>
      <c r="E12" s="251" t="str">
        <f>"20-AandG, Note 2"</f>
        <v>20-AandG, Note 2</v>
      </c>
      <c r="G12" s="253">
        <f>'20-AandG'!E61</f>
        <v>-6503598.5180874765</v>
      </c>
    </row>
    <row r="13" spans="1:9" ht="13">
      <c r="A13" s="2">
        <f t="shared" si="0"/>
        <v>7</v>
      </c>
      <c r="C13" s="295" t="s">
        <v>2528</v>
      </c>
      <c r="E13" s="251" t="str">
        <f>"Line "&amp;A11&amp;" - Line "&amp;A12&amp;""</f>
        <v>Line 5 - Line 6</v>
      </c>
      <c r="G13" s="6">
        <f>G11-G12</f>
        <v>-12176515.981912524</v>
      </c>
    </row>
    <row r="14" spans="1:9" ht="13">
      <c r="A14" s="2">
        <f t="shared" si="0"/>
        <v>8</v>
      </c>
      <c r="C14" s="295" t="s">
        <v>2529</v>
      </c>
      <c r="E14" s="251" t="str">
        <f>"Line "&amp;A10&amp;" + Line "&amp;A13&amp;""</f>
        <v>Line 4 + Line 7</v>
      </c>
      <c r="G14" s="6">
        <f>G10+G13</f>
        <v>589124264.01808751</v>
      </c>
    </row>
    <row r="15" spans="1:9" ht="13">
      <c r="A15" s="2">
        <f t="shared" si="0"/>
        <v>9</v>
      </c>
      <c r="C15" t="s">
        <v>2530</v>
      </c>
      <c r="E15" s="251" t="str">
        <f>"Line "&amp;A7&amp;" / Line "&amp;A14&amp;""</f>
        <v>Line 1 / Line 8</v>
      </c>
      <c r="G15" s="7">
        <f>G7/G14</f>
        <v>6.2174818554839952E-2</v>
      </c>
    </row>
    <row r="16" spans="1:9" ht="13">
      <c r="A16" s="2">
        <f t="shared" si="0"/>
        <v>10</v>
      </c>
    </row>
    <row r="17" spans="1:8" ht="13">
      <c r="A17" s="2">
        <f t="shared" si="0"/>
        <v>11</v>
      </c>
      <c r="B17" s="1" t="s">
        <v>2531</v>
      </c>
      <c r="G17" s="57"/>
    </row>
    <row r="18" spans="1:8" ht="13">
      <c r="A18" s="2">
        <f t="shared" si="0"/>
        <v>12</v>
      </c>
      <c r="D18" s="2"/>
      <c r="E18" s="2" t="s">
        <v>98</v>
      </c>
      <c r="G18" s="4" t="s">
        <v>860</v>
      </c>
    </row>
    <row r="19" spans="1:8" ht="13">
      <c r="A19" s="2">
        <f t="shared" si="0"/>
        <v>13</v>
      </c>
      <c r="D19" s="3" t="s">
        <v>100</v>
      </c>
      <c r="E19" s="3" t="s">
        <v>101</v>
      </c>
      <c r="G19" s="3" t="s">
        <v>102</v>
      </c>
    </row>
    <row r="20" spans="1:8" ht="13">
      <c r="A20" s="2">
        <f t="shared" si="0"/>
        <v>14</v>
      </c>
      <c r="C20" t="s">
        <v>2532</v>
      </c>
      <c r="E20" s="251" t="str">
        <f>"7-PlantStudy, Line "&amp;'7-PlantStudy'!A28&amp;""</f>
        <v>7-PlantStudy, Line 21</v>
      </c>
      <c r="G20" s="6">
        <f>'7-PlantStudy'!E28</f>
        <v>10351699667.555773</v>
      </c>
    </row>
    <row r="21" spans="1:8" ht="13">
      <c r="A21" s="2">
        <f t="shared" si="0"/>
        <v>15</v>
      </c>
      <c r="C21" t="s">
        <v>2533</v>
      </c>
      <c r="E21" s="251" t="str">
        <f>"7-PlantStudy, Line "&amp;'7-PlantStudy'!A42&amp;""</f>
        <v>7-PlantStudy, Line 30</v>
      </c>
      <c r="G21" s="6">
        <f>'7-PlantStudy'!E42</f>
        <v>0</v>
      </c>
    </row>
    <row r="22" spans="1:8" ht="13">
      <c r="A22" s="2">
        <f t="shared" si="0"/>
        <v>16</v>
      </c>
      <c r="C22" t="s">
        <v>2534</v>
      </c>
      <c r="E22" s="251" t="str">
        <f>"6-PlantInService, Line "&amp;'6-PlantInService'!A54&amp;", C2"</f>
        <v>6-PlantInService, Line 21, C2</v>
      </c>
      <c r="G22" s="6">
        <f>'6-PlantInService'!G54</f>
        <v>2361375916</v>
      </c>
      <c r="H22" s="57"/>
    </row>
    <row r="23" spans="1:8" ht="13">
      <c r="A23" s="2">
        <f t="shared" si="0"/>
        <v>17</v>
      </c>
      <c r="C23" t="s">
        <v>2535</v>
      </c>
      <c r="E23" t="str">
        <f>"Line "&amp;A22&amp;" * Line "&amp;A15&amp;""</f>
        <v>Line 16 * Line 9</v>
      </c>
      <c r="G23" s="6">
        <f>G22*G15</f>
        <v>146818119.11706898</v>
      </c>
    </row>
    <row r="24" spans="1:8" ht="13">
      <c r="A24" s="2">
        <f t="shared" si="0"/>
        <v>18</v>
      </c>
      <c r="C24" t="s">
        <v>2536</v>
      </c>
      <c r="E24" s="251" t="str">
        <f>"6-PlantInService, Line "&amp;'6-PlantInService'!A54&amp;", C1"</f>
        <v>6-PlantInService, Line 21, C1</v>
      </c>
      <c r="G24" s="6">
        <f>'6-PlantInService'!F54</f>
        <v>3679239676</v>
      </c>
    </row>
    <row r="25" spans="1:8" ht="13">
      <c r="A25" s="2">
        <f t="shared" si="0"/>
        <v>19</v>
      </c>
      <c r="C25" t="s">
        <v>2537</v>
      </c>
      <c r="E25" t="str">
        <f>"Line "&amp;A24&amp;" * Line "&amp;A15&amp;""</f>
        <v>Line 18 * Line 9</v>
      </c>
      <c r="G25" s="6">
        <f>G24*G15</f>
        <v>228756059.27506813</v>
      </c>
    </row>
    <row r="26" spans="1:8" ht="13">
      <c r="A26" s="2">
        <f t="shared" si="0"/>
        <v>20</v>
      </c>
      <c r="C26" s="251" t="s">
        <v>2538</v>
      </c>
      <c r="E26" t="s">
        <v>873</v>
      </c>
      <c r="G26" s="5">
        <v>58731185898</v>
      </c>
    </row>
    <row r="27" spans="1:8" ht="13">
      <c r="A27" s="2">
        <f t="shared" si="0"/>
        <v>21</v>
      </c>
      <c r="G27" s="57"/>
    </row>
    <row r="28" spans="1:8" ht="13">
      <c r="A28" s="2">
        <f t="shared" si="0"/>
        <v>22</v>
      </c>
      <c r="C28" t="s">
        <v>127</v>
      </c>
      <c r="E28" s="251" t="str">
        <f>"(L"&amp;A20&amp;" + L"&amp;A21&amp;" + L"&amp;A23&amp;" + L"&amp;A25&amp;") / L"&amp;A26&amp;""</f>
        <v>(L14 + L15 + L17 + L19) / L20</v>
      </c>
      <c r="G28" s="7">
        <f>(G20+G21+G23+G25)/G26</f>
        <v>0.18265038721639726</v>
      </c>
    </row>
    <row r="29" spans="1:8" ht="13">
      <c r="A29" s="2">
        <f t="shared" si="0"/>
        <v>23</v>
      </c>
      <c r="E29" s="251"/>
      <c r="G29" s="7"/>
    </row>
    <row r="30" spans="1:8" ht="13">
      <c r="A30" s="2">
        <f t="shared" si="0"/>
        <v>24</v>
      </c>
      <c r="B30" s="1" t="s">
        <v>2539</v>
      </c>
    </row>
    <row r="31" spans="1:8" ht="13">
      <c r="A31" s="2">
        <f t="shared" si="0"/>
        <v>25</v>
      </c>
      <c r="B31" s="251"/>
    </row>
    <row r="32" spans="1:8" ht="13">
      <c r="A32" s="2">
        <f t="shared" si="0"/>
        <v>26</v>
      </c>
      <c r="B32" s="251" t="s">
        <v>2540</v>
      </c>
      <c r="D32" s="3" t="s">
        <v>2541</v>
      </c>
      <c r="E32" s="3" t="s">
        <v>100</v>
      </c>
      <c r="G32" s="32" t="s">
        <v>2542</v>
      </c>
    </row>
    <row r="33" spans="1:7" ht="13">
      <c r="A33" s="2">
        <f t="shared" si="0"/>
        <v>27</v>
      </c>
      <c r="C33" s="251" t="s">
        <v>2543</v>
      </c>
      <c r="D33" s="548">
        <v>5649.4018181818174</v>
      </c>
      <c r="E33" s="3"/>
      <c r="G33" s="261" t="s">
        <v>2544</v>
      </c>
    </row>
    <row r="34" spans="1:7" ht="13">
      <c r="A34" s="2">
        <f t="shared" si="0"/>
        <v>28</v>
      </c>
      <c r="C34" s="251" t="s">
        <v>2545</v>
      </c>
      <c r="D34" s="548">
        <v>5992.3221590909052</v>
      </c>
      <c r="E34" s="3"/>
      <c r="G34" s="261" t="s">
        <v>1505</v>
      </c>
    </row>
    <row r="35" spans="1:7" ht="13">
      <c r="A35" s="2">
        <f t="shared" si="0"/>
        <v>29</v>
      </c>
      <c r="C35" s="251" t="s">
        <v>2546</v>
      </c>
      <c r="D35" s="57">
        <f>SUM(D33:D34)</f>
        <v>11641.723977272723</v>
      </c>
      <c r="E35" s="251" t="str">
        <f>" = L"&amp;A33&amp;" + L"&amp;A34&amp;""</f>
        <v xml:space="preserve"> = L27 + L28</v>
      </c>
      <c r="G35" s="261" t="s">
        <v>2547</v>
      </c>
    </row>
    <row r="36" spans="1:7" ht="13">
      <c r="A36" s="2">
        <f t="shared" si="0"/>
        <v>30</v>
      </c>
      <c r="C36" s="251" t="s">
        <v>2548</v>
      </c>
      <c r="D36" s="525">
        <f>D33/D35</f>
        <v>0.48527192615206538</v>
      </c>
      <c r="E36" s="251" t="str">
        <f>" = L"&amp;A33&amp;" / L"&amp;A35&amp;""</f>
        <v xml:space="preserve"> = L27 / L29</v>
      </c>
      <c r="G36" s="31"/>
    </row>
    <row r="37" spans="1:7" ht="13">
      <c r="A37" s="2">
        <f t="shared" si="0"/>
        <v>31</v>
      </c>
      <c r="B37" s="3"/>
      <c r="C37" s="3"/>
      <c r="E37" s="3"/>
      <c r="G37" s="3"/>
    </row>
    <row r="38" spans="1:7" ht="13">
      <c r="A38" s="2">
        <f t="shared" si="0"/>
        <v>32</v>
      </c>
      <c r="B38" s="251" t="s">
        <v>2549</v>
      </c>
      <c r="D38" s="3" t="s">
        <v>2541</v>
      </c>
      <c r="E38" s="3" t="s">
        <v>100</v>
      </c>
      <c r="G38" s="32" t="s">
        <v>2542</v>
      </c>
    </row>
    <row r="39" spans="1:7" ht="13">
      <c r="A39" s="2">
        <f t="shared" si="0"/>
        <v>33</v>
      </c>
      <c r="B39" s="37"/>
      <c r="C39" s="251" t="s">
        <v>2550</v>
      </c>
      <c r="D39" s="548">
        <v>4.4288636363636362</v>
      </c>
      <c r="E39" s="3"/>
      <c r="G39" s="31" t="s">
        <v>2551</v>
      </c>
    </row>
    <row r="40" spans="1:7" ht="13">
      <c r="A40" s="2">
        <f t="shared" si="0"/>
        <v>34</v>
      </c>
      <c r="B40" s="37"/>
      <c r="C40" s="251" t="s">
        <v>2552</v>
      </c>
      <c r="D40" s="548">
        <v>214.26553030303026</v>
      </c>
      <c r="E40" s="3"/>
      <c r="G40" s="31" t="s">
        <v>2553</v>
      </c>
    </row>
    <row r="41" spans="1:7" ht="13">
      <c r="A41" s="2">
        <f t="shared" si="0"/>
        <v>35</v>
      </c>
      <c r="B41" s="37"/>
      <c r="C41" s="251" t="s">
        <v>2554</v>
      </c>
      <c r="D41" s="57">
        <f>SUM(D39:D40)</f>
        <v>218.6943939393939</v>
      </c>
      <c r="E41" s="251" t="str">
        <f>" = L"&amp;A39&amp;" + L"&amp;A40&amp;""</f>
        <v xml:space="preserve"> = L33 + L34</v>
      </c>
    </row>
    <row r="42" spans="1:7" ht="13">
      <c r="A42" s="2">
        <f t="shared" si="0"/>
        <v>36</v>
      </c>
      <c r="B42" s="37"/>
      <c r="C42" s="251" t="s">
        <v>2555</v>
      </c>
      <c r="D42" s="525">
        <f>D39/D41</f>
        <v>2.0251381649915513E-2</v>
      </c>
      <c r="E42" s="251" t="str">
        <f>" = L"&amp;A39&amp;" / L"&amp;A41&amp;""</f>
        <v xml:space="preserve"> = L33 / L35</v>
      </c>
    </row>
    <row r="43" spans="1:7" ht="13">
      <c r="A43" s="2">
        <f t="shared" si="0"/>
        <v>37</v>
      </c>
      <c r="B43" s="37"/>
      <c r="C43" s="12"/>
      <c r="E43" s="3"/>
      <c r="G43" s="6"/>
    </row>
    <row r="44" spans="1:7" ht="13">
      <c r="A44" s="2">
        <f t="shared" si="0"/>
        <v>38</v>
      </c>
      <c r="B44" s="251" t="s">
        <v>2556</v>
      </c>
      <c r="D44" s="3" t="s">
        <v>2541</v>
      </c>
      <c r="E44" s="3" t="s">
        <v>100</v>
      </c>
      <c r="G44" s="32" t="s">
        <v>2542</v>
      </c>
    </row>
    <row r="45" spans="1:7" ht="13">
      <c r="A45" s="2">
        <f t="shared" ref="A45:A54" si="1">A44+1</f>
        <v>39</v>
      </c>
      <c r="B45" s="37"/>
      <c r="C45" s="251" t="s">
        <v>2557</v>
      </c>
      <c r="D45" s="548">
        <v>1299</v>
      </c>
      <c r="E45" s="3"/>
      <c r="G45" s="31" t="s">
        <v>2558</v>
      </c>
    </row>
    <row r="46" spans="1:7" ht="13">
      <c r="A46" s="2">
        <f t="shared" si="1"/>
        <v>40</v>
      </c>
      <c r="B46" s="37"/>
      <c r="C46" s="251" t="s">
        <v>2559</v>
      </c>
      <c r="D46" s="548">
        <v>2019</v>
      </c>
      <c r="E46" s="3"/>
      <c r="G46" s="31"/>
    </row>
    <row r="47" spans="1:7" ht="13">
      <c r="A47" s="2">
        <f t="shared" si="1"/>
        <v>41</v>
      </c>
      <c r="B47" s="37"/>
      <c r="C47" s="251" t="s">
        <v>2560</v>
      </c>
      <c r="D47" s="57">
        <f>SUM(D45:D46)</f>
        <v>3318</v>
      </c>
      <c r="E47" s="251" t="str">
        <f>" = L"&amp;A45&amp;" + L"&amp;A46&amp;""</f>
        <v xml:space="preserve"> = L39 + L40</v>
      </c>
    </row>
    <row r="48" spans="1:7" ht="13">
      <c r="A48" s="2">
        <f t="shared" si="1"/>
        <v>42</v>
      </c>
      <c r="B48" s="37"/>
      <c r="C48" s="251" t="s">
        <v>2561</v>
      </c>
      <c r="D48" s="525">
        <f>D45/D47</f>
        <v>0.39150090415913202</v>
      </c>
      <c r="E48" s="251" t="str">
        <f>" = L"&amp;A45&amp;" / L"&amp;A47&amp;""</f>
        <v xml:space="preserve"> = L39 / L41</v>
      </c>
    </row>
    <row r="49" spans="1:7" ht="13">
      <c r="A49" s="2">
        <f t="shared" si="1"/>
        <v>43</v>
      </c>
      <c r="C49" s="25"/>
    </row>
    <row r="50" spans="1:7" ht="13">
      <c r="A50" s="2">
        <f t="shared" si="1"/>
        <v>44</v>
      </c>
      <c r="B50" s="251" t="s">
        <v>2562</v>
      </c>
      <c r="D50" s="3" t="s">
        <v>2541</v>
      </c>
      <c r="E50" s="3" t="s">
        <v>100</v>
      </c>
      <c r="G50" s="32" t="s">
        <v>2542</v>
      </c>
    </row>
    <row r="51" spans="1:7" ht="13">
      <c r="A51" s="2">
        <f t="shared" si="1"/>
        <v>45</v>
      </c>
      <c r="B51" s="37"/>
      <c r="C51" s="251" t="s">
        <v>2563</v>
      </c>
      <c r="D51" s="548">
        <v>0</v>
      </c>
      <c r="E51" s="3"/>
      <c r="G51" s="261" t="s">
        <v>1524</v>
      </c>
    </row>
    <row r="52" spans="1:7" ht="13">
      <c r="A52" s="2">
        <f t="shared" si="1"/>
        <v>46</v>
      </c>
      <c r="B52" s="37"/>
      <c r="C52" s="251" t="s">
        <v>2564</v>
      </c>
      <c r="D52" s="548">
        <v>8959</v>
      </c>
      <c r="E52" s="3"/>
      <c r="G52" s="261" t="s">
        <v>1525</v>
      </c>
    </row>
    <row r="53" spans="1:7" ht="13">
      <c r="A53" s="2">
        <f t="shared" si="1"/>
        <v>47</v>
      </c>
      <c r="B53" s="37"/>
      <c r="C53" s="251" t="s">
        <v>2565</v>
      </c>
      <c r="D53" s="57">
        <f>D51+D52</f>
        <v>8959</v>
      </c>
      <c r="E53" s="251" t="str">
        <f>" = L"&amp;A51&amp;" + L"&amp;A52&amp;""</f>
        <v xml:space="preserve"> = L45 + L46</v>
      </c>
      <c r="G53" s="261" t="s">
        <v>1526</v>
      </c>
    </row>
    <row r="54" spans="1:7" ht="13">
      <c r="A54" s="2">
        <f t="shared" si="1"/>
        <v>48</v>
      </c>
      <c r="B54" s="37"/>
      <c r="C54" s="251" t="s">
        <v>2566</v>
      </c>
      <c r="D54" s="525">
        <f>D51/D53</f>
        <v>0</v>
      </c>
      <c r="E54" s="251" t="str">
        <f>" = L"&amp;A51&amp;" / L"&amp;A53&amp;""</f>
        <v xml:space="preserve"> = L45 / L47</v>
      </c>
      <c r="G54" s="261" t="s">
        <v>1527</v>
      </c>
    </row>
    <row r="55" spans="1:7" ht="13">
      <c r="A55" s="2"/>
    </row>
    <row r="56" spans="1:7" ht="13">
      <c r="A56" s="2"/>
    </row>
    <row r="57" spans="1:7" ht="13">
      <c r="A57" s="2"/>
    </row>
    <row r="58" spans="1:7" ht="13">
      <c r="A58" s="2"/>
    </row>
    <row r="59" spans="1:7" ht="13">
      <c r="A59" s="2"/>
    </row>
    <row r="60" spans="1:7" ht="13">
      <c r="A60" s="2"/>
    </row>
    <row r="61" spans="1:7" ht="13">
      <c r="A61" s="2"/>
    </row>
    <row r="62" spans="1:7" ht="13">
      <c r="A62" s="2"/>
    </row>
    <row r="63" spans="1:7" ht="13">
      <c r="A63" s="2"/>
    </row>
    <row r="64" spans="1:7" ht="13">
      <c r="A64" s="2"/>
    </row>
    <row r="65" spans="1:1" ht="13">
      <c r="A65" s="2"/>
    </row>
    <row r="66" spans="1:1" ht="13">
      <c r="A66" s="2"/>
    </row>
  </sheetData>
  <phoneticPr fontId="23" type="noConversion"/>
  <pageMargins left="0.75" right="0.75" top="1" bottom="1" header="0.5" footer="0.5"/>
  <pageSetup scale="65" orientation="landscape" cellComments="asDisplayed" r:id="rId1"/>
  <headerFooter alignWithMargins="0">
    <oddHeader>&amp;CSchedule 27
Allocation Factors
&amp;RTO2023 Draft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s>
  <sheetData>
    <row r="1" spans="1:9" ht="13">
      <c r="A1" s="1" t="s">
        <v>2567</v>
      </c>
    </row>
    <row r="2" spans="1:9" ht="13">
      <c r="C2" s="710"/>
      <c r="D2" s="1" t="s">
        <v>195</v>
      </c>
      <c r="E2" s="258" t="s">
        <v>2568</v>
      </c>
      <c r="F2" s="282"/>
    </row>
    <row r="3" spans="1:9" ht="13">
      <c r="B3" s="1" t="s">
        <v>2569</v>
      </c>
      <c r="I3" s="55" t="s">
        <v>635</v>
      </c>
    </row>
    <row r="4" spans="1:9" ht="13">
      <c r="B4" s="1"/>
    </row>
    <row r="5" spans="1:9" ht="13">
      <c r="E5" s="2" t="s">
        <v>2570</v>
      </c>
    </row>
    <row r="6" spans="1:9" ht="13">
      <c r="A6" s="30" t="s">
        <v>273</v>
      </c>
      <c r="C6" s="3" t="s">
        <v>512</v>
      </c>
      <c r="D6" s="3" t="s">
        <v>513</v>
      </c>
      <c r="E6" s="30" t="s">
        <v>860</v>
      </c>
      <c r="G6" s="3" t="s">
        <v>2571</v>
      </c>
      <c r="I6" s="30" t="s">
        <v>251</v>
      </c>
    </row>
    <row r="7" spans="1:9" ht="13">
      <c r="A7" s="2">
        <v>1</v>
      </c>
      <c r="C7" s="84">
        <v>2021</v>
      </c>
      <c r="D7" s="387" t="s">
        <v>2572</v>
      </c>
      <c r="E7" s="85">
        <v>365</v>
      </c>
      <c r="G7" s="894">
        <v>9.3645816374923023E-3</v>
      </c>
      <c r="I7" s="418" t="s">
        <v>3067</v>
      </c>
    </row>
    <row r="8" spans="1:9" ht="13">
      <c r="A8" s="2">
        <v>2</v>
      </c>
      <c r="C8" s="55"/>
      <c r="D8" s="55"/>
      <c r="E8" s="55"/>
      <c r="G8" s="55"/>
      <c r="I8" s="258"/>
    </row>
    <row r="10" spans="1:9" ht="13">
      <c r="B10" s="1" t="s">
        <v>2573</v>
      </c>
    </row>
    <row r="11" spans="1:9" ht="13">
      <c r="B11" s="1"/>
    </row>
    <row r="12" spans="1:9" ht="13">
      <c r="E12" s="2" t="s">
        <v>2570</v>
      </c>
    </row>
    <row r="13" spans="1:9" ht="13">
      <c r="C13" s="3" t="s">
        <v>512</v>
      </c>
      <c r="D13" s="3" t="s">
        <v>513</v>
      </c>
      <c r="E13" s="30" t="s">
        <v>860</v>
      </c>
      <c r="G13" s="3" t="s">
        <v>2574</v>
      </c>
      <c r="I13" s="30" t="s">
        <v>251</v>
      </c>
    </row>
    <row r="14" spans="1:9" ht="13">
      <c r="A14" s="2">
        <v>3</v>
      </c>
      <c r="C14" s="84">
        <v>2021</v>
      </c>
      <c r="D14" s="85" t="s">
        <v>2572</v>
      </c>
      <c r="E14" s="85">
        <v>365</v>
      </c>
      <c r="G14" s="1108">
        <v>9.9696572646551899E-3</v>
      </c>
      <c r="I14" s="258" t="s">
        <v>3068</v>
      </c>
    </row>
    <row r="15" spans="1:9" ht="13">
      <c r="A15" s="2">
        <v>4</v>
      </c>
      <c r="C15" s="84"/>
      <c r="D15" s="55"/>
      <c r="E15" s="55"/>
      <c r="G15" s="51"/>
      <c r="I15" s="258"/>
    </row>
    <row r="18" spans="1:9" ht="13">
      <c r="B18" s="1" t="s">
        <v>2575</v>
      </c>
    </row>
    <row r="19" spans="1:9" ht="13">
      <c r="B19" s="1"/>
    </row>
    <row r="20" spans="1:9" ht="13">
      <c r="C20" s="2" t="s">
        <v>414</v>
      </c>
      <c r="D20" s="2"/>
      <c r="E20" s="2"/>
    </row>
    <row r="21" spans="1:9" ht="13">
      <c r="C21" s="3" t="s">
        <v>372</v>
      </c>
      <c r="D21" s="3" t="s">
        <v>2571</v>
      </c>
      <c r="E21" s="3" t="s">
        <v>2574</v>
      </c>
      <c r="I21" s="30" t="s">
        <v>100</v>
      </c>
    </row>
    <row r="22" spans="1:9" ht="13">
      <c r="A22" s="2">
        <v>5</v>
      </c>
      <c r="C22" s="85">
        <v>2021</v>
      </c>
      <c r="D22" s="386">
        <f>E41</f>
        <v>9.3645816374923023E-3</v>
      </c>
      <c r="E22" s="386">
        <f>E42</f>
        <v>9.9696572646551899E-3</v>
      </c>
      <c r="I22" s="251" t="s">
        <v>2576</v>
      </c>
    </row>
    <row r="24" spans="1:9" ht="13">
      <c r="B24" s="1" t="s">
        <v>228</v>
      </c>
    </row>
    <row r="25" spans="1:9">
      <c r="B25" s="251" t="s">
        <v>2577</v>
      </c>
    </row>
    <row r="26" spans="1:9">
      <c r="B26" s="251" t="s">
        <v>2578</v>
      </c>
    </row>
    <row r="28" spans="1:9" ht="13">
      <c r="B28" s="1" t="s">
        <v>433</v>
      </c>
    </row>
    <row r="29" spans="1:9">
      <c r="B29" s="251" t="s">
        <v>2579</v>
      </c>
    </row>
    <row r="30" spans="1:9">
      <c r="B30" s="251" t="s">
        <v>2580</v>
      </c>
    </row>
    <row r="31" spans="1:9">
      <c r="B31" s="251" t="s">
        <v>2581</v>
      </c>
    </row>
    <row r="32" spans="1:9">
      <c r="B32" s="251" t="s">
        <v>2582</v>
      </c>
    </row>
    <row r="33" spans="2:7">
      <c r="B33" s="251" t="s">
        <v>2583</v>
      </c>
    </row>
    <row r="34" spans="2:7">
      <c r="B34" s="251" t="s">
        <v>2584</v>
      </c>
    </row>
    <row r="35" spans="2:7">
      <c r="B35" s="251" t="s">
        <v>2585</v>
      </c>
    </row>
    <row r="36" spans="2:7">
      <c r="B36" s="251" t="s">
        <v>2586</v>
      </c>
    </row>
    <row r="37" spans="2:7">
      <c r="B37" s="251" t="s">
        <v>2587</v>
      </c>
    </row>
    <row r="38" spans="2:7">
      <c r="B38" s="251" t="s">
        <v>2588</v>
      </c>
    </row>
    <row r="40" spans="2:7" ht="13">
      <c r="E40" s="3" t="s">
        <v>1543</v>
      </c>
      <c r="G40" s="30" t="s">
        <v>470</v>
      </c>
    </row>
    <row r="41" spans="2:7">
      <c r="D41" s="249" t="s">
        <v>2589</v>
      </c>
      <c r="E41" s="386">
        <f>((G7*E7) + (G8*E8))/(E7+E8)</f>
        <v>9.3645816374923023E-3</v>
      </c>
      <c r="G41" s="261" t="s">
        <v>2590</v>
      </c>
    </row>
    <row r="42" spans="2:7">
      <c r="D42" s="249" t="s">
        <v>2591</v>
      </c>
      <c r="E42" s="386">
        <f>((G14*E14) + (G15*E15))/(E14+E15)</f>
        <v>9.9696572646551899E-3</v>
      </c>
      <c r="G42" s="261" t="s">
        <v>2592</v>
      </c>
    </row>
  </sheetData>
  <phoneticPr fontId="23" type="noConversion"/>
  <pageMargins left="0.75" right="0.75" top="1" bottom="1" header="0.5" footer="0.5"/>
  <pageSetup scale="82" orientation="portrait" cellComments="asDisplayed" r:id="rId1"/>
  <headerFooter alignWithMargins="0">
    <oddHeader>&amp;CSchedule 28
FF and U
&amp;RTO2023 Draft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2593</v>
      </c>
    </row>
    <row r="2" spans="1:10">
      <c r="G2" s="27" t="s">
        <v>635</v>
      </c>
      <c r="H2" s="27"/>
      <c r="I2" s="55"/>
    </row>
    <row r="3" spans="1:10" ht="13">
      <c r="A3" s="3" t="s">
        <v>273</v>
      </c>
      <c r="B3" s="3" t="s">
        <v>2594</v>
      </c>
      <c r="F3" s="30" t="s">
        <v>100</v>
      </c>
      <c r="G3" s="30" t="s">
        <v>652</v>
      </c>
      <c r="J3" s="30"/>
    </row>
    <row r="4" spans="1:10" ht="13">
      <c r="A4" s="2">
        <v>1</v>
      </c>
      <c r="B4" s="253">
        <f>'1-BaseTRR'!K160</f>
        <v>1301000362.8298948</v>
      </c>
      <c r="C4" s="31" t="s">
        <v>2595</v>
      </c>
      <c r="G4" s="251" t="str">
        <f>"1-BaseTRR, Line "&amp;'1-BaseTRR'!A160&amp;""</f>
        <v>1-BaseTRR, Line 89</v>
      </c>
    </row>
    <row r="5" spans="1:10" ht="13">
      <c r="A5" s="2">
        <f t="shared" ref="A5:A10" si="0">A4+1</f>
        <v>2</v>
      </c>
      <c r="B5" s="128">
        <v>-111260489</v>
      </c>
      <c r="C5" s="31" t="s">
        <v>2596</v>
      </c>
      <c r="F5" s="251" t="s">
        <v>144</v>
      </c>
      <c r="G5" s="210" t="s">
        <v>2949</v>
      </c>
      <c r="H5" s="210"/>
      <c r="I5" s="210" t="s">
        <v>2950</v>
      </c>
    </row>
    <row r="6" spans="1:10" ht="13">
      <c r="A6" s="2">
        <f t="shared" si="0"/>
        <v>3</v>
      </c>
      <c r="B6" s="128">
        <v>-110802984</v>
      </c>
      <c r="C6" s="31" t="s">
        <v>2597</v>
      </c>
      <c r="G6" s="210" t="s">
        <v>2949</v>
      </c>
      <c r="H6" s="210"/>
      <c r="I6" s="210" t="s">
        <v>2950</v>
      </c>
    </row>
    <row r="7" spans="1:10" ht="13">
      <c r="A7" s="2">
        <f t="shared" si="0"/>
        <v>4</v>
      </c>
      <c r="B7" s="128">
        <v>-457506</v>
      </c>
      <c r="C7" s="31" t="s">
        <v>2598</v>
      </c>
      <c r="G7" s="210" t="s">
        <v>2949</v>
      </c>
      <c r="H7" s="210"/>
      <c r="I7" s="210" t="s">
        <v>2950</v>
      </c>
    </row>
    <row r="8" spans="1:10" ht="13">
      <c r="A8" s="2">
        <f t="shared" si="0"/>
        <v>5</v>
      </c>
      <c r="B8" s="253">
        <f>-'33-RetailRates'!E61</f>
        <v>-8082571.222858483</v>
      </c>
      <c r="C8" s="31" t="s">
        <v>2599</v>
      </c>
      <c r="F8" t="s">
        <v>165</v>
      </c>
      <c r="G8" t="s">
        <v>2600</v>
      </c>
    </row>
    <row r="9" spans="1:10" ht="13">
      <c r="A9" s="2">
        <f t="shared" si="0"/>
        <v>6</v>
      </c>
      <c r="B9" s="7">
        <f>'31-HVLV'!C45</f>
        <v>0.96262423379486128</v>
      </c>
      <c r="C9" s="31" t="s">
        <v>2601</v>
      </c>
      <c r="G9" s="251" t="str">
        <f>"31-HVLV, Line "&amp;'31-HVLV'!A45&amp;""</f>
        <v>31-HVLV, Line 37</v>
      </c>
    </row>
    <row r="10" spans="1:10" ht="13">
      <c r="A10" s="2">
        <f t="shared" si="0"/>
        <v>7</v>
      </c>
      <c r="B10" s="7">
        <f>'31-HVLV'!D45</f>
        <v>3.737576620513882E-2</v>
      </c>
      <c r="C10" s="31" t="s">
        <v>2602</v>
      </c>
      <c r="G10" s="251" t="str">
        <f>"31-HVLV, Line "&amp;'31-HVLV'!A45&amp;""</f>
        <v>31-HVLV, Line 37</v>
      </c>
    </row>
    <row r="11" spans="1:10">
      <c r="C11" s="25"/>
      <c r="D11" s="351"/>
      <c r="E11" s="351"/>
      <c r="F11" s="351"/>
      <c r="G11" s="351"/>
      <c r="H11" s="351"/>
      <c r="J11" s="351"/>
    </row>
    <row r="12" spans="1:10" ht="13">
      <c r="B12" s="1" t="s">
        <v>2603</v>
      </c>
      <c r="C12" s="25"/>
      <c r="D12" s="351"/>
      <c r="E12" s="351"/>
      <c r="F12" s="351"/>
      <c r="G12" s="351"/>
      <c r="H12" s="351"/>
    </row>
    <row r="13" spans="1:10" ht="13">
      <c r="B13" s="1"/>
      <c r="C13" s="25"/>
      <c r="D13" s="351"/>
      <c r="E13" s="351"/>
      <c r="F13" s="351"/>
      <c r="G13" s="351"/>
      <c r="H13" s="351"/>
    </row>
    <row r="14" spans="1:10" ht="13">
      <c r="B14" s="1"/>
      <c r="C14" s="25"/>
      <c r="D14" s="48" t="s">
        <v>336</v>
      </c>
      <c r="E14" s="48" t="s">
        <v>337</v>
      </c>
      <c r="F14" s="48" t="s">
        <v>338</v>
      </c>
      <c r="G14" s="351"/>
      <c r="H14" s="351"/>
    </row>
    <row r="15" spans="1:10" ht="13">
      <c r="B15" s="1"/>
      <c r="C15" s="25"/>
      <c r="F15" s="351"/>
      <c r="G15" s="351"/>
      <c r="H15" s="351"/>
    </row>
    <row r="16" spans="1:10" ht="13">
      <c r="E16" s="2" t="s">
        <v>2604</v>
      </c>
      <c r="F16" s="2" t="s">
        <v>2605</v>
      </c>
    </row>
    <row r="17" spans="1:8" ht="13">
      <c r="C17" s="25"/>
      <c r="D17" s="3" t="s">
        <v>2606</v>
      </c>
      <c r="E17" s="3" t="s">
        <v>2607</v>
      </c>
      <c r="F17" s="3" t="s">
        <v>2607</v>
      </c>
      <c r="G17" s="3"/>
      <c r="H17" s="3" t="s">
        <v>652</v>
      </c>
    </row>
    <row r="18" spans="1:8" ht="13">
      <c r="A18" s="2">
        <f>A10+1</f>
        <v>8</v>
      </c>
      <c r="B18" s="52"/>
      <c r="C18" s="39" t="s">
        <v>2608</v>
      </c>
      <c r="D18" s="6">
        <f>B4</f>
        <v>1301000362.8298948</v>
      </c>
      <c r="E18" s="6">
        <f>D18*B9</f>
        <v>1252374477.4359641</v>
      </c>
      <c r="F18" s="6">
        <f>D18*B10</f>
        <v>48625885.393930927</v>
      </c>
      <c r="G18" s="6"/>
      <c r="H18" s="251" t="s">
        <v>347</v>
      </c>
    </row>
    <row r="19" spans="1:8" ht="13">
      <c r="A19" s="2">
        <f>A18+1</f>
        <v>9</v>
      </c>
      <c r="B19" s="52"/>
      <c r="C19" s="39" t="s">
        <v>2609</v>
      </c>
      <c r="D19" s="6">
        <f>'24-CWIPTRR'!E149</f>
        <v>12813405.513177497</v>
      </c>
      <c r="E19" s="6">
        <f>'24-CWIPTRR'!E149</f>
        <v>12813405.513177497</v>
      </c>
      <c r="F19" s="6">
        <v>0</v>
      </c>
      <c r="G19" s="6"/>
      <c r="H19" s="251" t="s">
        <v>348</v>
      </c>
    </row>
    <row r="20" spans="1:8" ht="13">
      <c r="A20" s="2">
        <f>A19+1</f>
        <v>10</v>
      </c>
      <c r="B20" s="52"/>
      <c r="C20" s="39" t="s">
        <v>2610</v>
      </c>
      <c r="D20" s="6">
        <f>D18-D19</f>
        <v>1288186957.3167174</v>
      </c>
      <c r="E20" s="6">
        <f t="shared" ref="E20:F20" si="1">E18-E19</f>
        <v>1239561071.9227867</v>
      </c>
      <c r="F20" s="6">
        <f t="shared" si="1"/>
        <v>48625885.393930927</v>
      </c>
      <c r="G20" s="6"/>
      <c r="H20" s="251" t="s">
        <v>350</v>
      </c>
    </row>
    <row r="21" spans="1:8" ht="13">
      <c r="B21" s="52"/>
      <c r="C21" s="52"/>
      <c r="D21" s="6"/>
      <c r="E21" s="6"/>
      <c r="F21" s="6"/>
      <c r="G21" s="6"/>
    </row>
    <row r="22" spans="1:8" ht="13">
      <c r="A22" s="2">
        <f>A20+1</f>
        <v>11</v>
      </c>
      <c r="B22" s="1"/>
      <c r="C22" s="39" t="s">
        <v>2611</v>
      </c>
      <c r="D22" s="6">
        <f>B5</f>
        <v>-111260489</v>
      </c>
      <c r="E22" s="6">
        <f>B6</f>
        <v>-110802984</v>
      </c>
      <c r="F22" s="6">
        <f>B7</f>
        <v>-457506</v>
      </c>
      <c r="G22" s="6"/>
      <c r="H22" t="str">
        <f>"Lines "&amp;A5&amp;" to "&amp;A7&amp;""</f>
        <v>Lines 2 to 4</v>
      </c>
    </row>
    <row r="23" spans="1:8" ht="13">
      <c r="B23" s="1"/>
      <c r="C23" s="39"/>
      <c r="D23" s="6"/>
      <c r="E23" s="6"/>
      <c r="F23" s="6"/>
      <c r="G23" s="6"/>
    </row>
    <row r="24" spans="1:8" ht="13">
      <c r="A24" s="2">
        <f>A22+1</f>
        <v>12</v>
      </c>
      <c r="B24" s="1"/>
      <c r="C24" s="39" t="s">
        <v>2612</v>
      </c>
      <c r="D24" s="53">
        <f>$B$8</f>
        <v>-8082571.222858483</v>
      </c>
      <c r="E24" s="53">
        <f>$B$8*$B$9</f>
        <v>-7780478.9304965418</v>
      </c>
      <c r="F24" s="53">
        <f>$B$8*$B$10</f>
        <v>-302092.29236194165</v>
      </c>
      <c r="G24" s="53"/>
      <c r="H24" s="251" t="s">
        <v>351</v>
      </c>
    </row>
    <row r="25" spans="1:8" ht="13">
      <c r="A25" s="2"/>
      <c r="B25" s="1"/>
      <c r="C25" s="39"/>
      <c r="D25" s="53"/>
      <c r="E25" s="53"/>
      <c r="F25" s="53"/>
      <c r="G25" s="53"/>
      <c r="H25" s="251"/>
    </row>
    <row r="26" spans="1:8" ht="13">
      <c r="B26" s="1"/>
      <c r="C26" s="39" t="s">
        <v>2613</v>
      </c>
      <c r="D26" s="53"/>
      <c r="E26" s="53"/>
      <c r="F26" s="53"/>
      <c r="G26" s="53"/>
    </row>
    <row r="27" spans="1:8" ht="13">
      <c r="A27" s="2">
        <f>A24+1</f>
        <v>13</v>
      </c>
      <c r="B27" s="1"/>
      <c r="C27" s="39" t="s">
        <v>2614</v>
      </c>
      <c r="D27" s="6">
        <f>D18+D22+D24</f>
        <v>1181657302.6070364</v>
      </c>
      <c r="E27" s="6">
        <f>E18+E22+E24</f>
        <v>1133791014.5054677</v>
      </c>
      <c r="F27" s="6">
        <f>F18+F22+F24</f>
        <v>47866287.101568982</v>
      </c>
      <c r="G27" s="6"/>
      <c r="H27" s="253" t="str">
        <f>"Sum of Lines "&amp;A18&amp;", "&amp;A22&amp;", and "&amp;A24&amp;""</f>
        <v>Sum of Lines 8, 11, and 12</v>
      </c>
    </row>
    <row r="28" spans="1:8">
      <c r="E28" s="6"/>
    </row>
    <row r="29" spans="1:8" ht="13">
      <c r="B29" s="30" t="s">
        <v>228</v>
      </c>
    </row>
    <row r="30" spans="1:8">
      <c r="B30" s="251" t="s">
        <v>2615</v>
      </c>
    </row>
    <row r="31" spans="1:8">
      <c r="B31" s="251" t="s">
        <v>2616</v>
      </c>
    </row>
    <row r="32" spans="1:8">
      <c r="B32" s="251" t="s">
        <v>2617</v>
      </c>
    </row>
    <row r="33" spans="2:5">
      <c r="B33" s="251" t="s">
        <v>2618</v>
      </c>
      <c r="D33" s="55"/>
      <c r="E33" s="55"/>
    </row>
    <row r="34" spans="2:5">
      <c r="B34" s="251" t="str">
        <f>"3) Column 1 is from Line "&amp;A4&amp;"."</f>
        <v>3) Column 1 is from Line 1.</v>
      </c>
    </row>
    <row r="35" spans="2:5">
      <c r="B35" s="250" t="str">
        <f>"Column 2 equals Column 1 * Line "&amp;A9&amp;"."</f>
        <v>Column 2 equals Column 1 * Line 6.</v>
      </c>
    </row>
    <row r="36" spans="2:5">
      <c r="B36" s="250" t="str">
        <f>"Column 3 equals Column 1 * Line "&amp;A10&amp;"."</f>
        <v>Column 3 equals Column 1 * Line 7.</v>
      </c>
    </row>
    <row r="37" spans="2:5">
      <c r="B37" t="str">
        <f>"4) From 24-CWIPTRR, Line "&amp;'24-CWIPTRR'!A149&amp;".  All High Voltage."</f>
        <v>4) From 24-CWIPTRR, Line 92.  All High Voltage.</v>
      </c>
    </row>
    <row r="38" spans="2:5">
      <c r="B38" t="str">
        <f>"5) Line "&amp;A18&amp;" - Line "&amp;A19&amp;""</f>
        <v>5) Line 8 - Line 9</v>
      </c>
    </row>
    <row r="39" spans="2:5">
      <c r="B39" s="251" t="str">
        <f>"6) Column 1 is from Line "&amp;A8&amp;"."</f>
        <v>6) Column 1 is from Line 5.</v>
      </c>
    </row>
    <row r="40" spans="2:5">
      <c r="B40" s="250" t="str">
        <f>"Column 2 equals Column 1 * Line "&amp;A9&amp;"."</f>
        <v>Column 2 equals Column 1 * Line 6.</v>
      </c>
    </row>
    <row r="41" spans="2:5">
      <c r="B41" s="250"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&amp;RTO2023 Draft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3"/>
  <sheetViews>
    <sheetView zoomScaleNormal="100" workbookViewId="0"/>
  </sheetViews>
  <sheetFormatPr defaultRowHeight="12.5"/>
  <cols>
    <col min="1" max="2" width="4.54296875" customWidth="1"/>
    <col min="4" max="4" width="24.453125" customWidth="1"/>
    <col min="5" max="5" width="17.54296875" customWidth="1"/>
    <col min="6" max="6" width="10.1796875" style="12" customWidth="1"/>
    <col min="7" max="7" width="10.453125" bestFit="1" customWidth="1"/>
  </cols>
  <sheetData>
    <row r="1" spans="1:7" ht="13">
      <c r="A1" s="1" t="s">
        <v>2619</v>
      </c>
    </row>
    <row r="2" spans="1:7" ht="13">
      <c r="B2" s="1"/>
    </row>
    <row r="3" spans="1:7">
      <c r="B3" s="251" t="s">
        <v>2620</v>
      </c>
    </row>
    <row r="4" spans="1:7">
      <c r="B4" s="251"/>
    </row>
    <row r="5" spans="1:7">
      <c r="B5" s="250" t="s">
        <v>2621</v>
      </c>
    </row>
    <row r="6" spans="1:7">
      <c r="B6" s="250" t="s">
        <v>2622</v>
      </c>
    </row>
    <row r="7" spans="1:7">
      <c r="B7" s="250" t="s">
        <v>2623</v>
      </c>
    </row>
    <row r="8" spans="1:7">
      <c r="B8" s="251"/>
    </row>
    <row r="9" spans="1:7">
      <c r="B9" s="251"/>
    </row>
    <row r="10" spans="1:7" ht="13">
      <c r="B10" s="1" t="s">
        <v>2624</v>
      </c>
    </row>
    <row r="11" spans="1:7" ht="13">
      <c r="A11" s="3" t="s">
        <v>273</v>
      </c>
      <c r="G11" s="3" t="s">
        <v>652</v>
      </c>
    </row>
    <row r="12" spans="1:7" ht="13">
      <c r="A12" s="2">
        <v>1</v>
      </c>
      <c r="D12" s="249" t="s">
        <v>2625</v>
      </c>
      <c r="E12" s="6">
        <f>'29-WholesaleTRRs'!F27</f>
        <v>47866287.101568982</v>
      </c>
      <c r="G12" s="250" t="str">
        <f>"29-WholesaleTRRs, Line "&amp;'29-WholesaleTRRs'!A27&amp;", C3"</f>
        <v>29-WholesaleTRRs, Line 13, C3</v>
      </c>
    </row>
    <row r="13" spans="1:7" ht="13">
      <c r="A13" s="2">
        <f>A12+1</f>
        <v>2</v>
      </c>
      <c r="D13" s="249" t="s">
        <v>2626</v>
      </c>
      <c r="E13" s="57">
        <f>'32-GrossLoad'!F8</f>
        <v>89900393.003080979</v>
      </c>
      <c r="F13" s="250" t="s">
        <v>2627</v>
      </c>
      <c r="G13" s="250" t="str">
        <f>"32-Gross Load, Line "&amp;'32-GrossLoad'!A8&amp;""</f>
        <v>32-Gross Load, Line 4</v>
      </c>
    </row>
    <row r="14" spans="1:7" ht="13">
      <c r="A14" s="2">
        <f>A13+1</f>
        <v>3</v>
      </c>
      <c r="D14" s="249" t="s">
        <v>2628</v>
      </c>
      <c r="E14" s="54">
        <f>E12/(E13*1000)</f>
        <v>5.3243690603141803E-4</v>
      </c>
      <c r="F14" s="12" t="s">
        <v>2629</v>
      </c>
      <c r="G14" s="12" t="str">
        <f>"Line "&amp;A12&amp;" / (Line "&amp;A13&amp;" * 1000)"</f>
        <v>Line 1 / (Line 2 * 1000)</v>
      </c>
    </row>
    <row r="15" spans="1:7">
      <c r="D15" s="25"/>
      <c r="E15" s="41"/>
    </row>
    <row r="17" spans="1:7" ht="13">
      <c r="B17" s="1" t="s">
        <v>2630</v>
      </c>
    </row>
    <row r="18" spans="1:7">
      <c r="C18" s="31" t="s">
        <v>2631</v>
      </c>
    </row>
    <row r="19" spans="1:7" ht="13">
      <c r="G19" s="3" t="s">
        <v>652</v>
      </c>
    </row>
    <row r="20" spans="1:7" ht="13">
      <c r="A20" s="2">
        <f>A14+1</f>
        <v>4</v>
      </c>
      <c r="D20" s="25" t="s">
        <v>2632</v>
      </c>
      <c r="E20" s="6">
        <f>'29-WholesaleTRRs'!E27</f>
        <v>1133791014.5054677</v>
      </c>
      <c r="G20" s="250" t="str">
        <f>"29-WholesaleTRRs, Line "&amp;'29-WholesaleTRRs'!A27&amp;", C2"</f>
        <v>29-WholesaleTRRs, Line 13, C2</v>
      </c>
    </row>
    <row r="21" spans="1:7" ht="13">
      <c r="A21" s="2">
        <f>A20+1</f>
        <v>5</v>
      </c>
      <c r="D21" s="249" t="s">
        <v>2626</v>
      </c>
      <c r="E21" s="57">
        <f>'32-GrossLoad'!F8</f>
        <v>89900393.003080979</v>
      </c>
      <c r="F21" s="250" t="s">
        <v>2627</v>
      </c>
      <c r="G21" s="250" t="str">
        <f>"32-Gross Load, Line "&amp;'32-GrossLoad'!A8&amp;""</f>
        <v>32-Gross Load, Line 4</v>
      </c>
    </row>
    <row r="22" spans="1:7" ht="13">
      <c r="A22" s="2">
        <f>A21+1</f>
        <v>6</v>
      </c>
      <c r="D22" s="249" t="s">
        <v>2633</v>
      </c>
      <c r="E22" s="864">
        <f>E20/(E21*1000)</f>
        <v>1.2611635796370896E-2</v>
      </c>
      <c r="F22" s="12" t="s">
        <v>2629</v>
      </c>
      <c r="G22" s="12" t="str">
        <f>"Line "&amp;A20&amp;" / (Line "&amp;A21&amp;" * 1000)"</f>
        <v>Line 4 / (Line 5 * 1000)</v>
      </c>
    </row>
    <row r="24" spans="1:7" ht="13">
      <c r="B24" s="1" t="s">
        <v>2634</v>
      </c>
    </row>
    <row r="25" spans="1:7" ht="13">
      <c r="G25" s="3" t="s">
        <v>652</v>
      </c>
    </row>
    <row r="26" spans="1:7" ht="13">
      <c r="A26" s="2">
        <f>A22+1</f>
        <v>7</v>
      </c>
      <c r="D26" s="249" t="s">
        <v>2635</v>
      </c>
      <c r="E26" s="6">
        <f>'29-WholesaleTRRs'!E27</f>
        <v>1133791014.5054677</v>
      </c>
      <c r="G26" s="250" t="str">
        <f>"29-WholesaleTRRs, Line "&amp;'29-WholesaleTRRs'!A27&amp;", C2"</f>
        <v>29-WholesaleTRRs, Line 13, C2</v>
      </c>
    </row>
    <row r="27" spans="1:7" ht="13">
      <c r="A27" s="2">
        <f>A26+1</f>
        <v>8</v>
      </c>
      <c r="D27" s="249" t="s">
        <v>2636</v>
      </c>
      <c r="E27" s="57">
        <f>'32-GrossLoad'!F11</f>
        <v>176761.14064047346</v>
      </c>
      <c r="F27" s="12" t="s">
        <v>2637</v>
      </c>
      <c r="G27" s="250" t="str">
        <f>"32-Gross Load, Line "&amp;'32-GrossLoad'!A11&amp;""</f>
        <v>32-Gross Load, Line 5</v>
      </c>
    </row>
    <row r="28" spans="1:7" ht="13">
      <c r="A28" s="2">
        <f>A27+1</f>
        <v>9</v>
      </c>
      <c r="D28" s="249" t="s">
        <v>2638</v>
      </c>
      <c r="E28" s="41">
        <f>ROUND((E26/(E27*1000)),2)</f>
        <v>6.41</v>
      </c>
      <c r="F28" s="250" t="s">
        <v>2639</v>
      </c>
      <c r="G28" s="12" t="str">
        <f>"Line "&amp;A26&amp;" / (Line "&amp;A27&amp;" * 1000)"</f>
        <v>Line 7 / (Line 8 * 1000)</v>
      </c>
    </row>
    <row r="31" spans="1:7" ht="13">
      <c r="B31" s="30" t="s">
        <v>228</v>
      </c>
    </row>
    <row r="32" spans="1:7">
      <c r="B32" s="251" t="s">
        <v>2640</v>
      </c>
    </row>
    <row r="33" spans="2:2">
      <c r="B33" s="251" t="s">
        <v>2641</v>
      </c>
    </row>
  </sheetData>
  <phoneticPr fontId="23" type="noConversion"/>
  <pageMargins left="0.75" right="0.75" top="1" bottom="1" header="0.5" footer="0.5"/>
  <pageSetup scale="84" orientation="portrait" cellComments="asDisplayed" r:id="rId1"/>
  <headerFooter alignWithMargins="0">
    <oddHeader>&amp;CSchedule 30
Wholesale Rates
&amp;RTO2023 Draft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zoomScaleNormal="100" zoomScalePageLayoutView="80" workbookViewId="0"/>
  </sheetViews>
  <sheetFormatPr defaultRowHeight="13"/>
  <cols>
    <col min="1" max="1" width="4.54296875" customWidth="1"/>
    <col min="2" max="2" width="38" style="79" customWidth="1"/>
    <col min="3" max="3" width="16.453125" style="79" customWidth="1"/>
    <col min="4" max="4" width="14.54296875" style="79" customWidth="1"/>
    <col min="5" max="5" width="16" style="79" customWidth="1"/>
    <col min="6" max="6" width="3.453125" style="79" bestFit="1" customWidth="1"/>
    <col min="7" max="8" width="14.54296875" style="79" customWidth="1"/>
    <col min="9" max="9" width="17.453125" style="79" customWidth="1"/>
    <col min="10" max="11" width="14.54296875" style="79" customWidth="1"/>
  </cols>
  <sheetData>
    <row r="1" spans="1:11">
      <c r="A1" s="133" t="s">
        <v>2642</v>
      </c>
      <c r="B1" s="13"/>
      <c r="C1" s="13"/>
      <c r="D1" s="13"/>
      <c r="E1" s="13"/>
      <c r="F1" s="13"/>
      <c r="G1" s="13"/>
      <c r="H1" s="13"/>
      <c r="I1" s="13"/>
      <c r="J1" s="13"/>
      <c r="K1" s="13"/>
    </row>
    <row r="2" spans="1:11" ht="12.5">
      <c r="A2" s="13" t="s">
        <v>2643</v>
      </c>
      <c r="B2" s="13"/>
      <c r="C2" s="13"/>
      <c r="D2" s="13"/>
      <c r="E2" s="13"/>
      <c r="F2" s="13"/>
      <c r="G2" s="13"/>
      <c r="H2" s="13"/>
      <c r="I2" s="134" t="s">
        <v>701</v>
      </c>
      <c r="J2" s="134"/>
      <c r="K2" s="13"/>
    </row>
    <row r="3" spans="1:11" ht="12.5">
      <c r="A3" s="251"/>
      <c r="B3" s="13"/>
      <c r="C3" s="13"/>
      <c r="D3" s="13"/>
      <c r="E3" s="13"/>
      <c r="F3" s="13"/>
      <c r="G3" s="13"/>
      <c r="H3" s="13"/>
      <c r="I3" s="13"/>
      <c r="J3" s="13"/>
      <c r="K3" s="13"/>
    </row>
    <row r="4" spans="1:11" ht="12.5">
      <c r="A4" s="251"/>
      <c r="B4" s="13"/>
      <c r="C4" s="13"/>
      <c r="D4" s="13"/>
      <c r="E4" s="13"/>
      <c r="F4" s="13"/>
      <c r="G4" s="259" t="s">
        <v>2644</v>
      </c>
      <c r="H4" s="259"/>
      <c r="I4" s="259"/>
      <c r="J4" s="259"/>
      <c r="K4" s="13"/>
    </row>
    <row r="5" spans="1:11">
      <c r="A5" s="251"/>
      <c r="B5" s="133" t="s">
        <v>2645</v>
      </c>
      <c r="C5" s="13"/>
      <c r="D5" s="13"/>
      <c r="E5" s="13"/>
      <c r="F5" s="13"/>
      <c r="G5" s="259" t="s">
        <v>2646</v>
      </c>
      <c r="H5" s="259"/>
      <c r="I5" s="259"/>
      <c r="J5" s="259"/>
      <c r="K5" s="13"/>
    </row>
    <row r="6" spans="1:11">
      <c r="A6" s="251"/>
      <c r="B6" s="13"/>
      <c r="C6" s="19" t="s">
        <v>2647</v>
      </c>
      <c r="D6" s="19"/>
      <c r="E6" s="19"/>
      <c r="F6" s="19"/>
      <c r="G6" s="19"/>
      <c r="H6" s="19"/>
      <c r="I6" s="19" t="s">
        <v>2648</v>
      </c>
      <c r="J6" s="19" t="s">
        <v>2649</v>
      </c>
      <c r="K6" s="19" t="s">
        <v>2650</v>
      </c>
    </row>
    <row r="7" spans="1:11">
      <c r="A7" s="251"/>
      <c r="B7" s="133" t="s">
        <v>2651</v>
      </c>
      <c r="C7" s="18" t="s">
        <v>1327</v>
      </c>
      <c r="D7" s="18" t="s">
        <v>714</v>
      </c>
      <c r="E7" s="18" t="s">
        <v>2652</v>
      </c>
      <c r="F7" s="18"/>
      <c r="G7" s="18" t="s">
        <v>2653</v>
      </c>
      <c r="H7" s="18" t="s">
        <v>2654</v>
      </c>
      <c r="I7" s="18" t="s">
        <v>2652</v>
      </c>
      <c r="J7" s="18" t="s">
        <v>2652</v>
      </c>
      <c r="K7" s="18" t="s">
        <v>2655</v>
      </c>
    </row>
    <row r="8" spans="1:11">
      <c r="A8" s="3" t="s">
        <v>273</v>
      </c>
      <c r="B8" s="133"/>
      <c r="C8" s="18"/>
      <c r="D8" s="18"/>
      <c r="E8" s="18"/>
      <c r="F8" s="18"/>
      <c r="G8" s="18"/>
      <c r="H8" s="18"/>
      <c r="I8" s="18"/>
      <c r="J8" s="18"/>
      <c r="K8" s="18"/>
    </row>
    <row r="9" spans="1:11">
      <c r="A9" s="2">
        <v>1</v>
      </c>
      <c r="B9" s="135" t="s">
        <v>2656</v>
      </c>
      <c r="C9" s="136"/>
      <c r="D9" s="137"/>
      <c r="E9" s="137"/>
      <c r="F9" s="19"/>
      <c r="G9" s="136"/>
      <c r="H9" s="136"/>
      <c r="I9" s="136"/>
      <c r="J9" s="136"/>
      <c r="K9" s="136"/>
    </row>
    <row r="10" spans="1:11">
      <c r="A10" s="2">
        <f>A9+1</f>
        <v>2</v>
      </c>
      <c r="B10" s="138" t="s">
        <v>2657</v>
      </c>
      <c r="C10" s="139">
        <f>SUM(D10:E10)</f>
        <v>5140423389.4882021</v>
      </c>
      <c r="D10" s="1012">
        <f>G10+H10</f>
        <v>223863568.37108076</v>
      </c>
      <c r="E10" s="1012">
        <f>I10+J10</f>
        <v>4916559821.1171217</v>
      </c>
      <c r="F10" s="140"/>
      <c r="G10" s="616">
        <v>223863568.37108076</v>
      </c>
      <c r="H10" s="616">
        <v>0</v>
      </c>
      <c r="I10" s="616">
        <v>4916559821.1171217</v>
      </c>
      <c r="J10" s="616">
        <v>0</v>
      </c>
      <c r="K10" s="616">
        <v>0</v>
      </c>
    </row>
    <row r="11" spans="1:11">
      <c r="A11" s="2">
        <f t="shared" ref="A11:A47" si="0">A10+1</f>
        <v>3</v>
      </c>
      <c r="B11" s="138" t="s">
        <v>2658</v>
      </c>
      <c r="C11" s="141">
        <f>SUM(D11:E11)</f>
        <v>199749535.49502093</v>
      </c>
      <c r="D11" s="142">
        <f>G11+H11</f>
        <v>6356022.7462675124</v>
      </c>
      <c r="E11" s="142">
        <f>I11+J11</f>
        <v>193393512.74875343</v>
      </c>
      <c r="F11" s="143"/>
      <c r="G11" s="617">
        <v>0</v>
      </c>
      <c r="H11" s="617">
        <v>6356022.7462675124</v>
      </c>
      <c r="I11" s="617">
        <v>0</v>
      </c>
      <c r="J11" s="617">
        <v>193393512.74875343</v>
      </c>
      <c r="K11" s="617">
        <v>0</v>
      </c>
    </row>
    <row r="12" spans="1:11">
      <c r="A12" s="2">
        <f t="shared" si="0"/>
        <v>4</v>
      </c>
      <c r="B12" s="670" t="s">
        <v>2659</v>
      </c>
      <c r="C12" s="144">
        <f>SUM(C10:C11)</f>
        <v>5340172924.983223</v>
      </c>
      <c r="D12" s="144">
        <f t="shared" ref="D12:E12" si="1">SUM(D10:D11)</f>
        <v>230219591.11734825</v>
      </c>
      <c r="E12" s="144">
        <f t="shared" si="1"/>
        <v>5109953333.8658752</v>
      </c>
      <c r="F12" s="144"/>
      <c r="G12" s="144">
        <f t="shared" ref="G12:K12" si="2">SUM(G10:G11)</f>
        <v>223863568.37108076</v>
      </c>
      <c r="H12" s="144">
        <f t="shared" si="2"/>
        <v>6356022.7462675124</v>
      </c>
      <c r="I12" s="144">
        <f t="shared" si="2"/>
        <v>4916559821.1171217</v>
      </c>
      <c r="J12" s="144">
        <f t="shared" si="2"/>
        <v>193393512.74875343</v>
      </c>
      <c r="K12" s="144">
        <f t="shared" si="2"/>
        <v>0</v>
      </c>
    </row>
    <row r="13" spans="1:11">
      <c r="A13" s="2">
        <f t="shared" si="0"/>
        <v>5</v>
      </c>
      <c r="B13" s="13"/>
      <c r="C13" s="1013"/>
      <c r="D13" s="1013"/>
      <c r="E13" s="1013"/>
      <c r="F13" s="145"/>
      <c r="G13" s="1013"/>
      <c r="H13" s="1014"/>
      <c r="I13" s="1015"/>
      <c r="J13" s="1014"/>
      <c r="K13" s="1014"/>
    </row>
    <row r="14" spans="1:11">
      <c r="A14" s="2">
        <f t="shared" si="0"/>
        <v>6</v>
      </c>
      <c r="B14" s="133" t="s">
        <v>2660</v>
      </c>
      <c r="C14" s="1013"/>
      <c r="D14" s="1013"/>
      <c r="E14" s="1013"/>
      <c r="F14" s="145"/>
      <c r="G14" s="1013"/>
      <c r="H14" s="1014"/>
      <c r="I14" s="1015"/>
      <c r="J14" s="1014"/>
      <c r="K14" s="1014"/>
    </row>
    <row r="15" spans="1:11">
      <c r="A15" s="2">
        <f t="shared" si="0"/>
        <v>7</v>
      </c>
      <c r="B15" s="146" t="s">
        <v>2661</v>
      </c>
      <c r="C15" s="1012">
        <f>SUM(D15:E15)</f>
        <v>4470455400.4895964</v>
      </c>
      <c r="D15" s="1012">
        <f>G15+H15</f>
        <v>34127225.462967835</v>
      </c>
      <c r="E15" s="1012">
        <f>I15+J15</f>
        <v>4436328175.0266285</v>
      </c>
      <c r="F15" s="147"/>
      <c r="G15" s="335">
        <v>34127225.462967835</v>
      </c>
      <c r="H15" s="618">
        <v>0</v>
      </c>
      <c r="I15" s="335">
        <v>4436328175.0266285</v>
      </c>
      <c r="J15" s="618">
        <v>0</v>
      </c>
      <c r="K15" s="618">
        <v>0</v>
      </c>
    </row>
    <row r="16" spans="1:11">
      <c r="A16" s="2">
        <f t="shared" si="0"/>
        <v>8</v>
      </c>
      <c r="B16" s="498" t="s">
        <v>2662</v>
      </c>
      <c r="C16" s="1013">
        <f>SUM(D16:E16)</f>
        <v>481159385.66516745</v>
      </c>
      <c r="D16" s="1012">
        <f>G16+H16</f>
        <v>191533.14469614095</v>
      </c>
      <c r="E16" s="1012">
        <f>I16+J16+K16</f>
        <v>480967852.52047133</v>
      </c>
      <c r="F16" s="145"/>
      <c r="G16" s="618">
        <v>121369.9827686785</v>
      </c>
      <c r="H16" s="618">
        <v>70163.161927462454</v>
      </c>
      <c r="I16" s="618">
        <v>294057995.10030538</v>
      </c>
      <c r="J16" s="618">
        <v>125738332.04497311</v>
      </c>
      <c r="K16" s="618">
        <v>61171525.375192851</v>
      </c>
    </row>
    <row r="17" spans="1:11" ht="14">
      <c r="A17" s="2">
        <f t="shared" si="0"/>
        <v>9</v>
      </c>
      <c r="B17" s="498" t="s">
        <v>2663</v>
      </c>
      <c r="C17" s="148">
        <f>SUM(D17:E17)</f>
        <v>59911956.417783409</v>
      </c>
      <c r="D17" s="142">
        <f>G17+H17</f>
        <v>17392223.82865509</v>
      </c>
      <c r="E17" s="149">
        <f>I17+J17</f>
        <v>42519732.589128315</v>
      </c>
      <c r="F17" s="150"/>
      <c r="G17" s="619">
        <v>0</v>
      </c>
      <c r="H17" s="620">
        <v>17392223.82865509</v>
      </c>
      <c r="I17" s="619">
        <v>0</v>
      </c>
      <c r="J17" s="620">
        <v>42519732.589128315</v>
      </c>
      <c r="K17" s="619">
        <v>0</v>
      </c>
    </row>
    <row r="18" spans="1:11">
      <c r="A18" s="2">
        <f t="shared" si="0"/>
        <v>10</v>
      </c>
      <c r="B18" s="231" t="s">
        <v>2664</v>
      </c>
      <c r="C18" s="1012">
        <f>SUM(C15:C17)</f>
        <v>5011526742.5725479</v>
      </c>
      <c r="D18" s="1012">
        <f>SUM(D15:D17)</f>
        <v>51710982.436319068</v>
      </c>
      <c r="E18" s="1012">
        <f>SUM(E15:E17)</f>
        <v>4959815760.1362286</v>
      </c>
      <c r="F18" s="151"/>
      <c r="G18" s="1012">
        <f>SUM(G15:G17)</f>
        <v>34248595.445736513</v>
      </c>
      <c r="H18" s="1012">
        <f>SUM(H15:H17)</f>
        <v>17462386.990582552</v>
      </c>
      <c r="I18" s="1012">
        <f>SUM(I15:I17)</f>
        <v>4730386170.1269341</v>
      </c>
      <c r="J18" s="1012">
        <f>SUM(J15:J17)</f>
        <v>168258064.63410142</v>
      </c>
      <c r="K18" s="1012">
        <f>SUM(K15:K17)</f>
        <v>61171525.375192851</v>
      </c>
    </row>
    <row r="19" spans="1:11">
      <c r="A19" s="2">
        <f t="shared" si="0"/>
        <v>11</v>
      </c>
      <c r="B19" s="13"/>
      <c r="C19" s="1016"/>
      <c r="D19" s="1016"/>
      <c r="E19" s="1016"/>
      <c r="F19" s="151"/>
      <c r="G19" s="1017"/>
      <c r="H19" s="1017"/>
      <c r="I19" s="1017"/>
      <c r="J19" s="1017"/>
      <c r="K19" s="1017"/>
    </row>
    <row r="20" spans="1:11">
      <c r="A20" s="2">
        <f t="shared" si="0"/>
        <v>12</v>
      </c>
      <c r="B20" s="231" t="s">
        <v>2665</v>
      </c>
      <c r="C20" s="1018">
        <f>C12+C18</f>
        <v>10351699667.555771</v>
      </c>
      <c r="D20" s="1018">
        <f t="shared" ref="D20" si="3">D12+D18</f>
        <v>281930573.55366731</v>
      </c>
      <c r="E20" s="1018">
        <f>E12+E18</f>
        <v>10069769094.002104</v>
      </c>
      <c r="F20" s="1019"/>
      <c r="G20" s="1019">
        <f t="shared" ref="G20:K20" si="4">G12+G18</f>
        <v>258112163.81681728</v>
      </c>
      <c r="H20" s="1019">
        <f t="shared" si="4"/>
        <v>23818409.736850064</v>
      </c>
      <c r="I20" s="1019">
        <f t="shared" si="4"/>
        <v>9646945991.2440567</v>
      </c>
      <c r="J20" s="1019">
        <f t="shared" si="4"/>
        <v>361651577.38285482</v>
      </c>
      <c r="K20" s="1019">
        <f t="shared" si="4"/>
        <v>61171525.375192851</v>
      </c>
    </row>
    <row r="21" spans="1:11">
      <c r="A21" s="2">
        <f t="shared" si="0"/>
        <v>13</v>
      </c>
      <c r="B21" s="13"/>
      <c r="C21" s="152"/>
      <c r="D21" s="145"/>
      <c r="E21" s="152"/>
      <c r="F21" s="13"/>
      <c r="G21" s="152"/>
      <c r="H21" s="152"/>
      <c r="I21" s="152"/>
      <c r="J21" s="152"/>
      <c r="K21" s="152"/>
    </row>
    <row r="22" spans="1:11">
      <c r="A22" s="2">
        <f t="shared" si="0"/>
        <v>14</v>
      </c>
      <c r="B22" s="13"/>
      <c r="C22" s="152"/>
      <c r="D22" s="145"/>
      <c r="E22" s="152"/>
      <c r="F22" s="13"/>
      <c r="G22" s="152"/>
      <c r="H22" s="152"/>
      <c r="I22" s="152"/>
      <c r="J22" s="152"/>
      <c r="K22" s="152"/>
    </row>
    <row r="23" spans="1:11">
      <c r="A23" s="2">
        <f t="shared" si="0"/>
        <v>15</v>
      </c>
      <c r="B23" s="259" t="s">
        <v>2666</v>
      </c>
      <c r="C23" s="152"/>
      <c r="D23" s="145"/>
      <c r="E23" s="152"/>
      <c r="F23" s="13"/>
      <c r="G23" s="152"/>
      <c r="H23" s="152"/>
      <c r="I23" s="152"/>
      <c r="J23" s="152"/>
      <c r="K23" s="152"/>
    </row>
    <row r="24" spans="1:11">
      <c r="A24" s="2">
        <f t="shared" si="0"/>
        <v>16</v>
      </c>
      <c r="B24" s="13"/>
      <c r="C24" s="153" t="s">
        <v>2604</v>
      </c>
      <c r="D24" s="19" t="s">
        <v>2605</v>
      </c>
      <c r="E24" s="19"/>
      <c r="F24" s="13"/>
      <c r="G24" s="13"/>
      <c r="H24" s="13"/>
      <c r="I24" s="13"/>
      <c r="J24" s="13"/>
      <c r="K24" s="13"/>
    </row>
    <row r="25" spans="1:11">
      <c r="A25" s="2">
        <f t="shared" si="0"/>
        <v>17</v>
      </c>
      <c r="B25" s="13" t="s">
        <v>129</v>
      </c>
      <c r="C25" s="18" t="s">
        <v>2607</v>
      </c>
      <c r="D25" s="18" t="s">
        <v>2607</v>
      </c>
      <c r="E25" s="18" t="s">
        <v>249</v>
      </c>
      <c r="F25" s="13"/>
      <c r="G25" s="154" t="s">
        <v>228</v>
      </c>
      <c r="H25" s="13"/>
      <c r="I25" s="13"/>
      <c r="J25" s="13"/>
      <c r="K25" s="13"/>
    </row>
    <row r="26" spans="1:11">
      <c r="A26" s="2">
        <f t="shared" si="0"/>
        <v>18</v>
      </c>
      <c r="B26" s="45" t="s">
        <v>714</v>
      </c>
      <c r="C26" s="1019">
        <f>G20</f>
        <v>258112163.81681728</v>
      </c>
      <c r="D26" s="1019">
        <f>H20</f>
        <v>23818409.736850064</v>
      </c>
      <c r="E26" s="147">
        <f>SUM(C26:D26)</f>
        <v>281930573.55366737</v>
      </c>
      <c r="F26" s="13"/>
      <c r="G26" s="13" t="s">
        <v>2667</v>
      </c>
      <c r="H26" s="13"/>
      <c r="I26" s="13"/>
      <c r="J26" s="13"/>
      <c r="K26" s="13"/>
    </row>
    <row r="27" spans="1:11">
      <c r="A27" s="2">
        <f t="shared" si="0"/>
        <v>19</v>
      </c>
      <c r="B27" s="45" t="s">
        <v>2652</v>
      </c>
      <c r="C27" s="1019">
        <f>I20</f>
        <v>9646945991.2440567</v>
      </c>
      <c r="D27" s="1019">
        <f>J20</f>
        <v>361651577.38285482</v>
      </c>
      <c r="E27" s="147">
        <f>SUM(C27:D27)</f>
        <v>10008597568.626911</v>
      </c>
      <c r="F27" s="13"/>
      <c r="G27" s="13" t="s">
        <v>2667</v>
      </c>
      <c r="H27" s="13"/>
      <c r="I27" s="13"/>
      <c r="J27" s="13"/>
      <c r="K27" s="13"/>
    </row>
    <row r="28" spans="1:11">
      <c r="A28" s="2">
        <f t="shared" si="0"/>
        <v>20</v>
      </c>
      <c r="B28" s="22" t="s">
        <v>2668</v>
      </c>
      <c r="C28" s="1019">
        <f>SUM(C26:C27)</f>
        <v>9905058155.0608749</v>
      </c>
      <c r="D28" s="1019">
        <f>SUM(D26:D27)</f>
        <v>385469987.1197049</v>
      </c>
      <c r="E28" s="1019">
        <f>SUM(C28:D28)</f>
        <v>10290528142.18058</v>
      </c>
      <c r="F28" s="13"/>
      <c r="G28" s="13" t="s">
        <v>2669</v>
      </c>
      <c r="H28" s="13"/>
      <c r="I28" s="13"/>
      <c r="J28" s="13"/>
      <c r="K28" s="13"/>
    </row>
    <row r="29" spans="1:11">
      <c r="A29" s="2">
        <f t="shared" si="0"/>
        <v>21</v>
      </c>
      <c r="B29" s="155" t="s">
        <v>2670</v>
      </c>
      <c r="C29" s="1020">
        <f>C28/E28</f>
        <v>0.96254128244986037</v>
      </c>
      <c r="D29" s="1020">
        <f>D28/E28</f>
        <v>3.7458717550139575E-2</v>
      </c>
      <c r="E29" s="1021"/>
      <c r="F29" s="526"/>
      <c r="G29" s="669" t="s">
        <v>2671</v>
      </c>
      <c r="H29" s="13"/>
      <c r="I29" s="13"/>
      <c r="J29" s="13"/>
      <c r="K29" s="526"/>
    </row>
    <row r="30" spans="1:11">
      <c r="A30" s="2">
        <f t="shared" si="0"/>
        <v>22</v>
      </c>
      <c r="B30" s="13"/>
      <c r="C30" s="1022"/>
      <c r="D30" s="1022"/>
      <c r="E30" s="1022"/>
      <c r="F30" s="13"/>
      <c r="G30" s="13"/>
      <c r="H30" s="13"/>
      <c r="I30" s="13"/>
      <c r="J30" s="13"/>
      <c r="K30" s="13"/>
    </row>
    <row r="31" spans="1:11">
      <c r="A31" s="2">
        <f t="shared" si="0"/>
        <v>23</v>
      </c>
      <c r="B31" s="13" t="s">
        <v>2672</v>
      </c>
      <c r="C31" s="1023">
        <f>K20*C29</f>
        <v>58880118.4840523</v>
      </c>
      <c r="D31" s="1023">
        <f>K20*D29</f>
        <v>2291406.8911405448</v>
      </c>
      <c r="E31" s="1023">
        <f>K20</f>
        <v>61171525.375192851</v>
      </c>
      <c r="F31" s="13"/>
      <c r="G31" s="259" t="str">
        <f>"Straddling Transformers split by Gross Plant Percentages on Line "&amp;A29&amp;""</f>
        <v>Straddling Transformers split by Gross Plant Percentages on Line 21</v>
      </c>
      <c r="H31" s="13"/>
      <c r="I31" s="13"/>
      <c r="J31" s="13"/>
      <c r="K31" s="13"/>
    </row>
    <row r="32" spans="1:11">
      <c r="A32" s="2">
        <f t="shared" si="0"/>
        <v>24</v>
      </c>
      <c r="B32" s="323" t="s">
        <v>2673</v>
      </c>
      <c r="C32" s="527">
        <v>0</v>
      </c>
      <c r="D32" s="527">
        <f>E32-C32</f>
        <v>0</v>
      </c>
      <c r="E32" s="527">
        <v>0</v>
      </c>
      <c r="F32" s="323"/>
      <c r="G32" s="323" t="s">
        <v>2674</v>
      </c>
      <c r="H32" s="528"/>
      <c r="I32" s="13"/>
      <c r="J32" s="13"/>
      <c r="K32" s="13"/>
    </row>
    <row r="33" spans="1:11">
      <c r="A33" s="2">
        <f t="shared" si="0"/>
        <v>25</v>
      </c>
      <c r="B33" s="13" t="s">
        <v>2675</v>
      </c>
      <c r="C33" s="1012">
        <f>C28+C31+C32</f>
        <v>9963938273.5449276</v>
      </c>
      <c r="D33" s="1012">
        <f>D28+D31+D32</f>
        <v>387761394.01084542</v>
      </c>
      <c r="E33" s="1012">
        <f>E28+E31+E32</f>
        <v>10351699667.555773</v>
      </c>
      <c r="F33" s="13"/>
      <c r="G33" s="323" t="str">
        <f>"Line "&amp;A28&amp;" + Line "&amp;A31&amp;" + Line "&amp;A32&amp;""</f>
        <v>Line 20 + Line 23 + Line 24</v>
      </c>
      <c r="H33" s="323"/>
      <c r="I33" s="13"/>
      <c r="J33" s="13"/>
      <c r="K33" s="13"/>
    </row>
    <row r="34" spans="1:11">
      <c r="A34" s="2">
        <f t="shared" si="0"/>
        <v>26</v>
      </c>
      <c r="B34" s="13"/>
      <c r="C34" s="1024"/>
      <c r="D34" s="1024"/>
      <c r="E34" s="1025"/>
      <c r="F34" s="13"/>
      <c r="G34" s="13"/>
      <c r="H34" s="13"/>
      <c r="I34" s="13"/>
      <c r="J34" s="13"/>
      <c r="K34" s="13"/>
    </row>
    <row r="35" spans="1:11">
      <c r="A35" s="2">
        <f t="shared" si="0"/>
        <v>27</v>
      </c>
      <c r="B35" s="13"/>
      <c r="C35" s="151"/>
      <c r="D35" s="151"/>
      <c r="E35" s="13"/>
      <c r="F35" s="13"/>
      <c r="G35" s="151"/>
      <c r="H35" s="151"/>
      <c r="I35" s="151"/>
      <c r="J35" s="13"/>
      <c r="K35" s="13"/>
    </row>
    <row r="36" spans="1:11">
      <c r="A36" s="2">
        <f t="shared" si="0"/>
        <v>28</v>
      </c>
      <c r="B36" s="133" t="s">
        <v>2676</v>
      </c>
      <c r="C36" s="13"/>
      <c r="D36" s="13"/>
      <c r="E36" s="13"/>
      <c r="F36" s="13"/>
      <c r="G36" s="13"/>
      <c r="H36" s="13"/>
      <c r="I36" s="13"/>
      <c r="J36" s="13"/>
      <c r="K36" s="13"/>
    </row>
    <row r="37" spans="1:11">
      <c r="A37" s="2">
        <f t="shared" si="0"/>
        <v>29</v>
      </c>
      <c r="B37" s="133"/>
      <c r="C37" s="13"/>
      <c r="D37" s="13"/>
      <c r="E37" s="13"/>
      <c r="F37" s="13"/>
      <c r="G37" s="13"/>
      <c r="H37" s="13"/>
      <c r="I37" s="13"/>
      <c r="J37" s="13"/>
      <c r="K37" s="13"/>
    </row>
    <row r="38" spans="1:11">
      <c r="A38" s="2">
        <f t="shared" si="0"/>
        <v>30</v>
      </c>
      <c r="B38" s="133"/>
      <c r="C38" s="153" t="s">
        <v>2604</v>
      </c>
      <c r="D38" s="19" t="s">
        <v>2605</v>
      </c>
      <c r="E38" s="19"/>
      <c r="F38" s="13"/>
      <c r="G38" s="13"/>
      <c r="H38" s="13"/>
      <c r="I38" s="13"/>
      <c r="J38" s="13"/>
      <c r="K38" s="13"/>
    </row>
    <row r="39" spans="1:11">
      <c r="A39" s="2">
        <f t="shared" si="0"/>
        <v>31</v>
      </c>
      <c r="B39" s="133"/>
      <c r="C39" s="18" t="s">
        <v>2607</v>
      </c>
      <c r="D39" s="18" t="s">
        <v>2607</v>
      </c>
      <c r="E39" s="18" t="s">
        <v>249</v>
      </c>
      <c r="F39" s="13"/>
      <c r="G39" s="154" t="s">
        <v>228</v>
      </c>
      <c r="H39" s="13"/>
      <c r="I39" s="13"/>
      <c r="J39" s="13"/>
      <c r="K39" s="13"/>
    </row>
    <row r="40" spans="1:11">
      <c r="A40" s="2">
        <f t="shared" si="0"/>
        <v>32</v>
      </c>
      <c r="B40" s="13" t="s">
        <v>2675</v>
      </c>
      <c r="C40" s="147">
        <f>C33</f>
        <v>9963938273.5449276</v>
      </c>
      <c r="D40" s="147">
        <f>D33</f>
        <v>387761394.01084542</v>
      </c>
      <c r="E40" s="147">
        <f>E33</f>
        <v>10351699667.555773</v>
      </c>
      <c r="F40" s="13"/>
      <c r="G40" s="13" t="str">
        <f>"Line "&amp;A33&amp;""</f>
        <v>Line 25</v>
      </c>
      <c r="H40" s="13"/>
      <c r="I40" s="13"/>
      <c r="J40" s="13"/>
      <c r="K40" s="13"/>
    </row>
    <row r="41" spans="1:11">
      <c r="A41" s="2">
        <f t="shared" si="0"/>
        <v>33</v>
      </c>
      <c r="B41" s="259" t="s">
        <v>2677</v>
      </c>
      <c r="C41" s="147">
        <f>'16-PlantAdditions'!K37-'16-PlantAdditions'!P37</f>
        <v>1020012575.3015718</v>
      </c>
      <c r="D41" s="147">
        <f>'16-PlantAdditions'!P37</f>
        <v>26349775.679413177</v>
      </c>
      <c r="E41" s="467">
        <f>SUM(C41:D41)</f>
        <v>1046362350.980985</v>
      </c>
      <c r="F41" s="13"/>
      <c r="G41" s="13" t="str">
        <f>"13-Month Average: 16-PlantAdditions, Line "&amp;'16-PlantAdditions'!A37&amp;", Cols 7  (for Total) and 12 (for LV).  HV = C7 - C12."</f>
        <v>13-Month Average: 16-PlantAdditions, Line 25, Cols 7  (for Total) and 12 (for LV).  HV = C7 - C12.</v>
      </c>
      <c r="H41" s="13"/>
      <c r="I41" s="13"/>
      <c r="J41" s="13"/>
      <c r="K41" s="13"/>
    </row>
    <row r="42" spans="1:11">
      <c r="A42" s="2">
        <f t="shared" si="0"/>
        <v>34</v>
      </c>
      <c r="B42" s="259" t="s">
        <v>2678</v>
      </c>
      <c r="C42" s="296">
        <f>'10-CWIP'!K79</f>
        <v>-318391640.21225625</v>
      </c>
      <c r="D42" s="296">
        <v>0</v>
      </c>
      <c r="E42" s="296">
        <f>SUM(C42:D42)</f>
        <v>-318391640.21225625</v>
      </c>
      <c r="F42" s="13"/>
      <c r="G42" s="13" t="str">
        <f>"13 Month Average: 10-CWIP, Line "&amp;'10-CWIP'!A79&amp;", Col. 8"</f>
        <v>13 Month Average: 10-CWIP, Line 54, Col. 8</v>
      </c>
      <c r="H42" s="13"/>
      <c r="I42" s="13"/>
      <c r="J42" s="13"/>
      <c r="K42" s="13"/>
    </row>
    <row r="43" spans="1:11">
      <c r="A43" s="2">
        <f t="shared" si="0"/>
        <v>35</v>
      </c>
      <c r="B43" s="259" t="s">
        <v>2679</v>
      </c>
      <c r="C43" s="147">
        <f>SUM(C40:C42)</f>
        <v>10665559208.634245</v>
      </c>
      <c r="D43" s="147">
        <f t="shared" ref="D43:E43" si="5">SUM(D40:D42)</f>
        <v>414111169.69025862</v>
      </c>
      <c r="E43" s="147">
        <f t="shared" si="5"/>
        <v>11079670378.324503</v>
      </c>
      <c r="F43" s="13"/>
      <c r="G43" s="13" t="str">
        <f>"Line "&amp;A40&amp;" + Line "&amp;A41&amp;" + Line "&amp;A42&amp;""</f>
        <v>Line 32 + Line 33 + Line 34</v>
      </c>
      <c r="H43" s="13"/>
      <c r="I43" s="13"/>
      <c r="J43" s="13"/>
      <c r="K43" s="13"/>
    </row>
    <row r="44" spans="1:11">
      <c r="A44" s="2">
        <f t="shared" si="0"/>
        <v>36</v>
      </c>
      <c r="B44" s="13"/>
      <c r="C44" s="13"/>
      <c r="D44" s="13"/>
      <c r="E44" s="13"/>
      <c r="F44" s="13"/>
      <c r="G44" s="13"/>
      <c r="H44" s="13"/>
      <c r="I44" s="13"/>
      <c r="J44" s="13"/>
      <c r="K44" s="13"/>
    </row>
    <row r="45" spans="1:11">
      <c r="A45" s="2">
        <f t="shared" si="0"/>
        <v>37</v>
      </c>
      <c r="B45" s="13" t="s">
        <v>2680</v>
      </c>
      <c r="C45" s="529">
        <f>C43/E43</f>
        <v>0.96262423379486128</v>
      </c>
      <c r="D45" s="529">
        <f>D43/E43</f>
        <v>3.737576620513882E-2</v>
      </c>
      <c r="E45" s="13"/>
      <c r="F45" s="13"/>
      <c r="G45" s="530" t="str">
        <f>"Percent of Total on Line "&amp;A43&amp;""</f>
        <v>Percent of Total on Line 35</v>
      </c>
      <c r="H45" s="13"/>
      <c r="I45" s="13"/>
      <c r="J45" s="13"/>
      <c r="K45" s="13"/>
    </row>
    <row r="46" spans="1:11">
      <c r="A46" s="2">
        <f t="shared" si="0"/>
        <v>38</v>
      </c>
      <c r="B46" s="514" t="s">
        <v>2681</v>
      </c>
      <c r="C46" s="13"/>
      <c r="D46" s="13"/>
      <c r="E46" s="13"/>
      <c r="F46" s="13"/>
      <c r="G46" s="13"/>
      <c r="H46" s="13"/>
      <c r="I46" s="13"/>
      <c r="J46" s="13"/>
      <c r="K46" s="13"/>
    </row>
    <row r="47" spans="1:11">
      <c r="A47" s="2">
        <f t="shared" si="0"/>
        <v>39</v>
      </c>
      <c r="B47" s="259" t="s">
        <v>2682</v>
      </c>
      <c r="C47" s="13"/>
      <c r="D47" s="13"/>
      <c r="E47" s="13"/>
      <c r="F47" s="13"/>
      <c r="G47" s="13"/>
      <c r="H47" s="13"/>
      <c r="I47" s="13"/>
      <c r="J47" s="13"/>
      <c r="K47" s="13"/>
    </row>
    <row r="48" spans="1:11">
      <c r="A48" s="251"/>
      <c r="B48" s="1"/>
      <c r="C48" s="13"/>
      <c r="D48" s="13"/>
      <c r="E48" s="13"/>
      <c r="F48" s="13"/>
      <c r="G48" s="13"/>
      <c r="H48" s="13"/>
      <c r="I48" s="13"/>
      <c r="J48" s="13"/>
      <c r="K48" s="13"/>
    </row>
    <row r="49" spans="1:11">
      <c r="A49" s="251"/>
      <c r="B49" s="1"/>
      <c r="C49" s="323"/>
      <c r="D49" s="323"/>
      <c r="E49" s="323"/>
      <c r="F49" s="323"/>
      <c r="G49" s="323"/>
      <c r="H49" s="323"/>
      <c r="I49" s="13"/>
      <c r="J49" s="13"/>
      <c r="K49" s="13"/>
    </row>
    <row r="50" spans="1:11" ht="12.5">
      <c r="A50" s="251"/>
      <c r="B50" s="323"/>
      <c r="C50" s="323"/>
      <c r="D50" s="323"/>
      <c r="E50" s="323"/>
      <c r="F50" s="323"/>
      <c r="G50" s="323"/>
      <c r="H50" s="323"/>
      <c r="I50" s="13"/>
      <c r="J50" s="13"/>
      <c r="K50" s="13"/>
    </row>
    <row r="51" spans="1:11">
      <c r="B51" s="323"/>
      <c r="C51" s="528"/>
      <c r="D51" s="528"/>
      <c r="E51" s="528"/>
      <c r="F51" s="528"/>
      <c r="G51" s="528"/>
      <c r="H51" s="528"/>
    </row>
  </sheetData>
  <pageMargins left="0.7" right="0.7" top="0.75" bottom="0.75" header="0.3" footer="0.3"/>
  <pageSetup scale="70" orientation="landscape" cellComments="asDisplayed" r:id="rId1"/>
  <headerFooter>
    <oddHeader>&amp;CSchedule 31
High and Low Voltage Gross Plant
&amp;RTO2023 Draft Annual Update 
Attachment 1</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election activeCell="F11" sqref="F11"/>
    </sheetView>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2683</v>
      </c>
    </row>
    <row r="2" spans="1:8" ht="13">
      <c r="B2" s="710"/>
      <c r="D2" s="39" t="s">
        <v>195</v>
      </c>
      <c r="E2" s="251"/>
      <c r="F2" s="258" t="s">
        <v>2684</v>
      </c>
      <c r="G2" s="55"/>
    </row>
    <row r="3" spans="1:8" ht="13">
      <c r="G3" s="2"/>
    </row>
    <row r="4" spans="1:8" ht="13">
      <c r="A4" s="3" t="s">
        <v>273</v>
      </c>
      <c r="F4" s="3" t="s">
        <v>2627</v>
      </c>
      <c r="G4" s="3" t="s">
        <v>470</v>
      </c>
      <c r="H4" s="30" t="s">
        <v>652</v>
      </c>
    </row>
    <row r="5" spans="1:8" ht="13">
      <c r="A5" s="2">
        <v>1</v>
      </c>
      <c r="B5" s="251" t="s">
        <v>2685</v>
      </c>
      <c r="F5" s="641">
        <v>89816303.587080985</v>
      </c>
      <c r="G5" s="12"/>
      <c r="H5" t="s">
        <v>144</v>
      </c>
    </row>
    <row r="6" spans="1:8" ht="13">
      <c r="A6" s="2">
        <v>2</v>
      </c>
      <c r="B6" s="251" t="s">
        <v>2686</v>
      </c>
      <c r="F6" s="641">
        <v>29736</v>
      </c>
      <c r="G6" s="12"/>
      <c r="H6" t="s">
        <v>165</v>
      </c>
    </row>
    <row r="7" spans="1:8" ht="13">
      <c r="A7" s="2">
        <v>3</v>
      </c>
      <c r="B7" s="251" t="s">
        <v>2687</v>
      </c>
      <c r="C7" s="251"/>
      <c r="D7" s="251"/>
      <c r="F7" s="58">
        <v>54353.416000000012</v>
      </c>
      <c r="G7" s="12"/>
      <c r="H7" s="251" t="s">
        <v>222</v>
      </c>
    </row>
    <row r="8" spans="1:8" ht="13">
      <c r="A8" s="2">
        <v>4</v>
      </c>
      <c r="B8" s="295" t="s">
        <v>2688</v>
      </c>
      <c r="F8" s="57">
        <f>SUM(F5:F7)</f>
        <v>89900393.003080979</v>
      </c>
      <c r="G8" s="250" t="s">
        <v>2689</v>
      </c>
      <c r="H8" s="251" t="s">
        <v>2353</v>
      </c>
    </row>
    <row r="9" spans="1:8" ht="13">
      <c r="A9" s="2"/>
      <c r="G9" s="12"/>
    </row>
    <row r="10" spans="1:8" ht="13">
      <c r="A10" s="2"/>
      <c r="G10" s="12"/>
    </row>
    <row r="11" spans="1:8" ht="13">
      <c r="A11" s="2">
        <v>5</v>
      </c>
      <c r="B11" s="251" t="s">
        <v>2690</v>
      </c>
      <c r="E11" s="25"/>
      <c r="F11" s="642">
        <v>176761.14064047346</v>
      </c>
      <c r="G11" s="12"/>
      <c r="H11" s="251" t="s">
        <v>144</v>
      </c>
    </row>
    <row r="14" spans="1:8" ht="13">
      <c r="B14" s="30" t="s">
        <v>228</v>
      </c>
    </row>
    <row r="15" spans="1:8">
      <c r="B15" s="251" t="s">
        <v>2691</v>
      </c>
    </row>
    <row r="16" spans="1:8">
      <c r="B16" s="251" t="s">
        <v>2692</v>
      </c>
    </row>
    <row r="17" spans="2:2">
      <c r="B17" s="251" t="s">
        <v>2693</v>
      </c>
    </row>
    <row r="18" spans="2:2">
      <c r="B18" s="251" t="s">
        <v>2694</v>
      </c>
    </row>
    <row r="19" spans="2:2" ht="15.5">
      <c r="B19" s="321"/>
    </row>
  </sheetData>
  <pageMargins left="0.7" right="0.7" top="0.75" bottom="0.75" header="0.3" footer="0.3"/>
  <pageSetup orientation="landscape" cellComments="asDisplayed" r:id="rId1"/>
  <headerFooter>
    <oddHeader>&amp;CSchedule 32 
Gross Load
&amp;RTO2023 Draft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Normal="100" zoomScalePageLayoutView="70" workbookViewId="0"/>
  </sheetViews>
  <sheetFormatPr defaultColWidth="9.453125" defaultRowHeight="12.5"/>
  <cols>
    <col min="1" max="1" width="5.453125" style="420" customWidth="1"/>
    <col min="2" max="2" width="18.54296875" style="420" customWidth="1"/>
    <col min="3" max="3" width="16.453125" style="420" customWidth="1"/>
    <col min="4" max="4" width="17.453125" style="420" customWidth="1"/>
    <col min="5" max="6" width="15.54296875" style="420" customWidth="1"/>
    <col min="7" max="7" width="17.1796875" style="420" customWidth="1"/>
    <col min="8" max="12" width="15.54296875" style="420" customWidth="1"/>
    <col min="13" max="13" width="15.54296875" style="421" customWidth="1"/>
    <col min="14" max="14" width="15.54296875" style="420" customWidth="1"/>
    <col min="15" max="15" width="9.453125" style="420"/>
    <col min="16" max="16" width="9.54296875" style="420" customWidth="1"/>
    <col min="17" max="16384" width="9.453125" style="420"/>
  </cols>
  <sheetData>
    <row r="1" spans="1:16" ht="15.5">
      <c r="A1" s="419" t="s">
        <v>2695</v>
      </c>
    </row>
    <row r="2" spans="1:16" ht="14.25" customHeight="1">
      <c r="A2" s="419"/>
    </row>
    <row r="3" spans="1:16" ht="13">
      <c r="E3" s="422" t="s">
        <v>652</v>
      </c>
    </row>
    <row r="4" spans="1:16" ht="13">
      <c r="C4" s="423" t="s">
        <v>2696</v>
      </c>
      <c r="D4" s="865">
        <f>'1-BaseTRR'!K155</f>
        <v>1316061214.7567692</v>
      </c>
      <c r="E4" s="424" t="s">
        <v>2697</v>
      </c>
      <c r="G4" s="425" t="s">
        <v>701</v>
      </c>
      <c r="H4" s="426"/>
    </row>
    <row r="5" spans="1:16" ht="13">
      <c r="C5" s="423"/>
      <c r="D5" s="427"/>
      <c r="E5" s="424"/>
    </row>
    <row r="6" spans="1:16" ht="15.5">
      <c r="B6" s="419" t="s">
        <v>2698</v>
      </c>
      <c r="D6" s="423"/>
      <c r="E6" s="427"/>
      <c r="F6" s="424"/>
    </row>
    <row r="7" spans="1:16" ht="13">
      <c r="C7" s="428" t="s">
        <v>336</v>
      </c>
      <c r="D7" s="428" t="s">
        <v>337</v>
      </c>
      <c r="E7" s="428" t="s">
        <v>338</v>
      </c>
      <c r="F7" s="428" t="s">
        <v>339</v>
      </c>
      <c r="G7" s="428" t="s">
        <v>340</v>
      </c>
      <c r="H7" s="428" t="s">
        <v>341</v>
      </c>
      <c r="I7" s="428" t="s">
        <v>342</v>
      </c>
      <c r="J7" s="428" t="s">
        <v>343</v>
      </c>
      <c r="K7" s="428" t="s">
        <v>344</v>
      </c>
      <c r="L7" s="428" t="s">
        <v>589</v>
      </c>
      <c r="M7" s="428" t="s">
        <v>590</v>
      </c>
      <c r="N7" s="422" t="s">
        <v>591</v>
      </c>
      <c r="O7" s="422" t="s">
        <v>592</v>
      </c>
      <c r="P7" s="422" t="s">
        <v>593</v>
      </c>
    </row>
    <row r="8" spans="1:16">
      <c r="C8" s="421" t="s">
        <v>144</v>
      </c>
      <c r="E8" s="421" t="s">
        <v>165</v>
      </c>
      <c r="F8" s="421" t="s">
        <v>184</v>
      </c>
      <c r="G8" s="421" t="s">
        <v>222</v>
      </c>
      <c r="H8" s="421" t="s">
        <v>213</v>
      </c>
      <c r="I8" s="421" t="s">
        <v>126</v>
      </c>
      <c r="J8" s="421" t="s">
        <v>2699</v>
      </c>
    </row>
    <row r="9" spans="1:16" ht="13">
      <c r="C9" s="428"/>
      <c r="D9" s="429"/>
      <c r="E9" s="1152" t="s">
        <v>2700</v>
      </c>
      <c r="F9" s="1153"/>
      <c r="G9" s="1153"/>
      <c r="H9" s="1154"/>
      <c r="I9" s="1155"/>
      <c r="J9" s="691"/>
      <c r="K9" s="563"/>
      <c r="L9" s="421" t="s">
        <v>2701</v>
      </c>
      <c r="M9" s="421" t="s">
        <v>2701</v>
      </c>
      <c r="N9" s="421" t="s">
        <v>2701</v>
      </c>
    </row>
    <row r="10" spans="1:16" s="671" customFormat="1" ht="128.25" customHeight="1">
      <c r="C10" s="430"/>
      <c r="D10" s="701" t="s">
        <v>2702</v>
      </c>
      <c r="E10" s="564" t="s">
        <v>2703</v>
      </c>
      <c r="F10" s="564" t="s">
        <v>2704</v>
      </c>
      <c r="G10" s="565" t="s">
        <v>2705</v>
      </c>
      <c r="H10" s="564" t="s">
        <v>2706</v>
      </c>
      <c r="I10" s="564" t="s">
        <v>2707</v>
      </c>
      <c r="J10" s="702" t="s">
        <v>2708</v>
      </c>
      <c r="K10" s="701" t="s">
        <v>2709</v>
      </c>
      <c r="L10" s="701" t="s">
        <v>2710</v>
      </c>
      <c r="M10" s="797" t="s">
        <v>2711</v>
      </c>
      <c r="N10" s="798"/>
      <c r="O10" s="693"/>
      <c r="P10" s="672"/>
    </row>
    <row r="11" spans="1:16" ht="55.4" customHeight="1">
      <c r="A11" s="422" t="s">
        <v>99</v>
      </c>
      <c r="B11" s="431" t="s">
        <v>2712</v>
      </c>
      <c r="C11" s="432" t="s">
        <v>2713</v>
      </c>
      <c r="D11" s="433" t="s">
        <v>2714</v>
      </c>
      <c r="E11" s="431" t="s">
        <v>2715</v>
      </c>
      <c r="F11" s="457" t="s">
        <v>2716</v>
      </c>
      <c r="G11" s="569" t="s">
        <v>2717</v>
      </c>
      <c r="H11" s="431" t="s">
        <v>2718</v>
      </c>
      <c r="I11" s="431" t="s">
        <v>2719</v>
      </c>
      <c r="J11" s="431" t="s">
        <v>2720</v>
      </c>
      <c r="K11" s="435" t="s">
        <v>2721</v>
      </c>
      <c r="L11" s="431" t="s">
        <v>2722</v>
      </c>
      <c r="M11" s="434" t="s">
        <v>2723</v>
      </c>
      <c r="N11" s="431" t="s">
        <v>2718</v>
      </c>
      <c r="O11" s="431" t="s">
        <v>2719</v>
      </c>
      <c r="P11" s="431" t="s">
        <v>100</v>
      </c>
    </row>
    <row r="12" spans="1:16" ht="13">
      <c r="A12" s="436" t="s">
        <v>1713</v>
      </c>
      <c r="B12" s="254" t="s">
        <v>3039</v>
      </c>
      <c r="C12" s="581">
        <f>M115</f>
        <v>0.42352867879030776</v>
      </c>
      <c r="D12" s="895">
        <f>$D$4*C12</f>
        <v>557389667.49310195</v>
      </c>
      <c r="E12" s="539">
        <v>28358.276811</v>
      </c>
      <c r="F12" s="452"/>
      <c r="G12" s="621">
        <v>2083.8176790000002</v>
      </c>
      <c r="H12" s="540">
        <v>0</v>
      </c>
      <c r="I12" s="541">
        <v>1.2E-2</v>
      </c>
      <c r="J12" s="439">
        <f>(E12+F12)-G12</f>
        <v>26274.459132</v>
      </c>
      <c r="K12" s="673">
        <f>D12/(J12*10^6)</f>
        <v>2.1214125272487529E-2</v>
      </c>
      <c r="L12" s="437"/>
      <c r="M12" s="420"/>
      <c r="P12" s="421"/>
    </row>
    <row r="13" spans="1:16" ht="13.5" thickBot="1">
      <c r="A13" s="436" t="s">
        <v>1716</v>
      </c>
      <c r="B13" s="254" t="s">
        <v>3040</v>
      </c>
      <c r="C13" s="581">
        <f>M116</f>
        <v>7.7924072139655354E-2</v>
      </c>
      <c r="D13" s="427">
        <f>$D$4*C13</f>
        <v>102552849.03890894</v>
      </c>
      <c r="E13" s="539">
        <v>6556.1859700000005</v>
      </c>
      <c r="F13" s="452"/>
      <c r="G13" s="621">
        <v>33.220159000000002</v>
      </c>
      <c r="H13" s="540">
        <v>0</v>
      </c>
      <c r="I13" s="541">
        <v>0.65</v>
      </c>
      <c r="J13" s="439">
        <f t="shared" ref="J13:J27" si="0">(E13+F13)-G13</f>
        <v>6522.965811</v>
      </c>
      <c r="K13" s="673">
        <f>D13/(J13*10^6)</f>
        <v>1.5721813054112441E-2</v>
      </c>
      <c r="L13" s="437"/>
      <c r="M13" s="543">
        <v>5830.5112259999996</v>
      </c>
      <c r="N13" s="544">
        <v>28196.110779450977</v>
      </c>
      <c r="O13" s="545">
        <f>I13</f>
        <v>0.65</v>
      </c>
      <c r="P13" s="421"/>
    </row>
    <row r="14" spans="1:16" ht="15.5" thickBot="1">
      <c r="A14" s="436" t="s">
        <v>2724</v>
      </c>
      <c r="B14" s="254" t="s">
        <v>3041</v>
      </c>
      <c r="C14" s="581"/>
      <c r="D14" s="581"/>
      <c r="E14" s="542"/>
      <c r="F14" s="452"/>
      <c r="G14" s="452"/>
      <c r="H14" s="542"/>
      <c r="I14" s="542"/>
      <c r="J14" s="439">
        <f>(E14+F14)-G14</f>
        <v>0</v>
      </c>
      <c r="K14" s="437"/>
      <c r="L14" s="674">
        <f>N14</f>
        <v>3.2509481575585708</v>
      </c>
      <c r="M14" s="896">
        <f>K13*M13*10^6</f>
        <v>91666207.505075932</v>
      </c>
      <c r="N14" s="686">
        <f>M14/((N13+O13)*10^3)</f>
        <v>3.2509481575585708</v>
      </c>
      <c r="O14" s="675"/>
      <c r="P14" s="566" t="s">
        <v>2725</v>
      </c>
    </row>
    <row r="15" spans="1:16" ht="13">
      <c r="A15" s="436" t="s">
        <v>2726</v>
      </c>
      <c r="B15" s="254" t="s">
        <v>3042</v>
      </c>
      <c r="C15" s="581">
        <f t="shared" ref="C15:C26" si="1">M117</f>
        <v>4.5214569843501793E-4</v>
      </c>
      <c r="D15" s="427">
        <f t="shared" ref="D15:D26" si="2">$D$4*C15</f>
        <v>595051.41712943756</v>
      </c>
      <c r="E15" s="849">
        <v>54.914999000000002</v>
      </c>
      <c r="F15" s="545"/>
      <c r="G15" s="452">
        <v>0</v>
      </c>
      <c r="H15" s="540">
        <v>0</v>
      </c>
      <c r="I15" s="541">
        <v>0</v>
      </c>
      <c r="J15" s="439">
        <f t="shared" si="0"/>
        <v>54.914999000000002</v>
      </c>
      <c r="K15" s="673">
        <f>D15/(J15*10^6)</f>
        <v>1.0835863206142233E-2</v>
      </c>
      <c r="L15" s="437"/>
      <c r="M15" s="420"/>
      <c r="P15" s="421"/>
    </row>
    <row r="16" spans="1:16" ht="13">
      <c r="A16" s="436" t="s">
        <v>2727</v>
      </c>
      <c r="B16" s="254" t="s">
        <v>3043</v>
      </c>
      <c r="C16" s="581">
        <f t="shared" si="1"/>
        <v>0.15218108885273063</v>
      </c>
      <c r="D16" s="427">
        <f t="shared" si="2"/>
        <v>200279628.6585325</v>
      </c>
      <c r="E16" s="539">
        <v>13042.339399</v>
      </c>
      <c r="F16" s="452"/>
      <c r="G16" s="621">
        <v>148.949737</v>
      </c>
      <c r="H16" s="540">
        <v>44865.732000000004</v>
      </c>
      <c r="I16" s="541">
        <v>32.128</v>
      </c>
      <c r="J16" s="439">
        <f t="shared" si="0"/>
        <v>12893.389662</v>
      </c>
      <c r="K16" s="437"/>
      <c r="L16" s="578">
        <f t="shared" ref="L16:L25" si="3">D16/((I16+H16)*10^3)</f>
        <v>4.4607834016706471</v>
      </c>
      <c r="M16" s="420"/>
      <c r="O16" s="676"/>
      <c r="P16" s="421"/>
    </row>
    <row r="17" spans="1:16" ht="13">
      <c r="A17" s="436" t="s">
        <v>2728</v>
      </c>
      <c r="B17" s="254" t="s">
        <v>3044</v>
      </c>
      <c r="C17" s="581">
        <f t="shared" si="1"/>
        <v>8.817811665186856E-2</v>
      </c>
      <c r="D17" s="427">
        <f t="shared" si="2"/>
        <v>116047799.31582223</v>
      </c>
      <c r="E17" s="539">
        <v>8136.5677800000003</v>
      </c>
      <c r="F17" s="452"/>
      <c r="G17" s="621">
        <v>123.126363</v>
      </c>
      <c r="H17" s="540">
        <v>23638.817999999999</v>
      </c>
      <c r="I17" s="541">
        <v>74.268000000000001</v>
      </c>
      <c r="J17" s="439">
        <f t="shared" si="0"/>
        <v>8013.441417</v>
      </c>
      <c r="K17" s="437"/>
      <c r="L17" s="578">
        <f t="shared" si="3"/>
        <v>4.8938294794621937</v>
      </c>
      <c r="M17" s="420"/>
      <c r="O17" s="676"/>
      <c r="P17" s="421"/>
    </row>
    <row r="18" spans="1:16" ht="13">
      <c r="A18" s="436" t="s">
        <v>2729</v>
      </c>
      <c r="B18" s="254" t="s">
        <v>3045</v>
      </c>
      <c r="C18" s="581">
        <f t="shared" si="1"/>
        <v>9.2994689975623351E-2</v>
      </c>
      <c r="D18" s="427">
        <f t="shared" si="2"/>
        <v>122386704.65524802</v>
      </c>
      <c r="E18" s="539">
        <v>9082.2806820000005</v>
      </c>
      <c r="F18" s="452"/>
      <c r="G18" s="621">
        <v>46.494024000000003</v>
      </c>
      <c r="H18" s="540">
        <v>23207.777999999998</v>
      </c>
      <c r="I18" s="541">
        <v>0</v>
      </c>
      <c r="J18" s="439">
        <f t="shared" si="0"/>
        <v>9035.7866580000009</v>
      </c>
      <c r="K18" s="437"/>
      <c r="L18" s="578">
        <f>D18/((I18+H18)*10^3)</f>
        <v>5.2735210003839237</v>
      </c>
      <c r="M18" s="420"/>
      <c r="O18" s="676"/>
      <c r="P18" s="421"/>
    </row>
    <row r="19" spans="1:16" ht="13">
      <c r="A19" s="436" t="s">
        <v>2730</v>
      </c>
      <c r="B19" s="254" t="s">
        <v>3046</v>
      </c>
      <c r="C19" s="581">
        <f t="shared" si="1"/>
        <v>5.9519564917383E-2</v>
      </c>
      <c r="D19" s="427">
        <f t="shared" si="2"/>
        <v>78331390.906965449</v>
      </c>
      <c r="E19" s="539">
        <v>6140.7910629999997</v>
      </c>
      <c r="F19" s="452"/>
      <c r="G19" s="621">
        <v>30.975854999999999</v>
      </c>
      <c r="H19" s="540">
        <v>14298.278</v>
      </c>
      <c r="I19" s="541">
        <v>0</v>
      </c>
      <c r="J19" s="439">
        <f t="shared" si="0"/>
        <v>6109.815208</v>
      </c>
      <c r="K19" s="437"/>
      <c r="L19" s="578">
        <f t="shared" si="3"/>
        <v>5.4783793479862011</v>
      </c>
      <c r="M19" s="420"/>
      <c r="O19" s="676"/>
      <c r="P19" s="421"/>
    </row>
    <row r="20" spans="1:16" ht="13">
      <c r="A20" s="436" t="s">
        <v>2731</v>
      </c>
      <c r="B20" s="254" t="s">
        <v>3047</v>
      </c>
      <c r="C20" s="581">
        <f t="shared" si="1"/>
        <v>6.3782051674585102E-2</v>
      </c>
      <c r="D20" s="427">
        <f t="shared" si="2"/>
        <v>83941084.406533495</v>
      </c>
      <c r="E20" s="539">
        <v>6679.518376</v>
      </c>
      <c r="F20" s="452"/>
      <c r="G20" s="621">
        <v>14.57751</v>
      </c>
      <c r="H20" s="540">
        <v>13500.742</v>
      </c>
      <c r="I20" s="541">
        <v>0</v>
      </c>
      <c r="J20" s="439">
        <f t="shared" si="0"/>
        <v>6664.9408659999999</v>
      </c>
      <c r="K20" s="437"/>
      <c r="L20" s="578">
        <f t="shared" si="3"/>
        <v>6.217516371065642</v>
      </c>
      <c r="M20" s="420"/>
      <c r="N20" s="677"/>
      <c r="O20" s="678"/>
      <c r="P20" s="421"/>
    </row>
    <row r="21" spans="1:16" ht="13">
      <c r="A21" s="436" t="s">
        <v>2732</v>
      </c>
      <c r="B21" s="254" t="s">
        <v>3048</v>
      </c>
      <c r="C21" s="581">
        <f t="shared" si="1"/>
        <v>7.6439223799364608E-4</v>
      </c>
      <c r="D21" s="427">
        <f t="shared" si="2"/>
        <v>1005986.9772845632</v>
      </c>
      <c r="E21" s="540">
        <v>87.29872214000001</v>
      </c>
      <c r="F21" s="540">
        <v>78.124051859999994</v>
      </c>
      <c r="G21" s="621">
        <v>0</v>
      </c>
      <c r="H21" s="540">
        <v>261.20800000000003</v>
      </c>
      <c r="I21" s="541">
        <v>220.452</v>
      </c>
      <c r="J21" s="439">
        <f t="shared" si="0"/>
        <v>165.422774</v>
      </c>
      <c r="K21" s="437"/>
      <c r="L21" s="578">
        <f t="shared" si="3"/>
        <v>2.0885831858251946</v>
      </c>
      <c r="M21" s="420"/>
      <c r="O21" s="676"/>
      <c r="P21" s="421"/>
    </row>
    <row r="22" spans="1:16" ht="13">
      <c r="A22" s="436" t="s">
        <v>2733</v>
      </c>
      <c r="B22" s="254" t="s">
        <v>3049</v>
      </c>
      <c r="C22" s="581">
        <f t="shared" si="1"/>
        <v>1.7542310274660839E-3</v>
      </c>
      <c r="D22" s="427">
        <f t="shared" si="2"/>
        <v>2308675.4169710297</v>
      </c>
      <c r="E22" s="540">
        <v>355.36404849999997</v>
      </c>
      <c r="F22" s="540">
        <v>196.28946550000001</v>
      </c>
      <c r="G22" s="621">
        <v>0</v>
      </c>
      <c r="H22" s="540">
        <v>937.90100000000007</v>
      </c>
      <c r="I22" s="541">
        <v>1143.8399999999999</v>
      </c>
      <c r="J22" s="439">
        <f t="shared" si="0"/>
        <v>551.65351399999997</v>
      </c>
      <c r="K22" s="437"/>
      <c r="L22" s="578">
        <f t="shared" si="3"/>
        <v>1.109011840075701</v>
      </c>
      <c r="M22" s="420"/>
      <c r="O22" s="676"/>
      <c r="P22" s="421"/>
    </row>
    <row r="23" spans="1:16" ht="13">
      <c r="A23" s="436" t="s">
        <v>2734</v>
      </c>
      <c r="B23" s="254" t="s">
        <v>3050</v>
      </c>
      <c r="C23" s="581">
        <f t="shared" si="1"/>
        <v>3.194536709475602E-3</v>
      </c>
      <c r="D23" s="427">
        <f t="shared" si="2"/>
        <v>4204205.8624575529</v>
      </c>
      <c r="E23" s="540">
        <v>1752.6133059999997</v>
      </c>
      <c r="F23" s="540">
        <v>550.23580600000003</v>
      </c>
      <c r="G23" s="621">
        <v>0</v>
      </c>
      <c r="H23" s="540">
        <v>3697.1240000000007</v>
      </c>
      <c r="I23" s="541">
        <v>7398.1549999999997</v>
      </c>
      <c r="J23" s="439">
        <f t="shared" si="0"/>
        <v>2302.8491119999999</v>
      </c>
      <c r="K23" s="437"/>
      <c r="L23" s="578">
        <f t="shared" si="3"/>
        <v>0.37891844472388236</v>
      </c>
      <c r="M23" s="420"/>
      <c r="N23" s="677"/>
      <c r="O23" s="678"/>
      <c r="P23" s="421"/>
    </row>
    <row r="24" spans="1:16" ht="13">
      <c r="A24" s="436" t="s">
        <v>2735</v>
      </c>
      <c r="B24" s="254" t="s">
        <v>3051</v>
      </c>
      <c r="C24" s="581">
        <f t="shared" si="1"/>
        <v>1.7503166050533595E-2</v>
      </c>
      <c r="D24" s="427">
        <f t="shared" si="2"/>
        <v>23035237.974554684</v>
      </c>
      <c r="E24" s="539">
        <v>2043.13429</v>
      </c>
      <c r="F24" s="452"/>
      <c r="G24" s="621">
        <v>110.581096</v>
      </c>
      <c r="H24" s="539">
        <v>10072.454</v>
      </c>
      <c r="I24" s="539">
        <v>1.288</v>
      </c>
      <c r="J24" s="439">
        <f t="shared" si="0"/>
        <v>1932.5531940000001</v>
      </c>
      <c r="K24" s="437"/>
      <c r="L24" s="578">
        <f t="shared" si="3"/>
        <v>2.2866614982351825</v>
      </c>
      <c r="M24" s="420"/>
      <c r="N24" s="679"/>
      <c r="O24" s="679"/>
      <c r="P24" s="421"/>
    </row>
    <row r="25" spans="1:16" ht="13">
      <c r="A25" s="436" t="s">
        <v>2736</v>
      </c>
      <c r="B25" s="254" t="s">
        <v>3052</v>
      </c>
      <c r="C25" s="581">
        <f t="shared" si="1"/>
        <v>1.440254493838054E-2</v>
      </c>
      <c r="D25" s="427">
        <f t="shared" si="2"/>
        <v>18954630.787194051</v>
      </c>
      <c r="E25" s="539">
        <v>1751.6833770000001</v>
      </c>
      <c r="F25" s="452"/>
      <c r="G25" s="621">
        <v>62.377676000000001</v>
      </c>
      <c r="H25" s="539">
        <v>6045.2190000000001</v>
      </c>
      <c r="I25" s="539">
        <v>24.472000000000001</v>
      </c>
      <c r="J25" s="439">
        <f t="shared" si="0"/>
        <v>1689.305701</v>
      </c>
      <c r="K25" s="437"/>
      <c r="L25" s="578">
        <f t="shared" si="3"/>
        <v>3.122832906517655</v>
      </c>
      <c r="M25" s="676"/>
      <c r="O25" s="424"/>
      <c r="P25" s="421"/>
    </row>
    <row r="26" spans="1:16" ht="13">
      <c r="A26" s="436" t="s">
        <v>2737</v>
      </c>
      <c r="B26" s="254" t="s">
        <v>3053</v>
      </c>
      <c r="C26" s="581">
        <f t="shared" si="1"/>
        <v>3.8207203355617152E-3</v>
      </c>
      <c r="D26" s="427">
        <f t="shared" si="2"/>
        <v>5028301.8460652418</v>
      </c>
      <c r="E26" s="539">
        <v>461.33535899999998</v>
      </c>
      <c r="F26" s="452"/>
      <c r="G26" s="452">
        <v>0</v>
      </c>
      <c r="H26" s="540">
        <v>0</v>
      </c>
      <c r="I26" s="541">
        <v>0</v>
      </c>
      <c r="J26" s="439">
        <f t="shared" si="0"/>
        <v>461.33535899999998</v>
      </c>
      <c r="K26" s="673">
        <f>D26/(J26*10^6)</f>
        <v>1.0899450362887189E-2</v>
      </c>
      <c r="L26" s="437"/>
      <c r="M26" s="420"/>
      <c r="O26" s="424"/>
      <c r="P26" s="421"/>
    </row>
    <row r="27" spans="1:16" ht="13">
      <c r="A27" s="436" t="s">
        <v>2738</v>
      </c>
      <c r="B27" s="438" t="s">
        <v>380</v>
      </c>
      <c r="C27" s="581"/>
      <c r="D27" s="427"/>
      <c r="E27" s="539"/>
      <c r="F27" s="452"/>
      <c r="G27" s="452"/>
      <c r="H27" s="540"/>
      <c r="I27" s="541"/>
      <c r="J27" s="439">
        <f t="shared" si="0"/>
        <v>0</v>
      </c>
      <c r="K27" s="673"/>
      <c r="L27" s="437"/>
      <c r="M27" s="420"/>
      <c r="O27" s="424"/>
      <c r="P27" s="421"/>
    </row>
    <row r="28" spans="1:16" ht="13">
      <c r="A28" s="436">
        <v>2</v>
      </c>
      <c r="B28" s="256" t="s">
        <v>431</v>
      </c>
      <c r="C28" s="697">
        <f t="shared" ref="C28:D28" si="4">SUM(C12:C27)</f>
        <v>0.99999999999999978</v>
      </c>
      <c r="D28" s="699">
        <f t="shared" si="4"/>
        <v>1316061214.7567692</v>
      </c>
      <c r="E28" s="696">
        <f>SUM(E12:E27)</f>
        <v>84502.30418264</v>
      </c>
      <c r="F28" s="696">
        <f t="shared" ref="F28:J28" si="5">SUM(F12:F27)</f>
        <v>824.64932336000004</v>
      </c>
      <c r="G28" s="696">
        <f t="shared" si="5"/>
        <v>2654.1200990000002</v>
      </c>
      <c r="H28" s="696">
        <f t="shared" si="5"/>
        <v>140525.25400000002</v>
      </c>
      <c r="I28" s="696">
        <f t="shared" si="5"/>
        <v>8895.2649999999994</v>
      </c>
      <c r="J28" s="696">
        <f t="shared" si="5"/>
        <v>82672.833407000013</v>
      </c>
      <c r="K28" s="421"/>
      <c r="M28" s="420"/>
      <c r="P28" s="421"/>
    </row>
    <row r="29" spans="1:16" ht="13">
      <c r="A29" s="436">
        <f>A28+1</f>
        <v>3</v>
      </c>
      <c r="J29" s="439"/>
      <c r="K29" s="439"/>
    </row>
    <row r="30" spans="1:16" ht="13">
      <c r="A30" s="436">
        <f t="shared" ref="A30:A34" si="6">A29+1</f>
        <v>4</v>
      </c>
      <c r="G30" s="567"/>
      <c r="I30" s="428"/>
      <c r="J30" s="440"/>
      <c r="K30" s="440"/>
      <c r="L30" s="440"/>
    </row>
    <row r="31" spans="1:16" ht="15.5">
      <c r="A31" s="436">
        <f t="shared" si="6"/>
        <v>5</v>
      </c>
      <c r="B31" s="419" t="s">
        <v>2739</v>
      </c>
    </row>
    <row r="32" spans="1:16" ht="13">
      <c r="A32" s="436">
        <f t="shared" si="6"/>
        <v>6</v>
      </c>
      <c r="C32" s="428" t="s">
        <v>336</v>
      </c>
      <c r="D32" s="428" t="s">
        <v>337</v>
      </c>
      <c r="E32" s="428" t="s">
        <v>338</v>
      </c>
      <c r="F32" s="428" t="s">
        <v>339</v>
      </c>
      <c r="G32" s="428" t="s">
        <v>340</v>
      </c>
      <c r="H32" s="428" t="s">
        <v>341</v>
      </c>
      <c r="I32" s="428" t="s">
        <v>342</v>
      </c>
      <c r="J32" s="428" t="s">
        <v>343</v>
      </c>
    </row>
    <row r="33" spans="1:13" s="671" customFormat="1" ht="42.75" customHeight="1">
      <c r="A33" s="436">
        <f t="shared" si="6"/>
        <v>7</v>
      </c>
      <c r="C33" s="672" t="s">
        <v>2740</v>
      </c>
      <c r="D33" s="694" t="s">
        <v>2741</v>
      </c>
      <c r="E33" s="694" t="s">
        <v>2742</v>
      </c>
      <c r="F33" s="700"/>
      <c r="H33" s="565" t="s">
        <v>2740</v>
      </c>
      <c r="I33" s="565" t="s">
        <v>2202</v>
      </c>
      <c r="J33" s="429" t="s">
        <v>2743</v>
      </c>
      <c r="K33" s="570"/>
      <c r="L33" s="570"/>
      <c r="M33" s="570"/>
    </row>
    <row r="34" spans="1:13" ht="13">
      <c r="A34" s="436">
        <f t="shared" si="6"/>
        <v>8</v>
      </c>
      <c r="C34" s="428"/>
      <c r="D34" s="428"/>
      <c r="E34" s="428"/>
      <c r="F34" s="571"/>
      <c r="K34" s="571"/>
      <c r="L34" s="571"/>
      <c r="M34" s="571"/>
    </row>
    <row r="35" spans="1:13" s="442" customFormat="1" ht="47.9" customHeight="1">
      <c r="A35" s="436">
        <v>9</v>
      </c>
      <c r="B35" s="441" t="s">
        <v>2712</v>
      </c>
      <c r="C35" s="431" t="s">
        <v>2744</v>
      </c>
      <c r="D35" s="441" t="s">
        <v>2745</v>
      </c>
      <c r="E35" s="441" t="s">
        <v>2746</v>
      </c>
      <c r="F35" s="572"/>
      <c r="G35" s="441" t="s">
        <v>2712</v>
      </c>
      <c r="H35" s="441" t="s">
        <v>2747</v>
      </c>
      <c r="I35" s="441" t="s">
        <v>2748</v>
      </c>
      <c r="J35" s="441" t="s">
        <v>2749</v>
      </c>
      <c r="K35" s="572"/>
      <c r="L35" s="573"/>
      <c r="M35" s="573"/>
    </row>
    <row r="36" spans="1:13" s="444" customFormat="1" ht="13">
      <c r="A36" s="443" t="s">
        <v>2750</v>
      </c>
      <c r="B36" s="1098" t="s">
        <v>3048</v>
      </c>
      <c r="C36" s="427">
        <f>D21</f>
        <v>1005986.9772845632</v>
      </c>
      <c r="D36" s="680">
        <f>I21</f>
        <v>220.452</v>
      </c>
      <c r="E36" s="681">
        <f>C36/D36/10^3</f>
        <v>4.5632925865247911</v>
      </c>
      <c r="F36" s="574"/>
      <c r="G36" s="1098" t="s">
        <v>3048</v>
      </c>
      <c r="H36" s="427">
        <f>D18</f>
        <v>122386704.65524802</v>
      </c>
      <c r="I36" s="439">
        <f>H18+H21</f>
        <v>23468.985999999997</v>
      </c>
      <c r="J36" s="676">
        <f>H36/(I36*10^3)</f>
        <v>5.2148271192989775</v>
      </c>
      <c r="K36" s="575"/>
      <c r="L36" s="576"/>
      <c r="M36" s="574"/>
    </row>
    <row r="37" spans="1:13" s="444" customFormat="1" ht="13">
      <c r="A37" s="443" t="s">
        <v>2751</v>
      </c>
      <c r="B37" s="1098" t="s">
        <v>3049</v>
      </c>
      <c r="C37" s="427">
        <f>D22</f>
        <v>2308675.4169710297</v>
      </c>
      <c r="D37" s="680">
        <f>I22</f>
        <v>1143.8399999999999</v>
      </c>
      <c r="E37" s="681">
        <f t="shared" ref="E37:E38" si="7">C37/D37/10^3</f>
        <v>2.0183552043738895</v>
      </c>
      <c r="F37" s="574"/>
      <c r="G37" s="1098" t="s">
        <v>3049</v>
      </c>
      <c r="H37" s="427">
        <f t="shared" ref="H37:H38" si="8">D19</f>
        <v>78331390.906965449</v>
      </c>
      <c r="I37" s="439">
        <f t="shared" ref="I37:I38" si="9">H19+H22</f>
        <v>15236.179</v>
      </c>
      <c r="J37" s="676">
        <f t="shared" ref="J37:J38" si="10">H37/(I37*10^3)</f>
        <v>5.1411440431991151</v>
      </c>
      <c r="K37" s="575"/>
      <c r="L37" s="576"/>
      <c r="M37" s="574"/>
    </row>
    <row r="38" spans="1:13" s="444" customFormat="1" ht="13">
      <c r="A38" s="443" t="s">
        <v>2752</v>
      </c>
      <c r="B38" s="1098" t="s">
        <v>3050</v>
      </c>
      <c r="C38" s="427">
        <f>D23</f>
        <v>4204205.8624575529</v>
      </c>
      <c r="D38" s="680">
        <f>I23</f>
        <v>7398.1549999999997</v>
      </c>
      <c r="E38" s="681">
        <f t="shared" si="7"/>
        <v>0.56827761279096645</v>
      </c>
      <c r="F38" s="574"/>
      <c r="G38" s="1098" t="s">
        <v>3050</v>
      </c>
      <c r="H38" s="427">
        <f t="shared" si="8"/>
        <v>83941084.406533495</v>
      </c>
      <c r="I38" s="439">
        <f t="shared" si="9"/>
        <v>17197.866000000002</v>
      </c>
      <c r="J38" s="676">
        <f t="shared" si="10"/>
        <v>4.8809011773049917</v>
      </c>
      <c r="K38" s="575"/>
      <c r="L38" s="576"/>
      <c r="M38" s="574"/>
    </row>
    <row r="39" spans="1:13" ht="13">
      <c r="A39" s="443" t="s">
        <v>2753</v>
      </c>
      <c r="B39" s="1099" t="s">
        <v>380</v>
      </c>
      <c r="C39" s="428"/>
      <c r="D39" s="428"/>
      <c r="E39" s="428"/>
      <c r="F39" s="428"/>
      <c r="G39" s="1099" t="s">
        <v>380</v>
      </c>
      <c r="H39" s="428"/>
      <c r="I39" s="428"/>
    </row>
    <row r="40" spans="1:13" ht="13">
      <c r="A40" s="436">
        <v>10</v>
      </c>
      <c r="C40" s="428"/>
      <c r="D40" s="428"/>
      <c r="E40" s="428"/>
      <c r="F40" s="428"/>
      <c r="G40" s="428"/>
      <c r="H40" s="428"/>
      <c r="I40" s="428"/>
    </row>
    <row r="41" spans="1:13" ht="13">
      <c r="A41" s="436">
        <v>11</v>
      </c>
      <c r="B41" s="687" t="s">
        <v>2754</v>
      </c>
    </row>
    <row r="42" spans="1:13" ht="13">
      <c r="A42" s="436">
        <v>12</v>
      </c>
      <c r="C42" s="428" t="s">
        <v>336</v>
      </c>
      <c r="D42" s="428" t="s">
        <v>337</v>
      </c>
      <c r="E42" s="428" t="s">
        <v>338</v>
      </c>
      <c r="F42" s="428" t="s">
        <v>339</v>
      </c>
      <c r="G42" s="428" t="s">
        <v>340</v>
      </c>
      <c r="H42" s="428" t="s">
        <v>341</v>
      </c>
      <c r="I42" s="428" t="s">
        <v>342</v>
      </c>
      <c r="J42" s="428" t="s">
        <v>343</v>
      </c>
      <c r="K42" s="428" t="s">
        <v>344</v>
      </c>
      <c r="L42" s="428" t="s">
        <v>589</v>
      </c>
      <c r="M42" s="428" t="s">
        <v>590</v>
      </c>
    </row>
    <row r="43" spans="1:13" s="671" customFormat="1" ht="56.9" customHeight="1">
      <c r="A43" s="446">
        <v>13</v>
      </c>
      <c r="C43" s="694" t="s">
        <v>2755</v>
      </c>
      <c r="D43" s="694" t="s">
        <v>2756</v>
      </c>
      <c r="E43" s="694" t="s">
        <v>2757</v>
      </c>
      <c r="G43" s="694" t="s">
        <v>2758</v>
      </c>
      <c r="H43" s="694" t="s">
        <v>2759</v>
      </c>
      <c r="I43" s="694" t="s">
        <v>2760</v>
      </c>
      <c r="J43" s="694" t="s">
        <v>2761</v>
      </c>
      <c r="K43" s="694" t="s">
        <v>2762</v>
      </c>
      <c r="L43" s="430"/>
      <c r="M43" s="694" t="s">
        <v>2758</v>
      </c>
    </row>
    <row r="44" spans="1:13" ht="13">
      <c r="A44" s="436">
        <v>14</v>
      </c>
      <c r="C44" s="421"/>
      <c r="D44" s="437" t="s">
        <v>2763</v>
      </c>
      <c r="E44" s="568"/>
      <c r="G44" s="421"/>
      <c r="H44" s="421" t="s">
        <v>2764</v>
      </c>
      <c r="I44" s="421" t="s">
        <v>2765</v>
      </c>
      <c r="J44" s="421"/>
      <c r="K44" s="421"/>
      <c r="L44" s="421"/>
      <c r="M44" s="563"/>
    </row>
    <row r="45" spans="1:13" ht="64.400000000000006" customHeight="1">
      <c r="A45" s="436">
        <v>15</v>
      </c>
      <c r="B45" s="434" t="str">
        <f>B11</f>
        <v>CPUC Rate Group</v>
      </c>
      <c r="C45" s="431" t="s">
        <v>2766</v>
      </c>
      <c r="D45" s="431" t="s">
        <v>2767</v>
      </c>
      <c r="E45" s="431" t="s">
        <v>2768</v>
      </c>
      <c r="G45" s="431" t="s">
        <v>2769</v>
      </c>
      <c r="H45" s="431" t="s">
        <v>2770</v>
      </c>
      <c r="I45" s="441" t="s">
        <v>2771</v>
      </c>
      <c r="J45" s="431" t="s">
        <v>2772</v>
      </c>
      <c r="K45" s="441" t="s">
        <v>2773</v>
      </c>
      <c r="L45" s="447" t="s">
        <v>100</v>
      </c>
      <c r="M45" s="651" t="s">
        <v>2774</v>
      </c>
    </row>
    <row r="46" spans="1:13" ht="13.5" thickBot="1">
      <c r="A46" s="436" t="s">
        <v>2775</v>
      </c>
      <c r="B46" s="1100" t="s">
        <v>3039</v>
      </c>
      <c r="C46" s="427">
        <f>D46+E46</f>
        <v>557389667.49310195</v>
      </c>
      <c r="D46" s="427">
        <f>D12-E46</f>
        <v>557389667.49310195</v>
      </c>
      <c r="E46" s="682"/>
      <c r="G46" s="682">
        <f>D46/(J12*10^6)</f>
        <v>2.1214125272487529E-2</v>
      </c>
      <c r="H46" s="682"/>
      <c r="I46" s="683"/>
      <c r="J46" s="684"/>
      <c r="K46" s="682"/>
      <c r="L46" s="682"/>
      <c r="M46" s="563"/>
    </row>
    <row r="47" spans="1:13" ht="13.5" thickBot="1">
      <c r="A47" s="436" t="s">
        <v>2776</v>
      </c>
      <c r="B47" s="1100" t="s">
        <v>3040</v>
      </c>
      <c r="C47" s="427">
        <f t="shared" ref="C47:C59" si="11">D47+E47</f>
        <v>102552849.03890894</v>
      </c>
      <c r="D47" s="427">
        <f t="shared" ref="D47" si="12">D13-E47</f>
        <v>102550735.92260653</v>
      </c>
      <c r="E47" s="427">
        <f>I47*I13*10^3</f>
        <v>2113.116302413071</v>
      </c>
      <c r="G47" s="682">
        <f>D47/(J13*10^6)</f>
        <v>1.5721489103878199E-2</v>
      </c>
      <c r="H47" s="685">
        <f>(M14-E47)/N13/10^3</f>
        <v>3.2509481575585708</v>
      </c>
      <c r="I47" s="686">
        <f>MIN($I$54,L14)</f>
        <v>3.2509481575585708</v>
      </c>
      <c r="J47" s="686"/>
      <c r="K47" s="686"/>
      <c r="L47" s="566" t="s">
        <v>2777</v>
      </c>
      <c r="M47" s="673">
        <f>$D47/(J13*10^6)</f>
        <v>1.5721489103878199E-2</v>
      </c>
    </row>
    <row r="48" spans="1:13" ht="13.5" thickBot="1">
      <c r="A48" s="436" t="s">
        <v>2778</v>
      </c>
      <c r="B48" s="1100" t="s">
        <v>3042</v>
      </c>
      <c r="C48" s="427">
        <f t="shared" si="11"/>
        <v>595051.41712943756</v>
      </c>
      <c r="D48" s="427">
        <f>D15-E48</f>
        <v>595051.41712943756</v>
      </c>
      <c r="E48" s="682"/>
      <c r="G48" s="682">
        <f>D48/(J15*10^6)</f>
        <v>1.0835863206142233E-2</v>
      </c>
      <c r="H48" s="682"/>
      <c r="I48" s="683"/>
      <c r="J48" s="684"/>
      <c r="K48" s="682"/>
      <c r="L48" s="682"/>
      <c r="M48" s="866"/>
    </row>
    <row r="49" spans="1:13" ht="13">
      <c r="A49" s="436" t="s">
        <v>2779</v>
      </c>
      <c r="B49" s="1100" t="s">
        <v>3043</v>
      </c>
      <c r="C49" s="427">
        <f t="shared" si="11"/>
        <v>200279628.6585325</v>
      </c>
      <c r="D49" s="427">
        <f t="shared" ref="D49:D50" si="13">D16-E49</f>
        <v>200136312.60940364</v>
      </c>
      <c r="E49" s="427">
        <f>I49*I16*10^3</f>
        <v>143316.04912887453</v>
      </c>
      <c r="G49" s="427"/>
      <c r="H49" s="577">
        <f t="shared" ref="H49:H58" si="14">D49/H16/10^3</f>
        <v>4.4607834016706471</v>
      </c>
      <c r="I49" s="578">
        <f>MIN($I$54,L16)</f>
        <v>4.4607834016706471</v>
      </c>
      <c r="J49" s="684"/>
      <c r="K49" s="682"/>
      <c r="L49" s="1157" t="s">
        <v>2780</v>
      </c>
      <c r="M49" s="867">
        <f>($D49+D50)/((J16+J17)*10^6)</f>
        <v>1.5107273030424136E-2</v>
      </c>
    </row>
    <row r="50" spans="1:13" ht="13.5" thickBot="1">
      <c r="A50" s="436" t="s">
        <v>2781</v>
      </c>
      <c r="B50" s="1100" t="s">
        <v>3044</v>
      </c>
      <c r="C50" s="427">
        <f t="shared" si="11"/>
        <v>116047799.31582223</v>
      </c>
      <c r="D50" s="427">
        <f t="shared" si="13"/>
        <v>115708892.70200621</v>
      </c>
      <c r="E50" s="427">
        <f>I50*I17*10^3</f>
        <v>338906.61381602322</v>
      </c>
      <c r="G50" s="427"/>
      <c r="H50" s="577">
        <f t="shared" si="14"/>
        <v>4.8948679541424704</v>
      </c>
      <c r="I50" s="578">
        <f>MIN($I$54,L17)</f>
        <v>4.5632925865247911</v>
      </c>
      <c r="J50" s="684"/>
      <c r="K50" s="682"/>
      <c r="L50" s="1158"/>
      <c r="M50" s="868">
        <f>M49</f>
        <v>1.5107273030424136E-2</v>
      </c>
    </row>
    <row r="51" spans="1:13" ht="13">
      <c r="A51" s="436" t="s">
        <v>2782</v>
      </c>
      <c r="B51" s="1100" t="s">
        <v>3045</v>
      </c>
      <c r="C51" s="427">
        <f t="shared" si="11"/>
        <v>121024550.09307018</v>
      </c>
      <c r="D51" s="427">
        <f>J36*H18*1000</f>
        <v>121024550.09307018</v>
      </c>
      <c r="E51" s="682"/>
      <c r="G51" s="427"/>
      <c r="H51" s="577">
        <f t="shared" si="14"/>
        <v>5.2148271192989775</v>
      </c>
      <c r="I51" s="683"/>
      <c r="J51" s="684"/>
      <c r="K51" s="682"/>
      <c r="L51" s="682"/>
      <c r="M51" s="673">
        <f>$D51/(J18*10^6)</f>
        <v>1.3393914074533718E-2</v>
      </c>
    </row>
    <row r="52" spans="1:13" ht="13">
      <c r="A52" s="436" t="s">
        <v>2783</v>
      </c>
      <c r="B52" s="1100" t="s">
        <v>3046</v>
      </c>
      <c r="C52" s="427">
        <f t="shared" si="11"/>
        <v>73509506.767704949</v>
      </c>
      <c r="D52" s="427">
        <f t="shared" ref="D52:D53" si="15">J37*H19*1000</f>
        <v>73509506.767704949</v>
      </c>
      <c r="E52" s="682"/>
      <c r="G52" s="427"/>
      <c r="H52" s="577">
        <f t="shared" si="14"/>
        <v>5.1411440431991142</v>
      </c>
      <c r="I52" s="683"/>
      <c r="J52" s="684"/>
      <c r="K52" s="682"/>
      <c r="L52" s="682"/>
      <c r="M52" s="673">
        <f>$D52/(J19*10^6)</f>
        <v>1.2031379716927266E-2</v>
      </c>
    </row>
    <row r="53" spans="1:13" ht="13">
      <c r="A53" s="436" t="s">
        <v>2784</v>
      </c>
      <c r="B53" s="1100" t="s">
        <v>3047</v>
      </c>
      <c r="C53" s="427">
        <f t="shared" si="11"/>
        <v>65895787.522290953</v>
      </c>
      <c r="D53" s="427">
        <f t="shared" si="15"/>
        <v>65895787.522290953</v>
      </c>
      <c r="E53" s="682"/>
      <c r="G53" s="427"/>
      <c r="H53" s="577">
        <f t="shared" si="14"/>
        <v>4.8809011773049917</v>
      </c>
      <c r="I53" s="683"/>
      <c r="J53" s="684"/>
      <c r="K53" s="673"/>
      <c r="L53" s="673"/>
      <c r="M53" s="673">
        <f>$D53/(J20*10^6)</f>
        <v>9.8869275582693442E-3</v>
      </c>
    </row>
    <row r="54" spans="1:13" ht="13">
      <c r="A54" s="436" t="s">
        <v>2785</v>
      </c>
      <c r="B54" s="1100" t="s">
        <v>3048</v>
      </c>
      <c r="C54" s="427">
        <f t="shared" si="11"/>
        <v>2368141.5394624108</v>
      </c>
      <c r="D54" s="427">
        <f>J36*H21*1000</f>
        <v>1362154.5621778476</v>
      </c>
      <c r="E54" s="427">
        <f>I54*I21*10^3</f>
        <v>1005986.9772845632</v>
      </c>
      <c r="G54" s="427"/>
      <c r="H54" s="577">
        <f>J36</f>
        <v>5.2148271192989775</v>
      </c>
      <c r="I54" s="578">
        <f>E36</f>
        <v>4.5632925865247911</v>
      </c>
      <c r="J54" s="684"/>
      <c r="K54" s="673"/>
      <c r="L54" s="673"/>
    </row>
    <row r="55" spans="1:13" ht="13">
      <c r="A55" s="436" t="s">
        <v>2786</v>
      </c>
      <c r="B55" s="1100" t="s">
        <v>3049</v>
      </c>
      <c r="C55" s="427">
        <f t="shared" si="11"/>
        <v>7130559.5562315229</v>
      </c>
      <c r="D55" s="427">
        <f t="shared" ref="D55:D56" si="16">J37*H22*1000</f>
        <v>4821884.1392604932</v>
      </c>
      <c r="E55" s="427">
        <f>I55*I22*10^3</f>
        <v>2308675.4169710297</v>
      </c>
      <c r="G55" s="427"/>
      <c r="H55" s="577">
        <f>J37</f>
        <v>5.1411440431991151</v>
      </c>
      <c r="I55" s="578">
        <f>E37</f>
        <v>2.0183552043738895</v>
      </c>
      <c r="J55" s="684"/>
      <c r="K55" s="673"/>
      <c r="L55" s="673"/>
    </row>
    <row r="56" spans="1:13" ht="13.5" thickBot="1">
      <c r="A56" s="436" t="s">
        <v>2787</v>
      </c>
      <c r="B56" s="1100" t="s">
        <v>3050</v>
      </c>
      <c r="C56" s="427">
        <f t="shared" si="11"/>
        <v>22249502.746700093</v>
      </c>
      <c r="D56" s="427">
        <f t="shared" si="16"/>
        <v>18045296.884242542</v>
      </c>
      <c r="E56" s="427">
        <f>I56*I23*10^3</f>
        <v>4204205.862457552</v>
      </c>
      <c r="G56" s="427"/>
      <c r="H56" s="577">
        <f>J38</f>
        <v>4.8809011773049917</v>
      </c>
      <c r="I56" s="578">
        <f>E38</f>
        <v>0.56827761279096645</v>
      </c>
      <c r="J56" s="684"/>
      <c r="K56" s="673"/>
      <c r="L56" s="673"/>
    </row>
    <row r="57" spans="1:13" ht="13.5" thickBot="1">
      <c r="A57" s="436" t="s">
        <v>2788</v>
      </c>
      <c r="B57" s="1100" t="s">
        <v>3051</v>
      </c>
      <c r="C57" s="427">
        <f t="shared" si="11"/>
        <v>23035237.974554684</v>
      </c>
      <c r="D57" s="427">
        <f t="shared" ref="D57:D59" si="17">D24-E57</f>
        <v>23032292.754544958</v>
      </c>
      <c r="E57" s="427">
        <f>I57*I24*10^3</f>
        <v>2945.2200097269151</v>
      </c>
      <c r="G57" s="427"/>
      <c r="H57" s="577">
        <f t="shared" si="14"/>
        <v>2.2866614982351825</v>
      </c>
      <c r="I57" s="578">
        <f>MIN($I$54,L24)</f>
        <v>2.2866614982351825</v>
      </c>
      <c r="J57" s="674">
        <f>H57*0.746</f>
        <v>1.7058494776834461</v>
      </c>
      <c r="K57" s="686">
        <f>I57*0.746</f>
        <v>1.7058494776834461</v>
      </c>
      <c r="L57" s="566" t="s">
        <v>2789</v>
      </c>
    </row>
    <row r="58" spans="1:13" ht="13">
      <c r="A58" s="436" t="s">
        <v>2790</v>
      </c>
      <c r="B58" s="1100" t="s">
        <v>3052</v>
      </c>
      <c r="C58" s="427">
        <f t="shared" si="11"/>
        <v>18954630.787194051</v>
      </c>
      <c r="D58" s="427">
        <f t="shared" si="17"/>
        <v>18878208.82030575</v>
      </c>
      <c r="E58" s="427">
        <f>I58*I25*10^3</f>
        <v>76421.966888300056</v>
      </c>
      <c r="G58" s="427"/>
      <c r="H58" s="577">
        <f t="shared" si="14"/>
        <v>3.1228329065176545</v>
      </c>
      <c r="I58" s="578">
        <f>MIN($I$54,L25)</f>
        <v>3.122832906517655</v>
      </c>
      <c r="J58" s="684"/>
      <c r="K58" s="682"/>
      <c r="L58" s="682"/>
    </row>
    <row r="59" spans="1:13" ht="13">
      <c r="A59" s="436" t="s">
        <v>2791</v>
      </c>
      <c r="B59" s="1100" t="s">
        <v>3053</v>
      </c>
      <c r="C59" s="427">
        <f t="shared" si="11"/>
        <v>5028301.8460652418</v>
      </c>
      <c r="D59" s="427">
        <f t="shared" si="17"/>
        <v>5028301.8460652418</v>
      </c>
      <c r="E59" s="682"/>
      <c r="G59" s="682">
        <f>D59/(J26*10^6)</f>
        <v>1.0899450362887189E-2</v>
      </c>
      <c r="H59" s="682"/>
      <c r="I59" s="683"/>
      <c r="J59" s="684"/>
      <c r="K59" s="682"/>
      <c r="L59" s="682"/>
    </row>
    <row r="60" spans="1:13" ht="13">
      <c r="A60" s="436" t="s">
        <v>2792</v>
      </c>
      <c r="B60" s="1099" t="s">
        <v>380</v>
      </c>
      <c r="C60" s="427"/>
      <c r="D60" s="427"/>
      <c r="E60" s="682"/>
      <c r="G60" s="682"/>
      <c r="H60" s="682"/>
      <c r="I60" s="683"/>
      <c r="J60" s="684"/>
      <c r="K60" s="682"/>
      <c r="L60" s="682"/>
    </row>
    <row r="61" spans="1:13" ht="13">
      <c r="A61" s="436">
        <v>17</v>
      </c>
      <c r="B61" s="255" t="s">
        <v>431</v>
      </c>
      <c r="C61" s="699">
        <f>SUM(C46:C60)</f>
        <v>1316061214.7567692</v>
      </c>
      <c r="D61" s="699">
        <f>SUM(D46:D60)</f>
        <v>1307978643.533911</v>
      </c>
      <c r="E61" s="699">
        <f>SUM(E46:E59)</f>
        <v>8082571.222858483</v>
      </c>
      <c r="G61" s="427"/>
      <c r="H61" s="427"/>
      <c r="I61" s="427"/>
      <c r="J61" s="427"/>
    </row>
    <row r="62" spans="1:13" ht="13">
      <c r="A62" s="436">
        <v>18</v>
      </c>
    </row>
    <row r="63" spans="1:13" ht="13">
      <c r="A63" s="436">
        <v>19</v>
      </c>
      <c r="B63" s="448" t="s">
        <v>228</v>
      </c>
    </row>
    <row r="64" spans="1:13">
      <c r="B64" s="420" t="s">
        <v>2793</v>
      </c>
    </row>
    <row r="65" spans="2:2">
      <c r="B65" s="420" t="s">
        <v>2794</v>
      </c>
    </row>
    <row r="66" spans="2:2">
      <c r="B66" s="420" t="s">
        <v>2795</v>
      </c>
    </row>
    <row r="67" spans="2:2">
      <c r="B67" s="449" t="s">
        <v>2796</v>
      </c>
    </row>
    <row r="68" spans="2:2">
      <c r="B68" s="449" t="s">
        <v>2797</v>
      </c>
    </row>
    <row r="69" spans="2:2">
      <c r="B69" s="579" t="s">
        <v>2798</v>
      </c>
    </row>
    <row r="70" spans="2:2">
      <c r="B70" s="420" t="s">
        <v>2799</v>
      </c>
    </row>
    <row r="71" spans="2:2">
      <c r="B71" s="420" t="s">
        <v>2800</v>
      </c>
    </row>
    <row r="72" spans="2:2">
      <c r="B72" s="420" t="s">
        <v>2801</v>
      </c>
    </row>
    <row r="73" spans="2:2">
      <c r="B73" s="420" t="s">
        <v>2802</v>
      </c>
    </row>
    <row r="74" spans="2:2">
      <c r="B74" s="420" t="s">
        <v>2803</v>
      </c>
    </row>
    <row r="75" spans="2:2">
      <c r="B75" s="449" t="s">
        <v>2804</v>
      </c>
    </row>
    <row r="76" spans="2:2">
      <c r="B76" s="449" t="s">
        <v>2805</v>
      </c>
    </row>
    <row r="77" spans="2:2">
      <c r="B77" s="449" t="s">
        <v>2806</v>
      </c>
    </row>
    <row r="78" spans="2:2" ht="15.5">
      <c r="B78" s="420" t="s">
        <v>2807</v>
      </c>
    </row>
    <row r="79" spans="2:2">
      <c r="B79" s="420" t="s">
        <v>2808</v>
      </c>
    </row>
    <row r="80" spans="2:2">
      <c r="B80" s="420" t="s">
        <v>2809</v>
      </c>
    </row>
    <row r="81" spans="1:11">
      <c r="B81" s="420" t="s">
        <v>2810</v>
      </c>
    </row>
    <row r="82" spans="1:11">
      <c r="B82" s="420" t="s">
        <v>2811</v>
      </c>
    </row>
    <row r="83" spans="1:11">
      <c r="B83" s="420" t="s">
        <v>2812</v>
      </c>
    </row>
    <row r="84" spans="1:11">
      <c r="B84" s="420" t="s">
        <v>2813</v>
      </c>
    </row>
    <row r="85" spans="1:11" ht="13">
      <c r="A85" s="436">
        <v>20</v>
      </c>
    </row>
    <row r="86" spans="1:11" ht="13">
      <c r="A86" s="436">
        <v>21</v>
      </c>
      <c r="B86" s="449"/>
    </row>
    <row r="87" spans="1:11" ht="15.5">
      <c r="A87" s="436">
        <v>22</v>
      </c>
      <c r="B87" s="419" t="s">
        <v>2814</v>
      </c>
    </row>
    <row r="88" spans="1:11" ht="13">
      <c r="A88" s="436">
        <v>23</v>
      </c>
    </row>
    <row r="89" spans="1:11" ht="13">
      <c r="A89" s="436">
        <v>24</v>
      </c>
    </row>
    <row r="90" spans="1:11" ht="25.5" customHeight="1">
      <c r="A90" s="436">
        <v>25</v>
      </c>
      <c r="B90" s="434" t="str">
        <f>B11</f>
        <v>CPUC Rate Group</v>
      </c>
      <c r="C90" s="450" t="s">
        <v>2815</v>
      </c>
      <c r="D90" s="451"/>
      <c r="E90" s="703" t="s">
        <v>2815</v>
      </c>
      <c r="F90" s="451"/>
      <c r="G90" s="451"/>
      <c r="H90" s="451"/>
      <c r="I90" s="451"/>
      <c r="J90" s="451"/>
      <c r="K90" s="704"/>
    </row>
    <row r="91" spans="1:11" ht="13">
      <c r="A91" s="436" t="s">
        <v>2816</v>
      </c>
      <c r="B91" s="1101" t="s">
        <v>3039</v>
      </c>
      <c r="C91" s="1102" t="s">
        <v>3054</v>
      </c>
      <c r="D91" s="452"/>
      <c r="E91" s="452"/>
      <c r="F91" s="452"/>
      <c r="G91" s="452"/>
      <c r="H91" s="452"/>
      <c r="I91" s="452"/>
      <c r="J91" s="452"/>
      <c r="K91" s="452"/>
    </row>
    <row r="92" spans="1:11" ht="13">
      <c r="A92" s="436"/>
      <c r="B92" s="1101" t="s">
        <v>3055</v>
      </c>
      <c r="C92" s="1103" t="s">
        <v>3056</v>
      </c>
      <c r="D92" s="452"/>
      <c r="E92" s="452"/>
      <c r="F92" s="452"/>
      <c r="G92" s="452"/>
      <c r="H92" s="452"/>
      <c r="I92" s="452"/>
      <c r="J92" s="452"/>
      <c r="K92" s="452"/>
    </row>
    <row r="93" spans="1:11" ht="13">
      <c r="A93" s="436" t="s">
        <v>2817</v>
      </c>
      <c r="B93" s="1101" t="s">
        <v>3040</v>
      </c>
      <c r="C93" s="1102" t="s">
        <v>3057</v>
      </c>
      <c r="D93" s="452"/>
      <c r="E93" s="452"/>
      <c r="F93" s="452"/>
      <c r="G93" s="452"/>
      <c r="H93" s="452"/>
      <c r="I93" s="452"/>
      <c r="J93" s="1101"/>
      <c r="K93" s="452"/>
    </row>
    <row r="94" spans="1:11" ht="13">
      <c r="A94" s="436" t="s">
        <v>2818</v>
      </c>
      <c r="B94" s="1101" t="s">
        <v>3042</v>
      </c>
      <c r="C94" s="1102" t="s">
        <v>3058</v>
      </c>
      <c r="D94" s="452"/>
      <c r="E94" s="452"/>
      <c r="F94" s="452"/>
      <c r="G94" s="452"/>
      <c r="H94" s="452"/>
      <c r="I94" s="452"/>
      <c r="J94" s="1101"/>
      <c r="K94" s="452"/>
    </row>
    <row r="95" spans="1:11" ht="13">
      <c r="A95" s="436" t="s">
        <v>2819</v>
      </c>
      <c r="B95" s="1101" t="s">
        <v>3043</v>
      </c>
      <c r="C95" s="1102" t="s">
        <v>3059</v>
      </c>
      <c r="D95" s="452"/>
      <c r="E95" s="452"/>
      <c r="F95" s="452"/>
      <c r="G95" s="452"/>
      <c r="H95" s="452"/>
      <c r="I95" s="452"/>
      <c r="J95" s="1101"/>
      <c r="K95" s="452"/>
    </row>
    <row r="96" spans="1:11" ht="13">
      <c r="A96" s="436" t="s">
        <v>2820</v>
      </c>
      <c r="B96" s="1101" t="s">
        <v>3044</v>
      </c>
      <c r="C96" s="1102" t="s">
        <v>3060</v>
      </c>
      <c r="D96" s="452"/>
      <c r="E96" s="452"/>
      <c r="F96" s="452"/>
      <c r="G96" s="452"/>
      <c r="H96" s="452"/>
      <c r="I96" s="452"/>
      <c r="J96" s="1101"/>
      <c r="K96" s="452"/>
    </row>
    <row r="97" spans="1:13" ht="13">
      <c r="A97" s="436" t="s">
        <v>2821</v>
      </c>
      <c r="B97" s="1101" t="s">
        <v>3045</v>
      </c>
      <c r="C97" s="1102" t="s">
        <v>3061</v>
      </c>
      <c r="D97" s="452"/>
      <c r="E97" s="452"/>
      <c r="F97" s="452"/>
      <c r="G97" s="452"/>
      <c r="H97" s="452"/>
      <c r="I97" s="452"/>
      <c r="J97" s="1101"/>
      <c r="K97" s="452"/>
    </row>
    <row r="98" spans="1:13" ht="13">
      <c r="A98" s="436" t="s">
        <v>2822</v>
      </c>
      <c r="B98" s="1101" t="s">
        <v>3046</v>
      </c>
      <c r="C98" s="1102" t="s">
        <v>3061</v>
      </c>
      <c r="D98" s="452"/>
      <c r="E98" s="452"/>
      <c r="F98" s="452"/>
      <c r="G98" s="452"/>
      <c r="H98" s="452"/>
      <c r="I98" s="452"/>
      <c r="J98" s="1101"/>
      <c r="K98" s="452"/>
    </row>
    <row r="99" spans="1:13" ht="13">
      <c r="A99" s="436" t="s">
        <v>2823</v>
      </c>
      <c r="B99" s="1101" t="s">
        <v>3047</v>
      </c>
      <c r="C99" s="1102" t="s">
        <v>3061</v>
      </c>
      <c r="D99" s="452"/>
      <c r="E99" s="452"/>
      <c r="F99" s="452"/>
      <c r="G99" s="452"/>
      <c r="H99" s="452"/>
      <c r="I99" s="452"/>
      <c r="J99" s="1101"/>
      <c r="K99" s="452"/>
    </row>
    <row r="100" spans="1:13" ht="13">
      <c r="A100" s="436" t="s">
        <v>2824</v>
      </c>
      <c r="B100" s="1101" t="s">
        <v>3048</v>
      </c>
      <c r="C100" s="1102" t="s">
        <v>3062</v>
      </c>
      <c r="D100" s="452"/>
      <c r="E100" s="452"/>
      <c r="F100" s="452"/>
      <c r="G100" s="452"/>
      <c r="H100" s="452"/>
      <c r="I100" s="452"/>
      <c r="J100" s="1101"/>
      <c r="K100" s="452"/>
    </row>
    <row r="101" spans="1:13" ht="13">
      <c r="A101" s="436" t="s">
        <v>2825</v>
      </c>
      <c r="B101" s="1101" t="s">
        <v>3049</v>
      </c>
      <c r="C101" s="1102" t="s">
        <v>3063</v>
      </c>
      <c r="D101" s="452"/>
      <c r="E101" s="452"/>
      <c r="F101" s="452"/>
      <c r="G101" s="452"/>
      <c r="H101" s="452"/>
      <c r="I101" s="452"/>
      <c r="J101" s="1101"/>
      <c r="K101" s="452"/>
    </row>
    <row r="102" spans="1:13" ht="13">
      <c r="A102" s="436" t="s">
        <v>2826</v>
      </c>
      <c r="B102" s="1101" t="s">
        <v>3050</v>
      </c>
      <c r="C102" s="1102" t="s">
        <v>3063</v>
      </c>
      <c r="D102" s="452"/>
      <c r="E102" s="452"/>
      <c r="F102" s="452"/>
      <c r="G102" s="452"/>
      <c r="H102" s="452"/>
      <c r="I102" s="452"/>
      <c r="J102" s="1101"/>
      <c r="K102" s="452"/>
    </row>
    <row r="103" spans="1:13" ht="13">
      <c r="A103" s="436" t="s">
        <v>2827</v>
      </c>
      <c r="B103" s="1101" t="s">
        <v>3051</v>
      </c>
      <c r="C103" s="1102" t="s">
        <v>3064</v>
      </c>
      <c r="D103" s="452"/>
      <c r="E103" s="452"/>
      <c r="F103" s="452"/>
      <c r="G103" s="452"/>
      <c r="H103" s="452"/>
      <c r="I103" s="452"/>
      <c r="J103" s="1101"/>
      <c r="K103" s="452"/>
    </row>
    <row r="104" spans="1:13" ht="13">
      <c r="A104" s="436" t="s">
        <v>2828</v>
      </c>
      <c r="B104" s="1101" t="s">
        <v>3052</v>
      </c>
      <c r="C104" s="1102" t="s">
        <v>3065</v>
      </c>
      <c r="D104" s="452"/>
      <c r="E104" s="452"/>
      <c r="F104" s="452"/>
      <c r="G104" s="452"/>
      <c r="H104" s="452"/>
      <c r="I104" s="452"/>
      <c r="J104" s="1101"/>
      <c r="K104" s="452"/>
    </row>
    <row r="105" spans="1:13" ht="13">
      <c r="A105" s="436" t="s">
        <v>2829</v>
      </c>
      <c r="B105" s="1101" t="s">
        <v>3053</v>
      </c>
      <c r="C105" s="1102" t="s">
        <v>3066</v>
      </c>
      <c r="D105" s="452"/>
      <c r="E105" s="452"/>
      <c r="F105" s="452"/>
      <c r="G105" s="452"/>
      <c r="H105" s="452"/>
      <c r="I105" s="452"/>
      <c r="J105" s="1101"/>
      <c r="K105" s="452"/>
    </row>
    <row r="106" spans="1:13" ht="13">
      <c r="A106" s="436" t="s">
        <v>2830</v>
      </c>
      <c r="B106" s="1104" t="s">
        <v>380</v>
      </c>
      <c r="C106" s="1102"/>
      <c r="D106" s="452"/>
      <c r="E106" s="452"/>
      <c r="F106" s="452"/>
      <c r="G106" s="452"/>
      <c r="H106" s="452"/>
      <c r="I106" s="452"/>
      <c r="J106" s="1101"/>
      <c r="K106" s="452"/>
    </row>
    <row r="107" spans="1:13" ht="13">
      <c r="A107" s="436">
        <v>27</v>
      </c>
    </row>
    <row r="108" spans="1:13" ht="13">
      <c r="A108" s="436">
        <f t="shared" ref="A108:A114" si="18">A107+1</f>
        <v>28</v>
      </c>
    </row>
    <row r="109" spans="1:13" ht="15.5">
      <c r="A109" s="436">
        <f t="shared" si="18"/>
        <v>29</v>
      </c>
      <c r="B109" s="419" t="s">
        <v>2831</v>
      </c>
    </row>
    <row r="110" spans="1:13" ht="13">
      <c r="A110" s="436">
        <f t="shared" si="18"/>
        <v>30</v>
      </c>
      <c r="C110" s="428" t="s">
        <v>336</v>
      </c>
      <c r="D110" s="428" t="s">
        <v>337</v>
      </c>
      <c r="E110" s="428" t="s">
        <v>338</v>
      </c>
      <c r="F110" s="428" t="s">
        <v>339</v>
      </c>
      <c r="G110" s="428" t="s">
        <v>340</v>
      </c>
      <c r="H110" s="428" t="s">
        <v>341</v>
      </c>
      <c r="I110" s="428" t="s">
        <v>342</v>
      </c>
      <c r="J110" s="428" t="s">
        <v>343</v>
      </c>
      <c r="K110" s="428" t="s">
        <v>344</v>
      </c>
      <c r="L110" s="428" t="s">
        <v>589</v>
      </c>
      <c r="M110" s="428" t="s">
        <v>590</v>
      </c>
    </row>
    <row r="111" spans="1:13" s="671" customFormat="1" ht="37.5">
      <c r="A111" s="453">
        <f t="shared" si="18"/>
        <v>31</v>
      </c>
      <c r="C111" s="430"/>
      <c r="D111" s="430"/>
      <c r="E111" s="430"/>
      <c r="F111" s="694" t="s">
        <v>2832</v>
      </c>
      <c r="G111" s="430"/>
      <c r="H111" s="694"/>
      <c r="I111" s="429" t="s">
        <v>2833</v>
      </c>
      <c r="J111" s="429" t="s">
        <v>2834</v>
      </c>
      <c r="K111" s="429" t="s">
        <v>2835</v>
      </c>
      <c r="L111" s="429" t="s">
        <v>2836</v>
      </c>
      <c r="M111" s="429" t="s">
        <v>2837</v>
      </c>
    </row>
    <row r="112" spans="1:13" s="580" customFormat="1" ht="13">
      <c r="A112" s="436">
        <f t="shared" si="18"/>
        <v>32</v>
      </c>
      <c r="C112" s="454"/>
      <c r="D112" s="454"/>
      <c r="E112" s="454"/>
      <c r="F112" s="695"/>
      <c r="G112" s="454"/>
      <c r="H112" s="695"/>
      <c r="I112" s="565" t="s">
        <v>2838</v>
      </c>
      <c r="K112" s="695"/>
      <c r="L112" s="695"/>
      <c r="M112" s="695"/>
    </row>
    <row r="113" spans="1:13" ht="21.75" customHeight="1">
      <c r="A113" s="436">
        <f t="shared" si="18"/>
        <v>33</v>
      </c>
      <c r="B113" s="688"/>
      <c r="C113" s="1152" t="s">
        <v>2839</v>
      </c>
      <c r="D113" s="1153"/>
      <c r="E113" s="1153"/>
      <c r="F113" s="1156"/>
      <c r="G113" s="688"/>
      <c r="H113" s="455"/>
      <c r="I113" s="688"/>
      <c r="J113" s="688"/>
      <c r="K113" s="688"/>
      <c r="L113" s="689" t="s">
        <v>2637</v>
      </c>
      <c r="M113" s="456"/>
    </row>
    <row r="114" spans="1:13" s="421" customFormat="1" ht="51.75" customHeight="1">
      <c r="A114" s="436">
        <f t="shared" si="18"/>
        <v>34</v>
      </c>
      <c r="B114" s="457" t="str">
        <f>B11</f>
        <v>CPUC Rate Group</v>
      </c>
      <c r="C114" s="458">
        <v>2018</v>
      </c>
      <c r="D114" s="458">
        <v>2019</v>
      </c>
      <c r="E114" s="458">
        <v>2020</v>
      </c>
      <c r="F114" s="457" t="s">
        <v>2840</v>
      </c>
      <c r="G114" s="457" t="s">
        <v>2841</v>
      </c>
      <c r="H114" s="459" t="s">
        <v>2842</v>
      </c>
      <c r="I114" s="457" t="s">
        <v>2843</v>
      </c>
      <c r="J114" s="457" t="s">
        <v>2716</v>
      </c>
      <c r="K114" s="457" t="s">
        <v>2844</v>
      </c>
      <c r="L114" s="457" t="s">
        <v>2845</v>
      </c>
      <c r="M114" s="457" t="s">
        <v>2846</v>
      </c>
    </row>
    <row r="115" spans="1:13" ht="13">
      <c r="A115" s="436" t="s">
        <v>2847</v>
      </c>
      <c r="B115" s="1100" t="s">
        <v>3039</v>
      </c>
      <c r="C115" s="542">
        <v>66767.509999999995</v>
      </c>
      <c r="D115" s="542">
        <v>68198.86</v>
      </c>
      <c r="E115" s="542">
        <v>86529.13</v>
      </c>
      <c r="F115" s="439">
        <f>(C115+D115+E115)/3</f>
        <v>73831.833333333328</v>
      </c>
      <c r="G115" s="1105">
        <v>1.0905</v>
      </c>
      <c r="H115" s="537">
        <v>30153.680076666667</v>
      </c>
      <c r="I115" s="439">
        <f>E12</f>
        <v>28358.276811</v>
      </c>
      <c r="J115" s="439">
        <f>F12</f>
        <v>0</v>
      </c>
      <c r="K115" s="439">
        <f>I115+J115</f>
        <v>28358.276811</v>
      </c>
      <c r="L115" s="439">
        <f>(F115*G115)*(K115/H115)</f>
        <v>75719.691730840073</v>
      </c>
      <c r="M115" s="581">
        <f t="shared" ref="M115:M128" si="19">L115/$L$130</f>
        <v>0.42352867879030776</v>
      </c>
    </row>
    <row r="116" spans="1:13" ht="13">
      <c r="A116" s="436" t="s">
        <v>2848</v>
      </c>
      <c r="B116" s="1100" t="s">
        <v>3040</v>
      </c>
      <c r="C116" s="542">
        <v>11735.3</v>
      </c>
      <c r="D116" s="542">
        <v>11548.74</v>
      </c>
      <c r="E116" s="542">
        <v>10575.2</v>
      </c>
      <c r="F116" s="439">
        <f t="shared" ref="F116:F128" si="20">(C116+D116+E116)/3</f>
        <v>11286.413333333336</v>
      </c>
      <c r="G116" s="1105">
        <v>1.0909</v>
      </c>
      <c r="H116" s="537">
        <v>5794.2136299999993</v>
      </c>
      <c r="I116" s="439">
        <f t="shared" ref="I116" si="21">E13</f>
        <v>6556.1859700000005</v>
      </c>
      <c r="J116" s="439">
        <f>F13</f>
        <v>0</v>
      </c>
      <c r="K116" s="439">
        <f t="shared" ref="K116:K128" si="22">I116+J116</f>
        <v>6556.1859700000005</v>
      </c>
      <c r="L116" s="439">
        <f t="shared" ref="L116:L128" si="23">(F116*G116)*(K116/H116)</f>
        <v>13931.492756710752</v>
      </c>
      <c r="M116" s="581">
        <f t="shared" si="19"/>
        <v>7.7924072139655354E-2</v>
      </c>
    </row>
    <row r="117" spans="1:13" ht="13">
      <c r="A117" s="436" t="s">
        <v>2849</v>
      </c>
      <c r="B117" s="1100" t="s">
        <v>3042</v>
      </c>
      <c r="C117" s="542">
        <v>76.02</v>
      </c>
      <c r="D117" s="542">
        <v>83.93</v>
      </c>
      <c r="E117" s="542">
        <v>74.849999999999994</v>
      </c>
      <c r="F117" s="439">
        <f t="shared" si="20"/>
        <v>78.266666666666666</v>
      </c>
      <c r="G117" s="1105">
        <v>1.0916999999999999</v>
      </c>
      <c r="H117" s="537">
        <v>58.045253333333335</v>
      </c>
      <c r="I117" s="439">
        <f t="shared" ref="I117:J119" si="24">E15</f>
        <v>54.914999000000002</v>
      </c>
      <c r="J117" s="439">
        <f t="shared" si="24"/>
        <v>0</v>
      </c>
      <c r="K117" s="439">
        <f t="shared" si="22"/>
        <v>54.914999000000002</v>
      </c>
      <c r="L117" s="439">
        <f t="shared" si="23"/>
        <v>80.835925918196452</v>
      </c>
      <c r="M117" s="581">
        <f t="shared" si="19"/>
        <v>4.5214569843501793E-4</v>
      </c>
    </row>
    <row r="118" spans="1:13" ht="13">
      <c r="A118" s="436" t="s">
        <v>2850</v>
      </c>
      <c r="B118" s="1100" t="s">
        <v>3043</v>
      </c>
      <c r="C118" s="542">
        <v>27970.65</v>
      </c>
      <c r="D118" s="542">
        <v>26717.13</v>
      </c>
      <c r="E118" s="542">
        <v>24813.51</v>
      </c>
      <c r="F118" s="439">
        <f t="shared" si="20"/>
        <v>26500.429999999997</v>
      </c>
      <c r="G118" s="1105">
        <v>1.0905</v>
      </c>
      <c r="H118" s="537">
        <v>13853.113343333333</v>
      </c>
      <c r="I118" s="439">
        <f t="shared" si="24"/>
        <v>13042.339399</v>
      </c>
      <c r="J118" s="439">
        <f t="shared" si="24"/>
        <v>0</v>
      </c>
      <c r="K118" s="439">
        <f t="shared" si="22"/>
        <v>13042.339399</v>
      </c>
      <c r="L118" s="439">
        <f t="shared" si="23"/>
        <v>27207.378655218581</v>
      </c>
      <c r="M118" s="581">
        <f t="shared" si="19"/>
        <v>0.15218108885273063</v>
      </c>
    </row>
    <row r="119" spans="1:13" ht="13">
      <c r="A119" s="436" t="s">
        <v>2851</v>
      </c>
      <c r="B119" s="1100" t="s">
        <v>3044</v>
      </c>
      <c r="C119" s="542">
        <v>14472.22</v>
      </c>
      <c r="D119" s="542">
        <v>13923.97</v>
      </c>
      <c r="E119" s="542">
        <v>12741.03</v>
      </c>
      <c r="F119" s="439">
        <f t="shared" si="20"/>
        <v>13712.406666666668</v>
      </c>
      <c r="G119" s="1105">
        <v>1.0900000000000001</v>
      </c>
      <c r="H119" s="537">
        <v>7714.2657633333329</v>
      </c>
      <c r="I119" s="439">
        <f t="shared" si="24"/>
        <v>8136.5677800000003</v>
      </c>
      <c r="J119" s="439">
        <f t="shared" si="24"/>
        <v>0</v>
      </c>
      <c r="K119" s="439">
        <f t="shared" si="22"/>
        <v>8136.5677800000003</v>
      </c>
      <c r="L119" s="439">
        <f t="shared" si="23"/>
        <v>15764.740723948205</v>
      </c>
      <c r="M119" s="581">
        <f t="shared" si="19"/>
        <v>8.817811665186856E-2</v>
      </c>
    </row>
    <row r="120" spans="1:13" ht="13">
      <c r="A120" s="436" t="s">
        <v>2852</v>
      </c>
      <c r="B120" s="1100" t="s">
        <v>3045</v>
      </c>
      <c r="C120" s="542">
        <v>14200.609999999999</v>
      </c>
      <c r="D120" s="542">
        <v>13319.56</v>
      </c>
      <c r="E120" s="542">
        <v>11783.58</v>
      </c>
      <c r="F120" s="439">
        <f t="shared" si="20"/>
        <v>13101.25</v>
      </c>
      <c r="G120" s="1105">
        <v>1.0909</v>
      </c>
      <c r="H120" s="538">
        <v>7882.4808933333334</v>
      </c>
      <c r="I120" s="439">
        <f>E18+E21</f>
        <v>9169.5794041400004</v>
      </c>
      <c r="J120" s="439">
        <f t="shared" ref="J120:J128" si="25">F18</f>
        <v>0</v>
      </c>
      <c r="K120" s="439">
        <f>I120+J120</f>
        <v>9169.5794041400004</v>
      </c>
      <c r="L120" s="439">
        <f t="shared" si="23"/>
        <v>16625.861742518642</v>
      </c>
      <c r="M120" s="581">
        <f t="shared" si="19"/>
        <v>9.2994689975623351E-2</v>
      </c>
    </row>
    <row r="121" spans="1:13" ht="13">
      <c r="A121" s="436" t="s">
        <v>2853</v>
      </c>
      <c r="B121" s="1100" t="s">
        <v>3046</v>
      </c>
      <c r="C121" s="542">
        <v>9263.0499999999993</v>
      </c>
      <c r="D121" s="542">
        <v>9174.48</v>
      </c>
      <c r="E121" s="542">
        <v>8405.4700000000012</v>
      </c>
      <c r="F121" s="439">
        <f t="shared" si="20"/>
        <v>8947.6666666666661</v>
      </c>
      <c r="G121" s="1105">
        <v>1.0644</v>
      </c>
      <c r="H121" s="538">
        <v>5814.13735</v>
      </c>
      <c r="I121" s="439">
        <f>E19+E22</f>
        <v>6496.1551114999993</v>
      </c>
      <c r="J121" s="439">
        <f t="shared" si="25"/>
        <v>0</v>
      </c>
      <c r="K121" s="439">
        <f t="shared" si="22"/>
        <v>6496.1551114999993</v>
      </c>
      <c r="L121" s="439">
        <f t="shared" si="23"/>
        <v>10641.08130852059</v>
      </c>
      <c r="M121" s="581">
        <f t="shared" si="19"/>
        <v>5.9519564917383E-2</v>
      </c>
    </row>
    <row r="122" spans="1:13" ht="13">
      <c r="A122" s="436" t="s">
        <v>2854</v>
      </c>
      <c r="B122" s="1100" t="s">
        <v>3047</v>
      </c>
      <c r="C122" s="542">
        <v>11532.400000000001</v>
      </c>
      <c r="D122" s="542">
        <v>11495.74</v>
      </c>
      <c r="E122" s="542">
        <v>10582.94</v>
      </c>
      <c r="F122" s="439">
        <f t="shared" si="20"/>
        <v>11203.693333333335</v>
      </c>
      <c r="G122" s="1105">
        <v>1.0315000000000001</v>
      </c>
      <c r="H122" s="538">
        <v>8545.6150699999998</v>
      </c>
      <c r="I122" s="439">
        <f>E20+E23</f>
        <v>8432.1316819999993</v>
      </c>
      <c r="J122" s="439">
        <f t="shared" si="25"/>
        <v>0</v>
      </c>
      <c r="K122" s="439">
        <f t="shared" si="22"/>
        <v>8432.1316819999993</v>
      </c>
      <c r="L122" s="439">
        <f t="shared" si="23"/>
        <v>11403.141115625009</v>
      </c>
      <c r="M122" s="581">
        <f t="shared" si="19"/>
        <v>6.3782051674585102E-2</v>
      </c>
    </row>
    <row r="123" spans="1:13" ht="13">
      <c r="A123" s="436" t="s">
        <v>2855</v>
      </c>
      <c r="B123" s="1100" t="s">
        <v>3048</v>
      </c>
      <c r="C123" s="542">
        <v>137.02000000000001</v>
      </c>
      <c r="D123" s="542">
        <v>127.16</v>
      </c>
      <c r="E123" s="542">
        <v>111.57</v>
      </c>
      <c r="F123" s="439">
        <f t="shared" si="20"/>
        <v>125.25</v>
      </c>
      <c r="G123" s="1105">
        <v>1.0911</v>
      </c>
      <c r="H123" s="538">
        <v>78.124053333333336</v>
      </c>
      <c r="I123" s="439">
        <f>E21*0</f>
        <v>0</v>
      </c>
      <c r="J123" s="439">
        <f t="shared" si="25"/>
        <v>78.124051859999994</v>
      </c>
      <c r="K123" s="439">
        <f t="shared" si="22"/>
        <v>78.124051859999994</v>
      </c>
      <c r="L123" s="439">
        <f t="shared" si="23"/>
        <v>136.66027242273816</v>
      </c>
      <c r="M123" s="581">
        <f t="shared" si="19"/>
        <v>7.6439223799364608E-4</v>
      </c>
    </row>
    <row r="124" spans="1:13" ht="13">
      <c r="A124" s="436" t="s">
        <v>2856</v>
      </c>
      <c r="B124" s="1100" t="s">
        <v>3049</v>
      </c>
      <c r="C124" s="542">
        <v>296.75</v>
      </c>
      <c r="D124" s="542">
        <v>330.41</v>
      </c>
      <c r="E124" s="542">
        <v>256.70999999999998</v>
      </c>
      <c r="F124" s="439">
        <f t="shared" si="20"/>
        <v>294.62333333333339</v>
      </c>
      <c r="G124" s="1105">
        <v>1.0645</v>
      </c>
      <c r="H124" s="538">
        <v>196.28946666666664</v>
      </c>
      <c r="I124" s="439">
        <f>E22*0</f>
        <v>0</v>
      </c>
      <c r="J124" s="439">
        <f t="shared" si="25"/>
        <v>196.28946550000001</v>
      </c>
      <c r="K124" s="439">
        <f t="shared" si="22"/>
        <v>196.28946550000001</v>
      </c>
      <c r="L124" s="439">
        <f t="shared" si="23"/>
        <v>313.62653646926179</v>
      </c>
      <c r="M124" s="581">
        <f t="shared" si="19"/>
        <v>1.7542310274660839E-3</v>
      </c>
    </row>
    <row r="125" spans="1:13" ht="13">
      <c r="A125" s="436" t="s">
        <v>2857</v>
      </c>
      <c r="B125" s="1100" t="s">
        <v>3050</v>
      </c>
      <c r="C125" s="542">
        <v>789.23</v>
      </c>
      <c r="D125" s="542">
        <v>861.75</v>
      </c>
      <c r="E125" s="542">
        <v>600.29</v>
      </c>
      <c r="F125" s="439">
        <f t="shared" si="20"/>
        <v>750.42333333333329</v>
      </c>
      <c r="G125" s="1105">
        <v>1.0316000000000001</v>
      </c>
      <c r="H125" s="538">
        <v>745.8175766666667</v>
      </c>
      <c r="I125" s="439">
        <f>E23*0</f>
        <v>0</v>
      </c>
      <c r="J125" s="439">
        <f t="shared" si="25"/>
        <v>550.23580600000003</v>
      </c>
      <c r="K125" s="439">
        <f t="shared" si="22"/>
        <v>550.23580600000003</v>
      </c>
      <c r="L125" s="439">
        <f t="shared" si="23"/>
        <v>571.12858462202519</v>
      </c>
      <c r="M125" s="581">
        <f t="shared" si="19"/>
        <v>3.194536709475602E-3</v>
      </c>
    </row>
    <row r="126" spans="1:13" ht="13">
      <c r="A126" s="436" t="s">
        <v>2858</v>
      </c>
      <c r="B126" s="1100" t="s">
        <v>3051</v>
      </c>
      <c r="C126" s="542">
        <v>2677.66</v>
      </c>
      <c r="D126" s="542">
        <v>2346.63</v>
      </c>
      <c r="E126" s="542">
        <v>2728.92</v>
      </c>
      <c r="F126" s="439">
        <f t="shared" si="20"/>
        <v>2584.4033333333332</v>
      </c>
      <c r="G126" s="1105">
        <v>1.091</v>
      </c>
      <c r="H126" s="537">
        <v>1840.9387066666666</v>
      </c>
      <c r="I126" s="439">
        <f>E24</f>
        <v>2043.13429</v>
      </c>
      <c r="J126" s="439">
        <f t="shared" si="25"/>
        <v>0</v>
      </c>
      <c r="K126" s="439">
        <f t="shared" si="22"/>
        <v>2043.13429</v>
      </c>
      <c r="L126" s="439">
        <f t="shared" si="23"/>
        <v>3129.2670462023011</v>
      </c>
      <c r="M126" s="581">
        <f t="shared" si="19"/>
        <v>1.7503166050533595E-2</v>
      </c>
    </row>
    <row r="127" spans="1:13" ht="13">
      <c r="A127" s="436" t="s">
        <v>2859</v>
      </c>
      <c r="B127" s="1100" t="s">
        <v>3052</v>
      </c>
      <c r="C127" s="542">
        <v>1924.38</v>
      </c>
      <c r="D127" s="542">
        <v>1937.47</v>
      </c>
      <c r="E127" s="542">
        <v>2073.15</v>
      </c>
      <c r="F127" s="439">
        <f t="shared" si="20"/>
        <v>1978.3333333333333</v>
      </c>
      <c r="G127" s="1105">
        <v>1.0895999999999999</v>
      </c>
      <c r="H127" s="537">
        <v>1466.4150833333333</v>
      </c>
      <c r="I127" s="439">
        <f>E25</f>
        <v>1751.6833770000001</v>
      </c>
      <c r="J127" s="439">
        <f t="shared" si="25"/>
        <v>0</v>
      </c>
      <c r="K127" s="439">
        <f t="shared" si="22"/>
        <v>1751.6833770000001</v>
      </c>
      <c r="L127" s="439">
        <f t="shared" si="23"/>
        <v>2574.9289658226148</v>
      </c>
      <c r="M127" s="581">
        <f t="shared" si="19"/>
        <v>1.440254493838054E-2</v>
      </c>
    </row>
    <row r="128" spans="1:13" ht="13">
      <c r="A128" s="436" t="s">
        <v>2860</v>
      </c>
      <c r="B128" s="1100" t="s">
        <v>3053</v>
      </c>
      <c r="C128" s="542">
        <v>708.84</v>
      </c>
      <c r="D128" s="542">
        <v>1071.79</v>
      </c>
      <c r="E128" s="542">
        <v>654.97</v>
      </c>
      <c r="F128" s="439">
        <f t="shared" si="20"/>
        <v>811.86666666666679</v>
      </c>
      <c r="G128" s="1105">
        <v>1.0938000000000001</v>
      </c>
      <c r="H128" s="537">
        <v>599.74703333333321</v>
      </c>
      <c r="I128" s="439">
        <f>E26</f>
        <v>461.33535899999998</v>
      </c>
      <c r="J128" s="439">
        <f t="shared" si="25"/>
        <v>0</v>
      </c>
      <c r="K128" s="439">
        <f t="shared" si="22"/>
        <v>461.33535899999998</v>
      </c>
      <c r="L128" s="439">
        <f t="shared" si="23"/>
        <v>683.07951854594808</v>
      </c>
      <c r="M128" s="581">
        <f t="shared" si="19"/>
        <v>3.8207203355617152E-3</v>
      </c>
    </row>
    <row r="129" spans="1:13" ht="13">
      <c r="A129" s="436" t="s">
        <v>2861</v>
      </c>
      <c r="B129" s="1099" t="s">
        <v>380</v>
      </c>
      <c r="C129" s="542"/>
      <c r="D129" s="542"/>
      <c r="E129" s="542"/>
      <c r="F129" s="439"/>
      <c r="G129" s="690"/>
      <c r="H129" s="537"/>
      <c r="K129" s="439"/>
      <c r="L129" s="439"/>
      <c r="M129" s="581"/>
    </row>
    <row r="130" spans="1:13" ht="13">
      <c r="A130" s="436">
        <v>36</v>
      </c>
      <c r="B130" s="256" t="s">
        <v>431</v>
      </c>
      <c r="C130" s="696">
        <f>SUM(C115:C129)</f>
        <v>162551.63999999998</v>
      </c>
      <c r="D130" s="696">
        <f>SUM(D115:D129)</f>
        <v>161137.62000000002</v>
      </c>
      <c r="E130" s="696">
        <f>SUM(E115:E129)</f>
        <v>171931.32</v>
      </c>
      <c r="F130" s="696">
        <f>SUM(F115:F129)</f>
        <v>165206.85999999996</v>
      </c>
      <c r="G130" s="697"/>
      <c r="H130" s="696">
        <f>SUM(H115:H129)</f>
        <v>84742.883300000001</v>
      </c>
      <c r="I130" s="696">
        <f t="shared" ref="I130:M130" si="26">SUM(I115:I129)</f>
        <v>84502.30418264</v>
      </c>
      <c r="J130" s="696">
        <f t="shared" si="26"/>
        <v>824.64932336000004</v>
      </c>
      <c r="K130" s="696">
        <f t="shared" si="26"/>
        <v>85326.953505999991</v>
      </c>
      <c r="L130" s="696">
        <f t="shared" si="26"/>
        <v>178782.91488338495</v>
      </c>
      <c r="M130" s="698">
        <f t="shared" si="26"/>
        <v>0.99999999999999978</v>
      </c>
    </row>
    <row r="131" spans="1:13">
      <c r="J131" s="444"/>
      <c r="L131" s="444"/>
      <c r="M131" s="445"/>
    </row>
    <row r="132" spans="1:13">
      <c r="J132" s="444"/>
      <c r="L132" s="444"/>
      <c r="M132" s="445"/>
    </row>
    <row r="133" spans="1:13">
      <c r="J133" s="444"/>
      <c r="L133" s="444"/>
      <c r="M133" s="445"/>
    </row>
    <row r="134" spans="1:13">
      <c r="J134" s="444"/>
      <c r="L134" s="444"/>
      <c r="M134" s="445"/>
    </row>
    <row r="135" spans="1:13">
      <c r="J135" s="444"/>
      <c r="L135" s="444"/>
      <c r="M135" s="445"/>
    </row>
    <row r="136" spans="1:13">
      <c r="J136" s="444"/>
      <c r="L136" s="444"/>
      <c r="M136" s="445"/>
    </row>
    <row r="137" spans="1:13">
      <c r="J137" s="444"/>
      <c r="L137" s="444"/>
      <c r="M137" s="445"/>
    </row>
    <row r="138" spans="1:13">
      <c r="J138" s="444"/>
      <c r="L138" s="444"/>
      <c r="M138" s="445"/>
    </row>
    <row r="139" spans="1:13">
      <c r="J139" s="444"/>
      <c r="L139" s="444"/>
      <c r="M139" s="445"/>
    </row>
    <row r="140" spans="1:13">
      <c r="L140" s="444"/>
    </row>
    <row r="144" spans="1:13">
      <c r="M144" s="420"/>
    </row>
    <row r="145" spans="13:13">
      <c r="M145" s="420"/>
    </row>
    <row r="146" spans="13:13">
      <c r="M146" s="420"/>
    </row>
    <row r="147" spans="13:13">
      <c r="M147" s="420"/>
    </row>
    <row r="148" spans="13:13">
      <c r="M148" s="420"/>
    </row>
    <row r="149" spans="13:13">
      <c r="M149" s="420"/>
    </row>
    <row r="150" spans="13:13">
      <c r="M150" s="420"/>
    </row>
    <row r="151" spans="13:13">
      <c r="M151" s="420"/>
    </row>
    <row r="152" spans="13:13">
      <c r="M152" s="420"/>
    </row>
    <row r="153" spans="13:13">
      <c r="M153" s="420"/>
    </row>
    <row r="154" spans="13:13">
      <c r="M154" s="420"/>
    </row>
    <row r="155" spans="13:13">
      <c r="M155" s="420"/>
    </row>
    <row r="156" spans="13:13">
      <c r="M156" s="420"/>
    </row>
    <row r="157" spans="13:13">
      <c r="M157" s="420"/>
    </row>
    <row r="158" spans="13:13">
      <c r="M158" s="420"/>
    </row>
    <row r="159" spans="13:13">
      <c r="M159" s="420"/>
    </row>
    <row r="160" spans="13:13">
      <c r="M160" s="420"/>
    </row>
    <row r="161" spans="13:13">
      <c r="M161" s="420"/>
    </row>
    <row r="162" spans="13:13">
      <c r="M162" s="420"/>
    </row>
    <row r="163" spans="13:13">
      <c r="M163" s="420"/>
    </row>
    <row r="164" spans="13:13">
      <c r="M164" s="420"/>
    </row>
    <row r="165" spans="13:13">
      <c r="M165" s="420"/>
    </row>
    <row r="166" spans="13:13">
      <c r="M166" s="420"/>
    </row>
    <row r="167" spans="13:13">
      <c r="M167" s="420"/>
    </row>
    <row r="168" spans="13:13">
      <c r="M168" s="420"/>
    </row>
    <row r="169" spans="13:13">
      <c r="M169" s="420"/>
    </row>
    <row r="170" spans="13:13">
      <c r="M170" s="420"/>
    </row>
    <row r="171" spans="13:13">
      <c r="M171" s="420"/>
    </row>
    <row r="172" spans="13:13">
      <c r="M172" s="420"/>
    </row>
    <row r="173" spans="13:13">
      <c r="M173" s="420"/>
    </row>
    <row r="174" spans="13:13">
      <c r="M174" s="420"/>
    </row>
    <row r="175" spans="13:13">
      <c r="M175" s="420"/>
    </row>
    <row r="176" spans="13:13">
      <c r="M176" s="420"/>
    </row>
    <row r="177" spans="13:13">
      <c r="M177" s="420"/>
    </row>
    <row r="178" spans="13:13">
      <c r="M178" s="420"/>
    </row>
    <row r="179" spans="13:13">
      <c r="M179" s="420"/>
    </row>
    <row r="180" spans="13:13">
      <c r="M180" s="420"/>
    </row>
    <row r="181" spans="13:13">
      <c r="M181" s="420"/>
    </row>
    <row r="182" spans="13:13">
      <c r="M182" s="420"/>
    </row>
    <row r="183" spans="13:13">
      <c r="M183" s="420"/>
    </row>
    <row r="184" spans="13:13">
      <c r="M184" s="420"/>
    </row>
    <row r="185" spans="13:13">
      <c r="M185" s="420"/>
    </row>
    <row r="186" spans="13:13">
      <c r="M186" s="420"/>
    </row>
    <row r="187" spans="13:13">
      <c r="M187" s="420"/>
    </row>
    <row r="188" spans="13:13">
      <c r="M188" s="420"/>
    </row>
    <row r="189" spans="13:13">
      <c r="M189" s="420"/>
    </row>
    <row r="190" spans="13:13">
      <c r="M190" s="420"/>
    </row>
    <row r="191" spans="13:13">
      <c r="M191" s="420"/>
    </row>
    <row r="192" spans="13:13">
      <c r="M192" s="420"/>
    </row>
    <row r="193" spans="13:13">
      <c r="M193" s="420"/>
    </row>
    <row r="194" spans="13:13">
      <c r="M194" s="420"/>
    </row>
    <row r="195" spans="13:13">
      <c r="M195" s="420"/>
    </row>
    <row r="196" spans="13:13">
      <c r="M196" s="420"/>
    </row>
    <row r="197" spans="13:13">
      <c r="M197" s="420"/>
    </row>
    <row r="198" spans="13:13">
      <c r="M198" s="420"/>
    </row>
    <row r="199" spans="13:13">
      <c r="M199" s="420"/>
    </row>
    <row r="200" spans="13:13">
      <c r="M200" s="420"/>
    </row>
    <row r="201" spans="13:13">
      <c r="M201" s="420"/>
    </row>
    <row r="202" spans="13:13">
      <c r="M202" s="420"/>
    </row>
    <row r="203" spans="13:13">
      <c r="M203" s="420"/>
    </row>
    <row r="204" spans="13:13">
      <c r="M204" s="420"/>
    </row>
    <row r="205" spans="13:13">
      <c r="M205" s="420"/>
    </row>
    <row r="206" spans="13:13">
      <c r="M206" s="420"/>
    </row>
    <row r="207" spans="13:13">
      <c r="M207" s="420"/>
    </row>
    <row r="208" spans="13:13">
      <c r="M208" s="420"/>
    </row>
    <row r="209" spans="13:13">
      <c r="M209" s="420"/>
    </row>
    <row r="210" spans="13:13">
      <c r="M210" s="420"/>
    </row>
    <row r="211" spans="13:13">
      <c r="M211" s="420"/>
    </row>
    <row r="212" spans="13:13">
      <c r="M212" s="420"/>
    </row>
    <row r="213" spans="13:13">
      <c r="M213" s="420"/>
    </row>
    <row r="214" spans="13:13">
      <c r="M214" s="420"/>
    </row>
    <row r="215" spans="13:13">
      <c r="M215" s="420"/>
    </row>
    <row r="216" spans="13:13">
      <c r="M216" s="420"/>
    </row>
    <row r="217" spans="13:13">
      <c r="M217" s="420"/>
    </row>
    <row r="218" spans="13:13">
      <c r="M218" s="420"/>
    </row>
    <row r="219" spans="13:13">
      <c r="M219" s="420"/>
    </row>
    <row r="220" spans="13:13">
      <c r="M220" s="420"/>
    </row>
    <row r="221" spans="13:13">
      <c r="M221" s="420"/>
    </row>
    <row r="222" spans="13:13">
      <c r="M222" s="420"/>
    </row>
    <row r="223" spans="13:13">
      <c r="M223" s="420"/>
    </row>
    <row r="224" spans="13:13">
      <c r="M224" s="420"/>
    </row>
    <row r="225" spans="13:13">
      <c r="M225" s="420"/>
    </row>
    <row r="226" spans="13:13">
      <c r="M226" s="420"/>
    </row>
    <row r="227" spans="13:13">
      <c r="M227" s="420"/>
    </row>
    <row r="228" spans="13:13">
      <c r="M228" s="420"/>
    </row>
    <row r="229" spans="13:13">
      <c r="M229" s="420"/>
    </row>
    <row r="230" spans="13:13">
      <c r="M230" s="420"/>
    </row>
    <row r="231" spans="13:13">
      <c r="M231" s="420"/>
    </row>
    <row r="232" spans="13:13">
      <c r="M232" s="420"/>
    </row>
    <row r="233" spans="13:13">
      <c r="M233" s="420"/>
    </row>
    <row r="234" spans="13:13">
      <c r="M234" s="420"/>
    </row>
    <row r="235" spans="13:13">
      <c r="M235" s="420"/>
    </row>
    <row r="236" spans="13:13">
      <c r="M236" s="420"/>
    </row>
    <row r="237" spans="13:13">
      <c r="M237" s="420"/>
    </row>
    <row r="238" spans="13:13">
      <c r="M238" s="420"/>
    </row>
    <row r="239" spans="13:13">
      <c r="M239" s="420"/>
    </row>
    <row r="240" spans="13:13">
      <c r="M240" s="420"/>
    </row>
    <row r="241" spans="13:13">
      <c r="M241" s="420"/>
    </row>
    <row r="242" spans="13:13">
      <c r="M242" s="420"/>
    </row>
    <row r="243" spans="13:13">
      <c r="M243" s="420"/>
    </row>
    <row r="244" spans="13:13">
      <c r="M244" s="420"/>
    </row>
    <row r="245" spans="13:13">
      <c r="M245" s="420"/>
    </row>
    <row r="246" spans="13:13">
      <c r="M246" s="420"/>
    </row>
    <row r="247" spans="13:13">
      <c r="M247" s="420"/>
    </row>
    <row r="248" spans="13:13">
      <c r="M248" s="420"/>
    </row>
    <row r="249" spans="13:13">
      <c r="M249" s="420"/>
    </row>
    <row r="250" spans="13:13">
      <c r="M250" s="420"/>
    </row>
    <row r="251" spans="13:13">
      <c r="M251" s="420"/>
    </row>
    <row r="252" spans="13:13">
      <c r="M252" s="420"/>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&amp;RTO2023 Draft Annual Update 
Attachment 1</oddHeader>
    <oddFooter>&amp;R&amp;A</oddFooter>
  </headerFooter>
  <rowBreaks count="4" manualBreakCount="4">
    <brk id="40" max="16383" man="1"/>
    <brk id="86" max="16383" man="1"/>
    <brk id="183" max="16383" man="1"/>
    <brk id="230"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98"/>
  <sheetViews>
    <sheetView tabSelected="1" zoomScaleNormal="100" zoomScalePageLayoutView="80" workbookViewId="0"/>
  </sheetViews>
  <sheetFormatPr defaultRowHeight="12.5"/>
  <cols>
    <col min="1" max="1" width="4.54296875" customWidth="1"/>
    <col min="2" max="2" width="7.7265625" customWidth="1"/>
    <col min="4" max="4" width="10.453125" customWidth="1"/>
    <col min="6" max="6" width="11.7265625" customWidth="1"/>
    <col min="7" max="7" width="13.54296875" customWidth="1"/>
    <col min="8" max="8" width="22.7265625" customWidth="1"/>
    <col min="9" max="9" width="29.453125" customWidth="1"/>
    <col min="10" max="10" width="2.54296875" customWidth="1"/>
    <col min="11" max="11" width="23.1796875" customWidth="1"/>
    <col min="12" max="12" width="2.54296875" customWidth="1"/>
  </cols>
  <sheetData>
    <row r="1" spans="1:11" ht="13">
      <c r="A1" s="1" t="s">
        <v>95</v>
      </c>
    </row>
    <row r="2" spans="1:11">
      <c r="I2" s="55" t="s">
        <v>96</v>
      </c>
      <c r="J2" s="55"/>
    </row>
    <row r="3" spans="1:11" ht="13">
      <c r="A3" s="1" t="s">
        <v>97</v>
      </c>
    </row>
    <row r="4" spans="1:11" ht="13">
      <c r="H4" s="2"/>
      <c r="I4" s="2" t="s">
        <v>98</v>
      </c>
      <c r="K4" s="132">
        <v>2021</v>
      </c>
    </row>
    <row r="5" spans="1:11" ht="13">
      <c r="A5" s="32" t="s">
        <v>99</v>
      </c>
      <c r="H5" s="3" t="s">
        <v>100</v>
      </c>
      <c r="I5" s="3" t="s">
        <v>101</v>
      </c>
      <c r="K5" s="3" t="s">
        <v>102</v>
      </c>
    </row>
    <row r="7" spans="1:11" ht="13">
      <c r="A7" s="9" t="s">
        <v>103</v>
      </c>
      <c r="B7" s="10"/>
      <c r="C7" s="10"/>
      <c r="D7" s="10"/>
      <c r="E7" s="10"/>
      <c r="F7" s="10"/>
      <c r="G7" s="10"/>
      <c r="H7" s="8"/>
      <c r="I7" s="8"/>
      <c r="J7" s="8"/>
      <c r="K7" s="8"/>
    </row>
    <row r="9" spans="1:11" ht="13">
      <c r="A9" s="2">
        <v>1</v>
      </c>
      <c r="B9" s="295" t="s">
        <v>104</v>
      </c>
      <c r="I9" s="251" t="str">
        <f>"6-PlantInService, Line "&amp;'6-PlantInService'!A44&amp;""</f>
        <v>6-PlantInService, Line 19</v>
      </c>
      <c r="K9" s="6">
        <f>'6-PlantInService'!D44</f>
        <v>10351699667.416618</v>
      </c>
    </row>
    <row r="10" spans="1:11" ht="13">
      <c r="A10" s="2">
        <f>A9+1</f>
        <v>2</v>
      </c>
      <c r="B10" s="295" t="s">
        <v>105</v>
      </c>
      <c r="I10" s="251" t="str">
        <f>"6-PlantInService, Line "&amp;'6-PlantInService'!A64&amp;""</f>
        <v>6-PlantInService, Line 27</v>
      </c>
      <c r="K10" s="6">
        <f>'6-PlantInService'!F64</f>
        <v>375574178.39213711</v>
      </c>
    </row>
    <row r="11" spans="1:11" ht="13">
      <c r="A11" s="2">
        <f>A10+1</f>
        <v>3</v>
      </c>
      <c r="B11" s="295" t="s">
        <v>106</v>
      </c>
      <c r="I11" s="251" t="str">
        <f>"11-PHFU, Line "&amp;'11-PHFU'!A39&amp;""</f>
        <v>11-PHFU, Line 8</v>
      </c>
      <c r="K11" s="6">
        <f>'11-PHFU'!E39</f>
        <v>6392187.2700000005</v>
      </c>
    </row>
    <row r="12" spans="1:11" ht="13">
      <c r="A12" s="2">
        <f>A11+1</f>
        <v>4</v>
      </c>
      <c r="B12" s="295" t="s">
        <v>107</v>
      </c>
      <c r="I12" s="251" t="str">
        <f>"12-AbandonedPlant, Line "&amp;'12-AbandonedPlant'!A20&amp;""</f>
        <v>12-AbandonedPlant, Line 3</v>
      </c>
      <c r="K12" s="6">
        <f>'12-AbandonedPlant'!G20</f>
        <v>0</v>
      </c>
    </row>
    <row r="13" spans="1:11" ht="13">
      <c r="A13" s="2"/>
      <c r="B13" s="295"/>
      <c r="K13" s="6"/>
    </row>
    <row r="14" spans="1:11" ht="13">
      <c r="A14" s="2"/>
      <c r="B14" s="28" t="s">
        <v>108</v>
      </c>
      <c r="K14" s="6"/>
    </row>
    <row r="15" spans="1:11" ht="13">
      <c r="A15" s="2">
        <f>A12+1</f>
        <v>5</v>
      </c>
      <c r="B15" s="250" t="s">
        <v>109</v>
      </c>
      <c r="I15" s="251" t="str">
        <f>"13-WorkCap, Line "&amp;'13-WorkCap'!A26&amp;""</f>
        <v>13-WorkCap, Line 16</v>
      </c>
      <c r="K15" s="6">
        <f>'13-WorkCap'!F26</f>
        <v>25324865.356762774</v>
      </c>
    </row>
    <row r="16" spans="1:11" ht="13">
      <c r="A16" s="2">
        <f>A15+1</f>
        <v>6</v>
      </c>
      <c r="B16" s="12" t="s">
        <v>110</v>
      </c>
      <c r="I16" s="251" t="str">
        <f>"13-WorkCap, Line "&amp;'13-WorkCap'!A55&amp;""</f>
        <v>13-WorkCap, Line 36</v>
      </c>
      <c r="K16" s="6">
        <f>'13-WorkCap'!F55</f>
        <v>15839320.409262644</v>
      </c>
    </row>
    <row r="17" spans="1:11" ht="13">
      <c r="A17" s="2">
        <f>A16+1</f>
        <v>7</v>
      </c>
      <c r="B17" s="250" t="s">
        <v>111</v>
      </c>
      <c r="I17" s="251" t="str">
        <f>"(Line "&amp;A126&amp;" + Line "&amp;A127&amp;") / 8"</f>
        <v>(Line 66 + Line 67) / 8</v>
      </c>
      <c r="K17" s="53">
        <f>(K126+K127)/8</f>
        <v>30083546.710815236</v>
      </c>
    </row>
    <row r="18" spans="1:11" ht="13">
      <c r="A18" s="2">
        <f>A17+1</f>
        <v>8</v>
      </c>
      <c r="B18" s="250" t="s">
        <v>112</v>
      </c>
      <c r="I18" s="251" t="str">
        <f>"Line "&amp;A15&amp;" + Line "&amp;A16&amp;" + Line "&amp;A17&amp;""</f>
        <v>Line 5 + Line 6 + Line 7</v>
      </c>
      <c r="K18" s="6">
        <f>SUM(K15:K17)</f>
        <v>71247732.476840645</v>
      </c>
    </row>
    <row r="19" spans="1:11" ht="13">
      <c r="A19" s="2"/>
      <c r="B19" s="250"/>
      <c r="K19" s="6"/>
    </row>
    <row r="20" spans="1:11" ht="13">
      <c r="A20" s="2"/>
      <c r="B20" s="44" t="s">
        <v>113</v>
      </c>
      <c r="K20" s="6"/>
    </row>
    <row r="21" spans="1:11" ht="13">
      <c r="A21" s="2">
        <f>A18+1</f>
        <v>9</v>
      </c>
      <c r="B21" s="250" t="s">
        <v>114</v>
      </c>
      <c r="H21" t="s">
        <v>115</v>
      </c>
      <c r="I21" s="251" t="str">
        <f>"8-AccDep, Line "&amp;'8-AccDep'!A24&amp;", Col. 12"</f>
        <v>8-AccDep, Line 13, Col. 12</v>
      </c>
      <c r="K21" s="6">
        <f>-'8-AccDep'!N24</f>
        <v>-2243012529</v>
      </c>
    </row>
    <row r="22" spans="1:11" ht="13">
      <c r="A22" s="2">
        <f>A21+1</f>
        <v>10</v>
      </c>
      <c r="B22" s="250" t="s">
        <v>116</v>
      </c>
      <c r="H22" t="s">
        <v>115</v>
      </c>
      <c r="I22" s="251" t="str">
        <f>"8-AccDep, Line "&amp;'8-AccDep'!A34&amp;", Col. 5"</f>
        <v>8-AccDep, Line 16, Col. 5</v>
      </c>
      <c r="K22" s="6">
        <f>-'8-AccDep'!G34</f>
        <v>0</v>
      </c>
    </row>
    <row r="23" spans="1:11" ht="13">
      <c r="A23" s="2">
        <f>A22+1</f>
        <v>11</v>
      </c>
      <c r="B23" s="250" t="s">
        <v>117</v>
      </c>
      <c r="C23" s="15"/>
      <c r="H23" t="s">
        <v>115</v>
      </c>
      <c r="I23" s="251" t="str">
        <f>"8-AccDep, Line "&amp;'8-AccDep'!A60&amp;""</f>
        <v>8-AccDep, Line 26</v>
      </c>
      <c r="K23" s="53">
        <f>-'8-AccDep'!F60</f>
        <v>-123572260.25495362</v>
      </c>
    </row>
    <row r="24" spans="1:11" ht="13">
      <c r="A24" s="2">
        <f>A23+1</f>
        <v>12</v>
      </c>
      <c r="B24" s="45" t="s">
        <v>118</v>
      </c>
      <c r="C24" s="15"/>
      <c r="I24" s="251" t="str">
        <f>"Line "&amp;A21&amp;" + Line "&amp;A22&amp;" + Line "&amp;A23&amp;""</f>
        <v>Line 9 + Line 10 + Line 11</v>
      </c>
      <c r="K24" s="6">
        <f>SUM(K21:K23)</f>
        <v>-2366584789.2549534</v>
      </c>
    </row>
    <row r="25" spans="1:11">
      <c r="B25" s="251"/>
      <c r="K25" s="6"/>
    </row>
    <row r="26" spans="1:11" ht="13">
      <c r="A26" s="2">
        <f>A24+1</f>
        <v>13</v>
      </c>
      <c r="B26" s="295" t="s">
        <v>119</v>
      </c>
      <c r="I26" s="251" t="str">
        <f>"9-ADIT-1, Line "&amp;'9-ADIT-1'!A14&amp;", Col. 2"</f>
        <v>9-ADIT-1, Line 5, Col. 2</v>
      </c>
      <c r="K26" s="6">
        <f>'9-ADIT-1'!D14</f>
        <v>-1448070322.099262</v>
      </c>
    </row>
    <row r="27" spans="1:11" ht="13">
      <c r="A27" s="2"/>
      <c r="B27" s="38"/>
    </row>
    <row r="28" spans="1:11" ht="13">
      <c r="A28" s="2">
        <f>A26+1</f>
        <v>14</v>
      </c>
      <c r="B28" s="295" t="s">
        <v>120</v>
      </c>
      <c r="I28" s="251" t="str">
        <f>"14-IncentivePlant, L "&amp;'14-IncentivePlant'!A38&amp;", Col 1"</f>
        <v>14-IncentivePlant, L 13, Col 1</v>
      </c>
      <c r="K28" s="6">
        <f>'14-IncentivePlant'!E38</f>
        <v>457540028.63</v>
      </c>
    </row>
    <row r="29" spans="1:11" ht="13">
      <c r="A29" s="2"/>
      <c r="B29" s="295"/>
      <c r="K29" s="6"/>
    </row>
    <row r="30" spans="1:11" ht="13">
      <c r="A30" s="2">
        <f>A28+1</f>
        <v>15</v>
      </c>
      <c r="B30" s="295" t="s">
        <v>121</v>
      </c>
      <c r="I30" s="251" t="str">
        <f>"23-RegAssets, Line "&amp;'23-RegAssets'!A17&amp;""</f>
        <v>23-RegAssets, Line 14</v>
      </c>
      <c r="K30" s="6">
        <f>'23-RegAssets'!E17</f>
        <v>0</v>
      </c>
    </row>
    <row r="31" spans="1:11" ht="13">
      <c r="A31" s="2">
        <f t="shared" ref="A31:A32" si="0">A30+1</f>
        <v>16</v>
      </c>
      <c r="B31" s="38" t="s">
        <v>72</v>
      </c>
      <c r="I31" s="251" t="str">
        <f>"34-UnfundedReserves, Line "&amp;'34-UnfundedReserves'!A9&amp;""</f>
        <v>34-UnfundedReserves, Line 6</v>
      </c>
      <c r="K31" s="6">
        <f>'34-UnfundedReserves'!K9</f>
        <v>-111133567.25360285</v>
      </c>
    </row>
    <row r="32" spans="1:11" ht="13">
      <c r="A32" s="2">
        <f t="shared" si="0"/>
        <v>17</v>
      </c>
      <c r="B32" s="38" t="s">
        <v>122</v>
      </c>
      <c r="H32" t="s">
        <v>115</v>
      </c>
      <c r="I32" s="251" t="str">
        <f>"22-NUCs, Line "&amp;'22-NUCs'!A11&amp;""</f>
        <v>22-NUCs, Line 4</v>
      </c>
      <c r="K32" s="6">
        <f>-'22-NUCs'!E11</f>
        <v>-34056810.969999999</v>
      </c>
    </row>
    <row r="33" spans="1:11" ht="13">
      <c r="A33" s="2"/>
      <c r="B33" s="38"/>
    </row>
    <row r="34" spans="1:11" ht="13">
      <c r="A34" s="2">
        <f>A32+1</f>
        <v>18</v>
      </c>
      <c r="B34" t="s">
        <v>123</v>
      </c>
      <c r="I34" s="251" t="str">
        <f>"L"&amp;A9&amp;" + L"&amp;A10&amp;" + L"&amp;A11&amp;" + L"&amp;A12&amp;" + L"&amp;A18&amp;" + L"&amp;A24&amp;" +"</f>
        <v>L1 + L2 + L3 + L4 + L8 + L12 +</v>
      </c>
      <c r="K34" s="6">
        <f>K9+K10+K11+K12+K18+K24+K26+K28+K30+K31+K32</f>
        <v>7302608304.6077785</v>
      </c>
    </row>
    <row r="35" spans="1:11" ht="13">
      <c r="A35" s="2"/>
      <c r="I35" s="295" t="str">
        <f>"L"&amp;A26&amp;" + L"&amp;A28&amp;"+ L"&amp;A30&amp;"+ L"&amp;A31&amp;" + L"&amp;A32&amp;""</f>
        <v>L13 + L14+ L15+ L16 + L17</v>
      </c>
      <c r="K35" s="6"/>
    </row>
    <row r="37" spans="1:11" ht="13">
      <c r="A37" s="9" t="s">
        <v>124</v>
      </c>
      <c r="B37" s="10"/>
      <c r="C37" s="10"/>
      <c r="D37" s="10"/>
      <c r="E37" s="10"/>
      <c r="F37" s="10"/>
      <c r="G37" s="10"/>
      <c r="H37" s="8"/>
      <c r="I37" s="8"/>
      <c r="J37" s="8"/>
      <c r="K37" s="8"/>
    </row>
    <row r="39" spans="1:11" ht="13">
      <c r="A39" s="2">
        <f>A34+1</f>
        <v>19</v>
      </c>
      <c r="B39" s="251" t="s">
        <v>125</v>
      </c>
      <c r="I39" s="251" t="s">
        <v>126</v>
      </c>
      <c r="J39" s="251"/>
      <c r="K39" s="253">
        <f>H180</f>
        <v>392396631</v>
      </c>
    </row>
    <row r="40" spans="1:11" ht="13">
      <c r="A40" s="2">
        <f>A39+1</f>
        <v>20</v>
      </c>
      <c r="B40" s="12" t="s">
        <v>127</v>
      </c>
      <c r="I40" s="251" t="str">
        <f>"27-Allocators, Line "&amp;'27-Allocators'!A28&amp;""</f>
        <v>27-Allocators, Line 22</v>
      </c>
      <c r="K40" s="7">
        <f>'27-Allocators'!G28</f>
        <v>0.18265038721639726</v>
      </c>
    </row>
    <row r="41" spans="1:11" ht="13">
      <c r="A41" s="2">
        <f>A40+1</f>
        <v>21</v>
      </c>
      <c r="B41" t="s">
        <v>128</v>
      </c>
      <c r="I41" s="251" t="str">
        <f>"Line "&amp;A39&amp;" * Line "&amp;A40&amp;""</f>
        <v>Line 19 * Line 20</v>
      </c>
      <c r="K41" s="253">
        <f>K39*K40</f>
        <v>71671396.594559759</v>
      </c>
    </row>
    <row r="42" spans="1:11" ht="13">
      <c r="A42" s="2" t="s">
        <v>129</v>
      </c>
      <c r="H42" s="251"/>
      <c r="K42" s="7"/>
    </row>
    <row r="43" spans="1:11" ht="13">
      <c r="A43" s="2">
        <f>A41+1</f>
        <v>22</v>
      </c>
      <c r="B43" s="251" t="s">
        <v>130</v>
      </c>
      <c r="K43" s="7"/>
    </row>
    <row r="44" spans="1:11" ht="13">
      <c r="A44" s="2">
        <f t="shared" ref="A44:A56" si="1">A43+1</f>
        <v>23</v>
      </c>
      <c r="B44" s="12" t="s">
        <v>131</v>
      </c>
      <c r="E44" s="1"/>
      <c r="F44" s="1"/>
      <c r="G44" s="1"/>
      <c r="I44" s="251" t="str">
        <f>"Line "&amp;A45&amp;" + Line "&amp;A46&amp;"+ Line "&amp;A47&amp;""</f>
        <v>Line 24 + Line 25+ Line 26</v>
      </c>
      <c r="K44" s="6">
        <f>SUM(K45:K47)</f>
        <v>128959161</v>
      </c>
    </row>
    <row r="45" spans="1:11" ht="13">
      <c r="A45" s="2">
        <f t="shared" si="1"/>
        <v>24</v>
      </c>
      <c r="B45" s="197" t="s">
        <v>132</v>
      </c>
      <c r="E45" s="1"/>
      <c r="F45" s="1"/>
      <c r="G45" s="1"/>
      <c r="I45" s="251" t="s">
        <v>126</v>
      </c>
      <c r="J45" s="251"/>
      <c r="K45" s="253">
        <f t="shared" ref="K45:K51" si="2">H181</f>
        <v>125987240</v>
      </c>
    </row>
    <row r="46" spans="1:11" ht="13">
      <c r="A46" s="2">
        <f t="shared" si="1"/>
        <v>25</v>
      </c>
      <c r="B46" s="197" t="s">
        <v>133</v>
      </c>
      <c r="E46" s="1"/>
      <c r="F46" s="1"/>
      <c r="G46" s="1"/>
      <c r="I46" s="251" t="s">
        <v>126</v>
      </c>
      <c r="J46" s="251"/>
      <c r="K46" s="253">
        <f>H182</f>
        <v>3055294</v>
      </c>
    </row>
    <row r="47" spans="1:11" ht="13">
      <c r="A47" s="2">
        <f t="shared" si="1"/>
        <v>26</v>
      </c>
      <c r="B47" s="197" t="s">
        <v>134</v>
      </c>
      <c r="E47" s="1"/>
      <c r="F47" s="1"/>
      <c r="G47" s="1"/>
      <c r="I47" s="251" t="s">
        <v>126</v>
      </c>
      <c r="J47" s="251"/>
      <c r="K47" s="253">
        <f>H183</f>
        <v>-83373</v>
      </c>
    </row>
    <row r="48" spans="1:11" ht="13">
      <c r="A48" s="2">
        <f t="shared" si="1"/>
        <v>27</v>
      </c>
      <c r="B48" s="250" t="s">
        <v>135</v>
      </c>
      <c r="I48" s="251" t="s">
        <v>126</v>
      </c>
      <c r="J48" s="251"/>
      <c r="K48" s="253">
        <f t="shared" si="2"/>
        <v>4531472</v>
      </c>
    </row>
    <row r="49" spans="1:11" ht="13">
      <c r="A49" s="2">
        <f t="shared" si="1"/>
        <v>28</v>
      </c>
      <c r="B49" s="12" t="s">
        <v>136</v>
      </c>
      <c r="I49" s="251" t="s">
        <v>126</v>
      </c>
      <c r="J49" s="251"/>
      <c r="K49" s="253">
        <f t="shared" si="2"/>
        <v>592869</v>
      </c>
    </row>
    <row r="50" spans="1:11" ht="13">
      <c r="A50" s="2">
        <f t="shared" si="1"/>
        <v>29</v>
      </c>
      <c r="B50" s="12" t="s">
        <v>137</v>
      </c>
      <c r="I50" s="251" t="s">
        <v>126</v>
      </c>
      <c r="J50" s="251"/>
      <c r="K50" s="253">
        <f t="shared" si="2"/>
        <v>2463217</v>
      </c>
    </row>
    <row r="51" spans="1:11" ht="13">
      <c r="A51" s="2">
        <f t="shared" si="1"/>
        <v>30</v>
      </c>
      <c r="B51" s="12" t="s">
        <v>138</v>
      </c>
      <c r="I51" s="251" t="s">
        <v>126</v>
      </c>
      <c r="J51" s="251"/>
      <c r="K51" s="253">
        <f t="shared" si="2"/>
        <v>27202</v>
      </c>
    </row>
    <row r="52" spans="1:11" ht="13">
      <c r="A52" s="2">
        <f t="shared" si="1"/>
        <v>31</v>
      </c>
      <c r="B52" t="s">
        <v>139</v>
      </c>
      <c r="I52" s="251" t="str">
        <f>"Line "&amp;A44&amp;" + (Line "&amp;A48&amp;" to Line "&amp;A51&amp;")"</f>
        <v>Line 23 + (Line 27 to Line 30)</v>
      </c>
      <c r="K52" s="6">
        <f>K44+K48+K49+K50+K51</f>
        <v>136573921</v>
      </c>
    </row>
    <row r="53" spans="1:11" ht="13">
      <c r="A53" s="2">
        <f t="shared" si="1"/>
        <v>32</v>
      </c>
      <c r="B53" s="251" t="s">
        <v>140</v>
      </c>
      <c r="H53" s="251"/>
      <c r="I53" s="251" t="str">
        <f>"26-TaxRates, Line "&amp;'26-TaxRates'!A22&amp;""</f>
        <v>26-TaxRates, Line 16</v>
      </c>
      <c r="K53" s="119">
        <f>'26-TaxRates'!F22</f>
        <v>68286960.5</v>
      </c>
    </row>
    <row r="54" spans="1:11" ht="13">
      <c r="A54" s="2">
        <f t="shared" si="1"/>
        <v>33</v>
      </c>
      <c r="B54" t="s">
        <v>141</v>
      </c>
      <c r="I54" s="251" t="str">
        <f>"Line "&amp;A52&amp;" - Line "&amp;A53&amp;""</f>
        <v>Line 31 - Line 32</v>
      </c>
      <c r="K54" s="6">
        <f>K52-K53</f>
        <v>68286960.5</v>
      </c>
    </row>
    <row r="55" spans="1:11" ht="13">
      <c r="A55" s="2">
        <f>A54+1</f>
        <v>34</v>
      </c>
      <c r="B55" s="250" t="s">
        <v>142</v>
      </c>
      <c r="I55" s="251" t="str">
        <f>"27-Allocators, Line "&amp;'27-Allocators'!A15&amp;""</f>
        <v>27-Allocators, Line 9</v>
      </c>
      <c r="K55" s="7">
        <f>'27-Allocators'!G15</f>
        <v>6.2174818554839952E-2</v>
      </c>
    </row>
    <row r="56" spans="1:11" ht="13">
      <c r="A56" s="2">
        <f t="shared" si="1"/>
        <v>35</v>
      </c>
      <c r="B56" s="295" t="s">
        <v>130</v>
      </c>
      <c r="I56" s="251" t="str">
        <f>"Line "&amp;A54&amp;" * Line "&amp;A55&amp;""</f>
        <v>Line 33 * Line 34</v>
      </c>
      <c r="K56" s="253">
        <f>K54*K55</f>
        <v>4245729.3787490232</v>
      </c>
    </row>
    <row r="57" spans="1:11" ht="13">
      <c r="A57" s="2"/>
      <c r="K57" s="6"/>
    </row>
    <row r="58" spans="1:11" ht="13">
      <c r="A58" s="2">
        <f>A56+1</f>
        <v>36</v>
      </c>
      <c r="B58" s="251" t="s">
        <v>143</v>
      </c>
      <c r="H58" s="251" t="s">
        <v>144</v>
      </c>
      <c r="I58" s="251" t="str">
        <f>"Line "&amp;A41&amp;" + Line "&amp;A56&amp;""</f>
        <v>Line 21 + Line 35</v>
      </c>
      <c r="K58" s="6">
        <f>K41+K56</f>
        <v>75917125.973308787</v>
      </c>
    </row>
    <row r="60" spans="1:11" ht="13">
      <c r="A60" s="9" t="s">
        <v>145</v>
      </c>
      <c r="B60" s="10"/>
      <c r="C60" s="10"/>
      <c r="D60" s="10"/>
      <c r="E60" s="10"/>
      <c r="F60" s="10"/>
      <c r="G60" s="10"/>
      <c r="H60" s="8"/>
      <c r="I60" s="8"/>
      <c r="J60" s="8"/>
      <c r="K60" s="8"/>
    </row>
    <row r="61" spans="1:11" ht="13">
      <c r="A61" s="1"/>
      <c r="B61" s="251"/>
      <c r="C61" s="251"/>
      <c r="D61" s="251"/>
      <c r="E61" s="251"/>
      <c r="F61" s="251"/>
      <c r="G61" s="251"/>
      <c r="H61" s="251"/>
      <c r="I61" s="251"/>
      <c r="J61" s="251"/>
      <c r="K61" s="251"/>
    </row>
    <row r="62" spans="1:11">
      <c r="A62" s="252"/>
      <c r="B62" s="28" t="s">
        <v>146</v>
      </c>
      <c r="C62" s="251"/>
      <c r="D62" s="251"/>
      <c r="E62" s="251"/>
      <c r="F62" s="251"/>
      <c r="G62" s="251"/>
      <c r="H62" s="251"/>
      <c r="I62" s="251"/>
      <c r="J62" s="251"/>
      <c r="K62" s="251"/>
    </row>
    <row r="63" spans="1:11" ht="13">
      <c r="A63" s="2">
        <f>A58+1</f>
        <v>37</v>
      </c>
      <c r="B63" s="251" t="s">
        <v>147</v>
      </c>
      <c r="C63" s="251"/>
      <c r="D63" s="251"/>
      <c r="E63" s="251"/>
      <c r="F63" s="251"/>
      <c r="G63" s="251"/>
      <c r="H63" s="251"/>
      <c r="I63" s="251" t="str">
        <f>"5-ROR-1, Line "&amp;'5-ROR-1'!A12&amp;""</f>
        <v>5-ROR-1, Line 4</v>
      </c>
      <c r="J63" s="251"/>
      <c r="K63" s="253">
        <f>'5-ROR-1'!L12</f>
        <v>19638412203.256157</v>
      </c>
    </row>
    <row r="64" spans="1:11" ht="13">
      <c r="A64" s="2">
        <f>A63+1</f>
        <v>38</v>
      </c>
      <c r="B64" s="251" t="s">
        <v>148</v>
      </c>
      <c r="C64" s="251"/>
      <c r="D64" s="251"/>
      <c r="E64" s="251"/>
      <c r="F64" s="251"/>
      <c r="G64" s="251"/>
      <c r="H64" s="251"/>
      <c r="I64" s="251" t="str">
        <f>"5-ROR-1, Line "&amp;'5-ROR-1'!A21&amp;""</f>
        <v>5-ROR-1, Line 11</v>
      </c>
      <c r="J64" s="251"/>
      <c r="K64" s="253">
        <f>'5-ROR-1'!L21</f>
        <v>785691274</v>
      </c>
    </row>
    <row r="65" spans="1:11" ht="13">
      <c r="A65" s="2">
        <f>A64+1</f>
        <v>39</v>
      </c>
      <c r="B65" s="251" t="s">
        <v>149</v>
      </c>
      <c r="C65" s="251"/>
      <c r="D65" s="251"/>
      <c r="E65" s="251"/>
      <c r="F65" s="251"/>
      <c r="G65" s="251"/>
      <c r="I65" s="251" t="str">
        <f>"5-ROR-1, Line "&amp;'5-ROR-1'!A23&amp;""</f>
        <v>5-ROR-1, Line 12</v>
      </c>
      <c r="J65" s="251"/>
      <c r="K65" s="215">
        <f>'5-ROR-1'!L23</f>
        <v>4.0007881791468254E-2</v>
      </c>
    </row>
    <row r="66" spans="1:11" ht="13">
      <c r="A66" s="2"/>
      <c r="B66" s="251"/>
      <c r="C66" s="251"/>
      <c r="D66" s="251"/>
      <c r="E66" s="251"/>
      <c r="F66" s="251"/>
      <c r="G66" s="251"/>
      <c r="I66" s="251"/>
      <c r="J66" s="251"/>
      <c r="K66" s="215"/>
    </row>
    <row r="67" spans="1:11" ht="13">
      <c r="A67" s="2"/>
      <c r="B67" s="28" t="s">
        <v>150</v>
      </c>
      <c r="C67" s="251"/>
      <c r="D67" s="251"/>
      <c r="E67" s="251"/>
      <c r="F67" s="251"/>
      <c r="G67" s="251"/>
      <c r="H67" s="251"/>
      <c r="I67" s="251"/>
      <c r="J67" s="251"/>
      <c r="K67" s="251"/>
    </row>
    <row r="68" spans="1:11" ht="13">
      <c r="A68" s="2">
        <f>A65+1</f>
        <v>40</v>
      </c>
      <c r="B68" s="251" t="s">
        <v>151</v>
      </c>
      <c r="C68" s="251"/>
      <c r="D68" s="251"/>
      <c r="E68" s="251"/>
      <c r="F68" s="251"/>
      <c r="G68" s="251"/>
      <c r="H68" s="251"/>
      <c r="I68" s="251" t="str">
        <f>"5-ROR-1, Line "&amp;'5-ROR-1'!A29&amp;""</f>
        <v>5-ROR-1, Line 16</v>
      </c>
      <c r="J68" s="251"/>
      <c r="K68" s="253">
        <f>'5-ROR-1'!L29</f>
        <v>1894138080.2674377</v>
      </c>
    </row>
    <row r="69" spans="1:11" ht="13">
      <c r="A69" s="2">
        <f>A68+1</f>
        <v>41</v>
      </c>
      <c r="B69" s="251" t="s">
        <v>152</v>
      </c>
      <c r="C69" s="251"/>
      <c r="D69" s="251"/>
      <c r="E69" s="251"/>
      <c r="F69" s="251"/>
      <c r="G69" s="251"/>
      <c r="H69" s="251"/>
      <c r="I69" s="251" t="str">
        <f>"5-ROR-1, Line "&amp;'5-ROR-1'!A35&amp;""</f>
        <v>5-ROR-1, Line 20</v>
      </c>
      <c r="J69" s="251"/>
      <c r="K69" s="253">
        <f>'5-ROR-1'!L35</f>
        <v>111520854.53840116</v>
      </c>
    </row>
    <row r="70" spans="1:11" ht="13">
      <c r="A70" s="2">
        <f>A69+1</f>
        <v>42</v>
      </c>
      <c r="B70" s="251" t="s">
        <v>153</v>
      </c>
      <c r="C70" s="251"/>
      <c r="D70" s="251"/>
      <c r="E70" s="251"/>
      <c r="F70" s="251"/>
      <c r="G70" s="251"/>
      <c r="I70" s="251" t="str">
        <f>"5-ROR-1, Line "&amp;'5-ROR-1'!A37&amp;""</f>
        <v>5-ROR-1, Line 21</v>
      </c>
      <c r="J70" s="251"/>
      <c r="K70" s="215">
        <f>'5-ROR-1'!L37</f>
        <v>5.8876834640616736E-2</v>
      </c>
    </row>
    <row r="71" spans="1:11" ht="13">
      <c r="A71" s="2"/>
      <c r="B71" s="251"/>
      <c r="C71" s="251"/>
      <c r="D71" s="251"/>
      <c r="E71" s="251"/>
      <c r="F71" s="251"/>
      <c r="G71" s="251"/>
      <c r="I71" s="251"/>
      <c r="J71" s="251"/>
      <c r="K71" s="215"/>
    </row>
    <row r="72" spans="1:11" ht="13">
      <c r="A72" s="2"/>
      <c r="B72" s="28" t="s">
        <v>154</v>
      </c>
      <c r="C72" s="251"/>
      <c r="D72" s="251"/>
      <c r="E72" s="251"/>
      <c r="F72" s="251"/>
      <c r="G72" s="251"/>
      <c r="H72" s="251"/>
      <c r="I72" s="251"/>
      <c r="J72" s="251"/>
      <c r="K72" s="251"/>
    </row>
    <row r="73" spans="1:11" ht="13">
      <c r="A73" s="2">
        <f>A70+1</f>
        <v>43</v>
      </c>
      <c r="B73" s="251" t="s">
        <v>155</v>
      </c>
      <c r="C73" s="251"/>
      <c r="D73" s="251"/>
      <c r="E73" s="251"/>
      <c r="F73" s="251"/>
      <c r="G73" s="251"/>
      <c r="H73" s="251"/>
      <c r="I73" s="251" t="str">
        <f>"5-ROR-1, Line "&amp;'5-ROR-1'!A45&amp;""</f>
        <v>5-ROR-1, Line 27</v>
      </c>
      <c r="J73" s="251"/>
      <c r="K73" s="253">
        <f>'5-ROR-1'!L45</f>
        <v>17659342234.041794</v>
      </c>
    </row>
    <row r="74" spans="1:11" ht="13">
      <c r="A74" s="2"/>
      <c r="B74" s="251"/>
      <c r="C74" s="251"/>
      <c r="D74" s="251"/>
      <c r="E74" s="251"/>
      <c r="F74" s="251"/>
      <c r="G74" s="251"/>
      <c r="H74" s="251"/>
      <c r="I74" s="637"/>
      <c r="J74" s="251"/>
      <c r="K74" s="251"/>
    </row>
    <row r="75" spans="1:11" ht="13">
      <c r="A75" s="2">
        <f>A73+1</f>
        <v>44</v>
      </c>
      <c r="B75" s="251" t="s">
        <v>156</v>
      </c>
      <c r="C75" s="251"/>
      <c r="D75" s="251"/>
      <c r="E75" s="251"/>
      <c r="F75" s="251"/>
      <c r="G75" s="251"/>
      <c r="H75" s="251"/>
      <c r="I75" s="251" t="str">
        <f>"Line "&amp;A63&amp;" + Line "&amp;A68&amp;" + Line "&amp;A73&amp;""</f>
        <v>Line 37 + Line 40 + Line 43</v>
      </c>
      <c r="J75" s="251"/>
      <c r="K75" s="253">
        <f>K63+K68+K73</f>
        <v>39191892517.565384</v>
      </c>
    </row>
    <row r="76" spans="1:11" ht="13">
      <c r="A76" s="2"/>
      <c r="B76" s="251"/>
      <c r="C76" s="251"/>
      <c r="D76" s="251"/>
      <c r="E76" s="251"/>
      <c r="F76" s="251"/>
      <c r="G76" s="251"/>
      <c r="H76" s="251"/>
      <c r="I76" s="251"/>
      <c r="J76" s="251"/>
      <c r="K76" s="253"/>
    </row>
    <row r="77" spans="1:11" ht="13">
      <c r="A77" s="2" t="s">
        <v>157</v>
      </c>
      <c r="B77" s="251" t="s">
        <v>158</v>
      </c>
      <c r="C77" s="251"/>
      <c r="D77" s="251"/>
      <c r="E77" s="251"/>
      <c r="F77" s="251"/>
      <c r="G77" s="251"/>
      <c r="H77" s="251"/>
      <c r="I77" s="251"/>
      <c r="J77" s="251"/>
      <c r="K77" s="276">
        <v>0.47499999999999998</v>
      </c>
    </row>
    <row r="78" spans="1:11" ht="13">
      <c r="A78" s="2"/>
      <c r="B78" s="250"/>
      <c r="C78" s="251"/>
      <c r="D78" s="251"/>
      <c r="E78" s="251"/>
      <c r="F78" s="251"/>
      <c r="G78" s="251"/>
      <c r="I78" s="251"/>
      <c r="J78" s="251"/>
      <c r="K78" s="253"/>
    </row>
    <row r="79" spans="1:11" ht="13">
      <c r="A79" s="2"/>
      <c r="B79" s="28" t="s">
        <v>159</v>
      </c>
      <c r="C79" s="251"/>
      <c r="D79" s="251"/>
      <c r="E79" s="251"/>
      <c r="F79" s="251"/>
      <c r="G79" s="251"/>
      <c r="H79" s="251"/>
      <c r="I79" s="251"/>
      <c r="J79" s="251"/>
      <c r="K79" s="251"/>
    </row>
    <row r="80" spans="1:11" ht="13">
      <c r="A80" s="2">
        <f>A75+1</f>
        <v>45</v>
      </c>
      <c r="B80" s="251" t="s">
        <v>160</v>
      </c>
      <c r="C80" s="251"/>
      <c r="D80" s="251"/>
      <c r="E80" s="251"/>
      <c r="F80" s="251"/>
      <c r="G80" s="251"/>
      <c r="H80" s="251"/>
      <c r="I80" s="251" t="str">
        <f>"100% - (Line "&amp;A81&amp;" + Line "&amp;A82&amp;")"</f>
        <v>100% - (Line 46 + Line 47)</v>
      </c>
      <c r="J80" s="251"/>
      <c r="K80" s="215">
        <f>1-(K81+K82)</f>
        <v>0.47667015526442091</v>
      </c>
    </row>
    <row r="81" spans="1:11" ht="13">
      <c r="A81" s="2">
        <f>A80+1</f>
        <v>46</v>
      </c>
      <c r="B81" s="251" t="s">
        <v>161</v>
      </c>
      <c r="C81" s="251"/>
      <c r="D81" s="251"/>
      <c r="E81" s="251"/>
      <c r="F81" s="251"/>
      <c r="G81" s="251"/>
      <c r="H81" s="251"/>
      <c r="I81" s="251" t="str">
        <f>"Line "&amp;A68&amp;" / Line "&amp;A75&amp;""</f>
        <v>Line 40 / Line 44</v>
      </c>
      <c r="J81" s="251"/>
      <c r="K81" s="215">
        <f>K68/K75</f>
        <v>4.832984473557906E-2</v>
      </c>
    </row>
    <row r="82" spans="1:11" ht="13">
      <c r="A82" s="2">
        <f>A81+1</f>
        <v>47</v>
      </c>
      <c r="B82" s="251" t="s">
        <v>162</v>
      </c>
      <c r="C82" s="251"/>
      <c r="D82" s="251"/>
      <c r="E82" s="251"/>
      <c r="F82" s="251"/>
      <c r="G82" s="251"/>
      <c r="H82" s="251"/>
      <c r="I82" s="251" t="str">
        <f>"Max Line "&amp;A77&amp;" or (Line "&amp;A73&amp;" / Line "&amp;A75&amp;")"</f>
        <v>Max Line 44a or (Line 43 / Line 44)</v>
      </c>
      <c r="J82" s="251"/>
      <c r="K82" s="29">
        <f>MAX((K73/K75),K77)</f>
        <v>0.47499999999999998</v>
      </c>
    </row>
    <row r="83" spans="1:11" ht="13">
      <c r="A83" s="2"/>
      <c r="B83" s="251"/>
      <c r="C83" s="251"/>
      <c r="D83" s="251"/>
      <c r="E83" s="251"/>
      <c r="F83" s="251"/>
      <c r="G83" s="251"/>
      <c r="H83" s="251"/>
      <c r="I83" s="251" t="str">
        <f>"Line "&amp;A80&amp;" + Line "&amp;A81&amp;"+ Line "&amp;A82&amp;""</f>
        <v>Line 45 + Line 46+ Line 47</v>
      </c>
      <c r="J83" s="251"/>
      <c r="K83" s="215">
        <f>SUM(K80:K82)</f>
        <v>1</v>
      </c>
    </row>
    <row r="84" spans="1:11" ht="13">
      <c r="A84" s="2"/>
      <c r="B84" s="28" t="s">
        <v>163</v>
      </c>
      <c r="C84" s="251"/>
      <c r="D84" s="251"/>
      <c r="E84" s="251"/>
      <c r="F84" s="251"/>
      <c r="G84" s="251"/>
      <c r="H84" s="251"/>
      <c r="I84" s="251"/>
      <c r="J84" s="251"/>
      <c r="K84" s="215"/>
    </row>
    <row r="85" spans="1:11" ht="13">
      <c r="A85" s="2">
        <f>A82+1</f>
        <v>48</v>
      </c>
      <c r="B85" s="251" t="s">
        <v>149</v>
      </c>
      <c r="C85" s="251"/>
      <c r="D85" s="251"/>
      <c r="E85" s="251"/>
      <c r="F85" s="251"/>
      <c r="G85" s="251"/>
      <c r="I85" s="251" t="str">
        <f>"Line "&amp;A65&amp;""</f>
        <v>Line 39</v>
      </c>
      <c r="J85" s="251"/>
      <c r="K85" s="215">
        <f>K65</f>
        <v>4.0007881791468254E-2</v>
      </c>
    </row>
    <row r="86" spans="1:11" ht="13">
      <c r="A86" s="2">
        <f>A85+1</f>
        <v>49</v>
      </c>
      <c r="B86" s="251" t="s">
        <v>153</v>
      </c>
      <c r="C86" s="251"/>
      <c r="D86" s="251"/>
      <c r="E86" s="251"/>
      <c r="F86" s="251"/>
      <c r="G86" s="251"/>
      <c r="I86" s="251" t="str">
        <f>"Line "&amp;A70&amp;""</f>
        <v>Line 42</v>
      </c>
      <c r="J86" s="251"/>
      <c r="K86" s="215">
        <f>K70</f>
        <v>5.8876834640616736E-2</v>
      </c>
    </row>
    <row r="87" spans="1:11" ht="13">
      <c r="A87" s="2">
        <f>A86+1</f>
        <v>50</v>
      </c>
      <c r="B87" s="251" t="s">
        <v>164</v>
      </c>
      <c r="C87" s="251"/>
      <c r="D87" s="251"/>
      <c r="E87" s="251"/>
      <c r="F87" s="251"/>
      <c r="G87" s="251"/>
      <c r="H87" s="251" t="s">
        <v>165</v>
      </c>
      <c r="I87" s="251" t="s">
        <v>166</v>
      </c>
      <c r="J87" s="251"/>
      <c r="K87" s="124">
        <v>0.10299999999999999</v>
      </c>
    </row>
    <row r="88" spans="1:11" ht="13">
      <c r="A88" s="2"/>
      <c r="B88" s="251"/>
      <c r="C88" s="251"/>
      <c r="D88" s="251"/>
      <c r="E88" s="251"/>
      <c r="F88" s="251"/>
      <c r="G88" s="251"/>
      <c r="I88" s="298"/>
      <c r="J88" s="251"/>
      <c r="K88" s="215"/>
    </row>
    <row r="89" spans="1:11" ht="13">
      <c r="A89" s="2"/>
      <c r="B89" s="28" t="s">
        <v>167</v>
      </c>
      <c r="C89" s="251"/>
      <c r="D89" s="251"/>
      <c r="E89" s="251"/>
      <c r="F89" s="251"/>
      <c r="G89" s="251"/>
      <c r="H89" s="251"/>
      <c r="I89" s="251"/>
      <c r="J89" s="251"/>
      <c r="K89" s="251"/>
    </row>
    <row r="90" spans="1:11" ht="13">
      <c r="A90" s="2">
        <f>A87+1</f>
        <v>51</v>
      </c>
      <c r="B90" s="251" t="s">
        <v>168</v>
      </c>
      <c r="C90" s="251"/>
      <c r="D90" s="251"/>
      <c r="E90" s="251"/>
      <c r="F90" s="251"/>
      <c r="G90" s="251"/>
      <c r="I90" s="251" t="str">
        <f>"Line "&amp;A65&amp;" * Line "&amp;A80&amp;""</f>
        <v>Line 39 * Line 45</v>
      </c>
      <c r="J90" s="251"/>
      <c r="K90" s="215">
        <f>K65*K80</f>
        <v>1.907056322533977E-2</v>
      </c>
    </row>
    <row r="91" spans="1:11" ht="13">
      <c r="A91" s="2">
        <f>A90+1</f>
        <v>52</v>
      </c>
      <c r="B91" s="251" t="s">
        <v>169</v>
      </c>
      <c r="C91" s="251"/>
      <c r="D91" s="251"/>
      <c r="E91" s="251"/>
      <c r="F91" s="251"/>
      <c r="G91" s="251"/>
      <c r="I91" s="251" t="str">
        <f>"Line "&amp;A70&amp;" * Line "&amp;A81&amp;""</f>
        <v>Line 42 * Line 46</v>
      </c>
      <c r="J91" s="251"/>
      <c r="K91" s="215">
        <f>K70*K81</f>
        <v>2.8455082767033695E-3</v>
      </c>
    </row>
    <row r="92" spans="1:11" ht="13">
      <c r="A92" s="2">
        <f>A91+1</f>
        <v>53</v>
      </c>
      <c r="B92" s="251" t="s">
        <v>170</v>
      </c>
      <c r="C92" s="251"/>
      <c r="D92" s="251"/>
      <c r="E92" s="251"/>
      <c r="F92" s="251"/>
      <c r="G92" s="251"/>
      <c r="I92" s="251" t="str">
        <f>"Line "&amp;A82&amp;" * Line "&amp;A87&amp;""</f>
        <v>Line 47 * Line 50</v>
      </c>
      <c r="J92" s="251"/>
      <c r="K92" s="29">
        <f>K82*K87</f>
        <v>4.8924999999999996E-2</v>
      </c>
    </row>
    <row r="93" spans="1:11" ht="13">
      <c r="A93" s="2">
        <f>A92+1</f>
        <v>54</v>
      </c>
      <c r="B93" s="250" t="s">
        <v>171</v>
      </c>
      <c r="C93" s="251"/>
      <c r="D93" s="251"/>
      <c r="E93" s="251"/>
      <c r="F93" s="251"/>
      <c r="G93" s="251"/>
      <c r="I93" s="251" t="str">
        <f>"Line "&amp;A90&amp;" + Line "&amp;A91&amp;" + Line "&amp;A92&amp;""</f>
        <v>Line 51 + Line 52 + Line 53</v>
      </c>
      <c r="J93" s="251"/>
      <c r="K93" s="215">
        <f>SUM(K90:K92)</f>
        <v>7.0841071502043135E-2</v>
      </c>
    </row>
    <row r="94" spans="1:11" ht="13">
      <c r="A94" s="2"/>
      <c r="B94" s="250"/>
      <c r="C94" s="251"/>
      <c r="D94" s="251"/>
      <c r="E94" s="251"/>
      <c r="F94" s="251"/>
      <c r="G94" s="251"/>
      <c r="I94" s="251"/>
      <c r="J94" s="251"/>
      <c r="K94" s="955"/>
    </row>
    <row r="95" spans="1:11" ht="13">
      <c r="A95" s="2">
        <f>A93+1</f>
        <v>55</v>
      </c>
      <c r="B95" s="295" t="s">
        <v>172</v>
      </c>
      <c r="C95" s="251"/>
      <c r="D95" s="251"/>
      <c r="E95" s="251"/>
      <c r="F95" s="251"/>
      <c r="G95" s="251"/>
      <c r="H95" s="251" t="s">
        <v>173</v>
      </c>
      <c r="I95" s="251" t="str">
        <f>"Line "&amp;A91&amp;" + Line "&amp;A92&amp;""</f>
        <v>Line 52 + Line 53</v>
      </c>
      <c r="J95" s="251"/>
      <c r="K95" s="215">
        <f>K91+K92</f>
        <v>5.1770508276703368E-2</v>
      </c>
    </row>
    <row r="96" spans="1:11" ht="13">
      <c r="A96" s="2"/>
      <c r="B96" s="251"/>
      <c r="C96" s="251"/>
      <c r="D96" s="251"/>
      <c r="E96" s="251"/>
      <c r="F96" s="251"/>
      <c r="G96" s="251"/>
      <c r="I96" s="251"/>
      <c r="J96" s="251"/>
      <c r="K96" s="955"/>
    </row>
    <row r="97" spans="1:11" ht="13">
      <c r="A97" s="2">
        <f>A95+1</f>
        <v>56</v>
      </c>
      <c r="B97" s="251" t="s">
        <v>174</v>
      </c>
      <c r="C97" s="251"/>
      <c r="D97" s="251"/>
      <c r="E97" s="251"/>
      <c r="F97" s="251"/>
      <c r="G97" s="251"/>
      <c r="I97" s="251" t="str">
        <f>"Line "&amp;A34&amp;" * Line "&amp;A93&amp;""</f>
        <v>Line 18 * Line 54</v>
      </c>
      <c r="J97" s="251"/>
      <c r="K97" s="253">
        <f>K34*K93</f>
        <v>517324597.05813366</v>
      </c>
    </row>
    <row r="98" spans="1:11">
      <c r="A98" s="252"/>
      <c r="B98" s="251"/>
      <c r="C98" s="251"/>
      <c r="D98" s="251"/>
      <c r="E98" s="251"/>
      <c r="F98" s="251"/>
      <c r="G98" s="251"/>
      <c r="H98" s="251"/>
      <c r="I98" s="251"/>
      <c r="J98" s="251"/>
      <c r="K98" s="251"/>
    </row>
    <row r="99" spans="1:11">
      <c r="A99" s="251"/>
      <c r="B99" s="251"/>
      <c r="C99" s="251"/>
      <c r="D99" s="251"/>
      <c r="E99" s="251"/>
      <c r="F99" s="251"/>
      <c r="G99" s="251"/>
      <c r="H99" s="251"/>
      <c r="I99" s="251"/>
      <c r="J99" s="251"/>
      <c r="K99" s="251"/>
    </row>
    <row r="100" spans="1:11" ht="13">
      <c r="A100" s="712" t="s">
        <v>175</v>
      </c>
      <c r="B100" s="10"/>
      <c r="C100" s="10"/>
      <c r="D100" s="10"/>
      <c r="E100" s="10"/>
      <c r="F100" s="10"/>
      <c r="G100" s="10"/>
      <c r="H100" s="8"/>
      <c r="I100" s="8"/>
      <c r="J100" s="8"/>
      <c r="K100" s="8"/>
    </row>
    <row r="102" spans="1:11" ht="13">
      <c r="A102" s="2">
        <f>A97+1</f>
        <v>57</v>
      </c>
      <c r="B102" t="s">
        <v>176</v>
      </c>
      <c r="I102" t="str">
        <f>"26-Tax Rates, Line "&amp;'26-TaxRates'!A7&amp;""</f>
        <v>26-Tax Rates, Line 1</v>
      </c>
      <c r="K102" s="7">
        <f>'26-TaxRates'!D7</f>
        <v>0.21</v>
      </c>
    </row>
    <row r="103" spans="1:11" ht="13">
      <c r="A103" s="2">
        <f>A102+1</f>
        <v>58</v>
      </c>
      <c r="B103" s="251" t="s">
        <v>177</v>
      </c>
      <c r="I103" t="str">
        <f>"26-Tax Rates, Line "&amp;'26-TaxRates'!A14&amp;""</f>
        <v>26-Tax Rates, Line 8</v>
      </c>
      <c r="K103" s="7">
        <f>'26-TaxRates'!D14</f>
        <v>8.8400000000000006E-2</v>
      </c>
    </row>
    <row r="104" spans="1:11" ht="13">
      <c r="A104" s="2">
        <f>A103+1</f>
        <v>59</v>
      </c>
      <c r="B104" s="251" t="s">
        <v>178</v>
      </c>
      <c r="H104" s="31" t="s">
        <v>179</v>
      </c>
      <c r="I104" s="251" t="str">
        <f>"(L"&amp;A102&amp;" + L"&amp;A103&amp;") - (L"&amp;A102&amp;" * L"&amp;A103&amp;")"</f>
        <v>(L57 + L58) - (L57 * L58)</v>
      </c>
      <c r="K104" s="7">
        <f>(K102+K103)-(K102*K103)</f>
        <v>0.27983599999999997</v>
      </c>
    </row>
    <row r="105" spans="1:11" ht="13">
      <c r="A105" s="2"/>
      <c r="K105" s="7"/>
    </row>
    <row r="106" spans="1:11" ht="13">
      <c r="A106" s="2"/>
      <c r="B106" s="28" t="s">
        <v>180</v>
      </c>
      <c r="K106" s="7"/>
    </row>
    <row r="107" spans="1:11" ht="13">
      <c r="A107" s="2">
        <f>A104+1</f>
        <v>60</v>
      </c>
      <c r="B107" s="295" t="s">
        <v>181</v>
      </c>
      <c r="H107" s="251"/>
      <c r="I107" s="249" t="s">
        <v>182</v>
      </c>
      <c r="K107" s="6">
        <f>-'9-ADIT-2'!I49</f>
        <v>-17938112.995571591</v>
      </c>
    </row>
    <row r="108" spans="1:11" ht="13">
      <c r="A108" s="2">
        <f>A107+1</f>
        <v>61</v>
      </c>
      <c r="B108" s="295" t="s">
        <v>183</v>
      </c>
      <c r="H108" s="251" t="s">
        <v>184</v>
      </c>
      <c r="K108" s="60">
        <v>0</v>
      </c>
    </row>
    <row r="109" spans="1:11" ht="13">
      <c r="A109" s="2">
        <f t="shared" ref="A109:A110" si="3">A108+1</f>
        <v>62</v>
      </c>
      <c r="B109" s="295" t="s">
        <v>185</v>
      </c>
      <c r="H109" s="251" t="s">
        <v>184</v>
      </c>
      <c r="K109" s="53">
        <v>2606000</v>
      </c>
    </row>
    <row r="110" spans="1:11" ht="13">
      <c r="A110" s="2">
        <f t="shared" si="3"/>
        <v>63</v>
      </c>
      <c r="B110" s="250" t="s">
        <v>186</v>
      </c>
      <c r="I110" s="251" t="str">
        <f>"Line "&amp;A107&amp;" + Line "&amp;A108&amp;"+ Line "&amp;A109&amp;""</f>
        <v>Line 60 + Line 61+ Line 62</v>
      </c>
      <c r="K110" s="6">
        <f>SUM(K107:K109)</f>
        <v>-15332112.995571591</v>
      </c>
    </row>
    <row r="111" spans="1:11" ht="13">
      <c r="A111" s="643"/>
    </row>
    <row r="112" spans="1:11" ht="13">
      <c r="A112" s="2">
        <f>A110+1</f>
        <v>64</v>
      </c>
      <c r="B112" s="251" t="s">
        <v>187</v>
      </c>
      <c r="I112" t="str">
        <f>"Formula on Line "&amp;A114&amp;""</f>
        <v>Formula on Line 65</v>
      </c>
      <c r="K112" s="6">
        <f>(((K34*K95) + K121)*(K104/(1-K104)))+(K110/(1-K104))</f>
        <v>126607130.81707942</v>
      </c>
    </row>
    <row r="113" spans="1:11" ht="13">
      <c r="A113" s="2"/>
    </row>
    <row r="114" spans="1:11" ht="13">
      <c r="A114" s="2">
        <f>A112+1</f>
        <v>65</v>
      </c>
      <c r="B114" s="251" t="s">
        <v>188</v>
      </c>
      <c r="C114" s="251"/>
      <c r="D114" s="251"/>
      <c r="E114" s="251"/>
      <c r="F114" s="251"/>
      <c r="G114" s="251"/>
    </row>
    <row r="115" spans="1:11">
      <c r="A115" s="37"/>
      <c r="I115" s="251"/>
    </row>
    <row r="116" spans="1:11">
      <c r="A116" s="37"/>
      <c r="C116" t="s">
        <v>189</v>
      </c>
    </row>
    <row r="117" spans="1:11">
      <c r="A117" s="37"/>
      <c r="C117" s="12" t="s">
        <v>190</v>
      </c>
      <c r="I117" s="251" t="str">
        <f>"Line "&amp;A34&amp;""</f>
        <v>Line 18</v>
      </c>
    </row>
    <row r="118" spans="1:11">
      <c r="A118" s="37"/>
      <c r="C118" s="250" t="s">
        <v>191</v>
      </c>
      <c r="I118" s="251" t="str">
        <f>"Line "&amp;A95&amp;""</f>
        <v>Line 55</v>
      </c>
    </row>
    <row r="119" spans="1:11">
      <c r="A119" s="37"/>
      <c r="C119" s="12" t="s">
        <v>192</v>
      </c>
      <c r="I119" s="251" t="str">
        <f>"Line "&amp;A104&amp;""</f>
        <v>Line 59</v>
      </c>
    </row>
    <row r="120" spans="1:11">
      <c r="A120" s="37"/>
      <c r="C120" s="12" t="s">
        <v>193</v>
      </c>
      <c r="I120" s="251" t="str">
        <f>"Line "&amp;A110&amp;""</f>
        <v>Line 63</v>
      </c>
    </row>
    <row r="121" spans="1:11">
      <c r="A121" s="37"/>
      <c r="C121" s="250" t="s">
        <v>194</v>
      </c>
      <c r="H121" s="249" t="s">
        <v>195</v>
      </c>
      <c r="I121" s="258" t="s">
        <v>196</v>
      </c>
      <c r="K121" s="271">
        <v>2556084</v>
      </c>
    </row>
    <row r="122" spans="1:11">
      <c r="H122" s="25"/>
    </row>
    <row r="123" spans="1:11" ht="13">
      <c r="A123" s="712" t="s">
        <v>197</v>
      </c>
      <c r="B123" s="10"/>
      <c r="C123" s="10"/>
      <c r="D123" s="10"/>
      <c r="E123" s="10"/>
      <c r="F123" s="10"/>
      <c r="G123" s="10"/>
      <c r="H123" s="8"/>
      <c r="I123" s="8"/>
      <c r="J123" s="8"/>
      <c r="K123" s="8"/>
    </row>
    <row r="125" spans="1:11">
      <c r="B125" s="28" t="s">
        <v>198</v>
      </c>
    </row>
    <row r="126" spans="1:11" ht="13">
      <c r="A126" s="2">
        <f>A114+1</f>
        <v>66</v>
      </c>
      <c r="B126" t="s">
        <v>199</v>
      </c>
      <c r="H126" s="12"/>
      <c r="I126" t="str">
        <f>"19-OandM, Line "&amp;'19-OandM'!A124&amp;", Col. 6"</f>
        <v>19-OandM, Line 91, Col. 6</v>
      </c>
      <c r="K126" s="6">
        <f>'19-OandM'!G124</f>
        <v>99507852.091650277</v>
      </c>
    </row>
    <row r="127" spans="1:11" ht="13">
      <c r="A127" s="2">
        <f t="shared" ref="A127:A142" si="4">A126+1</f>
        <v>67</v>
      </c>
      <c r="B127" s="251" t="s">
        <v>200</v>
      </c>
      <c r="H127" s="12"/>
      <c r="I127" t="str">
        <f>"20-AandG, Line "&amp;'20-AandG'!A30&amp;""</f>
        <v>20-AandG, Line 23</v>
      </c>
      <c r="K127" s="6">
        <f>'20-AandG'!F30</f>
        <v>141160521.59487161</v>
      </c>
    </row>
    <row r="128" spans="1:11" ht="13">
      <c r="A128" s="2">
        <f t="shared" si="4"/>
        <v>68</v>
      </c>
      <c r="B128" t="s">
        <v>201</v>
      </c>
      <c r="H128" s="12"/>
      <c r="I128" s="251" t="str">
        <f>"22-NUCs, Line "&amp;'22-NUCs'!A17&amp;""</f>
        <v>22-NUCs, Line 8</v>
      </c>
      <c r="K128" s="6">
        <f>'22-NUCs'!E17</f>
        <v>1565253.42</v>
      </c>
    </row>
    <row r="129" spans="1:11" ht="13">
      <c r="A129" s="2">
        <f t="shared" si="4"/>
        <v>69</v>
      </c>
      <c r="B129" s="251" t="s">
        <v>202</v>
      </c>
      <c r="H129" s="12"/>
      <c r="I129" t="str">
        <f>"17-Depreciation, Line "&amp;'17-Depreciation'!A94&amp;""</f>
        <v>17-Depreciation, Line 70</v>
      </c>
      <c r="K129" s="6">
        <f>'17-Depreciation'!F94</f>
        <v>295867458.50317699</v>
      </c>
    </row>
    <row r="130" spans="1:11" ht="13">
      <c r="A130" s="2">
        <f t="shared" si="4"/>
        <v>70</v>
      </c>
      <c r="B130" s="251" t="s">
        <v>203</v>
      </c>
      <c r="H130" s="12"/>
      <c r="I130" t="str">
        <f>"12-AbandonedPlant, Line "&amp;'12-AbandonedPlant'!A18&amp;""</f>
        <v>12-AbandonedPlant, Line 1</v>
      </c>
      <c r="K130" s="6">
        <f>'12-AbandonedPlant'!G18</f>
        <v>0</v>
      </c>
    </row>
    <row r="131" spans="1:11" ht="13">
      <c r="A131" s="2">
        <f t="shared" si="4"/>
        <v>71</v>
      </c>
      <c r="B131" s="251" t="s">
        <v>143</v>
      </c>
      <c r="H131" s="12"/>
      <c r="I131" t="str">
        <f>"Line "&amp;A58&amp;""</f>
        <v>Line 36</v>
      </c>
      <c r="K131" s="6">
        <f>K58</f>
        <v>75917125.973308787</v>
      </c>
    </row>
    <row r="132" spans="1:11" ht="13">
      <c r="A132" s="2">
        <f t="shared" si="4"/>
        <v>72</v>
      </c>
      <c r="B132" t="s">
        <v>204</v>
      </c>
      <c r="H132" s="250" t="s">
        <v>115</v>
      </c>
      <c r="I132" t="str">
        <f>"21-Revenue Credits, Line "&amp;'21-RevenueCredits'!A267&amp;""</f>
        <v>21-Revenue Credits, Line 44</v>
      </c>
      <c r="K132" s="6">
        <f>-'21-RevenueCredits'!E267</f>
        <v>-51757940.573729523</v>
      </c>
    </row>
    <row r="133" spans="1:11" ht="13">
      <c r="A133" s="2">
        <f t="shared" si="4"/>
        <v>73</v>
      </c>
      <c r="B133" t="s">
        <v>205</v>
      </c>
      <c r="H133" s="12"/>
      <c r="I133" t="str">
        <f>"Line "&amp;A97&amp;""</f>
        <v>Line 56</v>
      </c>
      <c r="K133" s="6">
        <f>K97</f>
        <v>517324597.05813366</v>
      </c>
    </row>
    <row r="134" spans="1:11" ht="13">
      <c r="A134" s="2">
        <f t="shared" si="4"/>
        <v>74</v>
      </c>
      <c r="B134" t="s">
        <v>206</v>
      </c>
      <c r="H134" s="12"/>
      <c r="I134" t="str">
        <f>"Line "&amp;A112&amp;""</f>
        <v>Line 64</v>
      </c>
      <c r="K134" s="253">
        <f>K112</f>
        <v>126607130.81707942</v>
      </c>
    </row>
    <row r="135" spans="1:11" ht="13">
      <c r="A135" s="2">
        <f t="shared" si="4"/>
        <v>75</v>
      </c>
      <c r="B135" t="s">
        <v>207</v>
      </c>
      <c r="H135" s="250" t="s">
        <v>208</v>
      </c>
      <c r="I135" s="251" t="str">
        <f>"11-PHFU, Line "&amp;'11-PHFU'!A47&amp;""</f>
        <v>11-PHFU, Line 10</v>
      </c>
      <c r="K135" s="253">
        <f>-'11-PHFU'!E47</f>
        <v>0</v>
      </c>
    </row>
    <row r="136" spans="1:11" ht="13">
      <c r="A136" s="2">
        <f t="shared" si="4"/>
        <v>76</v>
      </c>
      <c r="B136" s="308" t="s">
        <v>209</v>
      </c>
      <c r="C136" s="308"/>
      <c r="H136" s="12"/>
      <c r="I136" s="251" t="str">
        <f>"23-RegAssets, Line "&amp;'23-RegAssets'!A19&amp;""</f>
        <v>23-RegAssets, Line 16</v>
      </c>
      <c r="K136" s="253">
        <f>'23-RegAssets'!E19</f>
        <v>0</v>
      </c>
    </row>
    <row r="137" spans="1:11" ht="13">
      <c r="A137" s="2">
        <f t="shared" si="4"/>
        <v>77</v>
      </c>
      <c r="B137" s="251" t="s">
        <v>210</v>
      </c>
      <c r="H137" s="12"/>
      <c r="I137" t="str">
        <f>"15-IncentiveAdder, Line "&amp;'15-IncentiveAdder'!A44&amp;""</f>
        <v>15-IncentiveAdder, Line 14</v>
      </c>
      <c r="K137" s="253">
        <f>'15-IncentiveAdder'!G44</f>
        <v>24832326.723923631</v>
      </c>
    </row>
    <row r="138" spans="1:11" ht="13">
      <c r="A138" s="2" t="s">
        <v>211</v>
      </c>
      <c r="B138" s="251" t="s">
        <v>212</v>
      </c>
      <c r="H138" s="250" t="s">
        <v>213</v>
      </c>
      <c r="I138" s="251" t="s">
        <v>214</v>
      </c>
      <c r="K138" s="53">
        <f>-K137</f>
        <v>-24832326.723923631</v>
      </c>
    </row>
    <row r="139" spans="1:11" ht="13">
      <c r="A139" s="2">
        <f>A137+1</f>
        <v>78</v>
      </c>
      <c r="B139" s="251" t="s">
        <v>215</v>
      </c>
      <c r="H139" s="12"/>
      <c r="I139" t="str">
        <f>"Sum of Lines "&amp;A126&amp;" to "&amp;A138&amp;""</f>
        <v>Sum of Lines 66 to 77a</v>
      </c>
      <c r="K139" s="6">
        <f>SUM(K126:K138)</f>
        <v>1206191998.8844914</v>
      </c>
    </row>
    <row r="140" spans="1:11" ht="13">
      <c r="A140" s="643"/>
      <c r="B140" s="251"/>
      <c r="H140" s="12"/>
      <c r="K140" s="6"/>
    </row>
    <row r="141" spans="1:11" ht="13">
      <c r="A141" s="2">
        <f>A139+1</f>
        <v>79</v>
      </c>
      <c r="B141" s="251" t="s">
        <v>216</v>
      </c>
      <c r="I141" t="str">
        <f>"L "&amp;A139&amp;" * FF Factor (28-FFU, L "&amp;'28-FFU'!A22&amp;")"</f>
        <v>L 78 * FF Factor (28-FFU, L 5)</v>
      </c>
      <c r="K141" s="6">
        <f>'28-FFU'!D22*K139</f>
        <v>11295483.444043845</v>
      </c>
    </row>
    <row r="142" spans="1:11" ht="13">
      <c r="A142" s="2">
        <f t="shared" si="4"/>
        <v>80</v>
      </c>
      <c r="B142" s="251" t="s">
        <v>217</v>
      </c>
      <c r="I142" t="str">
        <f>"L "&amp;A139&amp;" * U Factor (28-FFU, L "&amp;'28-FFU'!A22&amp;")"</f>
        <v>L 78 * U Factor (28-FFU, L 5)</v>
      </c>
      <c r="K142" s="6">
        <f>'28-FFU'!E22*K139</f>
        <v>12025320.824247735</v>
      </c>
    </row>
    <row r="143" spans="1:11" ht="13">
      <c r="A143" s="2"/>
      <c r="B143" s="251"/>
      <c r="K143" s="6"/>
    </row>
    <row r="144" spans="1:11" ht="13">
      <c r="A144" s="2">
        <f>A142+1</f>
        <v>81</v>
      </c>
      <c r="B144" s="251" t="s">
        <v>80</v>
      </c>
      <c r="I144" t="str">
        <f>"Line "&amp;A139&amp;" + Line "&amp;A141&amp;"+ Line "&amp;A142&amp;""</f>
        <v>Line 78 + Line 79+ Line 80</v>
      </c>
      <c r="K144" s="6">
        <f>K139+K141+K142</f>
        <v>1229512803.1527832</v>
      </c>
    </row>
    <row r="146" spans="1:12" ht="13">
      <c r="A146" s="9" t="s">
        <v>218</v>
      </c>
      <c r="B146" s="10"/>
      <c r="C146" s="10"/>
      <c r="D146" s="10"/>
      <c r="E146" s="10"/>
      <c r="F146" s="10"/>
      <c r="G146" s="10"/>
      <c r="H146" s="8"/>
      <c r="I146" s="8"/>
      <c r="J146" s="8"/>
      <c r="K146" s="8"/>
    </row>
    <row r="148" spans="1:12">
      <c r="B148" s="28" t="s">
        <v>219</v>
      </c>
    </row>
    <row r="149" spans="1:12" ht="13">
      <c r="A149" s="2">
        <f>A144+1</f>
        <v>82</v>
      </c>
      <c r="B149" t="s">
        <v>80</v>
      </c>
      <c r="I149" t="str">
        <f>"Line "&amp;A144&amp;""</f>
        <v>Line 81</v>
      </c>
      <c r="K149" s="6">
        <f>K144</f>
        <v>1229512803.1527832</v>
      </c>
    </row>
    <row r="150" spans="1:12" ht="13">
      <c r="A150" s="2">
        <f>A149+1</f>
        <v>83</v>
      </c>
      <c r="B150" t="s">
        <v>81</v>
      </c>
      <c r="I150" s="251" t="str">
        <f>"2-IFPTRR, Line "&amp;'2-IFPTRR'!A91&amp;""</f>
        <v>2-IFPTRR, Line 82</v>
      </c>
      <c r="K150" s="6">
        <f>'2-IFPTRR'!D91</f>
        <v>97701592.286312163</v>
      </c>
    </row>
    <row r="151" spans="1:12" ht="13">
      <c r="A151" s="2">
        <f>A150+1</f>
        <v>84</v>
      </c>
      <c r="B151" s="251" t="s">
        <v>220</v>
      </c>
      <c r="H151" s="251"/>
      <c r="I151" s="251" t="str">
        <f>"3-TrueUpAdjust, Line "&amp;'3-TrueUpAdjust'!A44&amp;""</f>
        <v>3-TrueUpAdjust, Line 30</v>
      </c>
      <c r="K151" s="253">
        <f>'3-TrueUpAdjust'!E44</f>
        <v>51223813.92398636</v>
      </c>
      <c r="L151" s="57"/>
    </row>
    <row r="152" spans="1:12" ht="13">
      <c r="A152" s="2" t="s">
        <v>221</v>
      </c>
      <c r="B152" s="251" t="s">
        <v>83</v>
      </c>
      <c r="C152" s="251"/>
      <c r="D152" s="251"/>
      <c r="E152" s="251"/>
      <c r="F152" s="622"/>
      <c r="G152" s="622"/>
      <c r="I152" s="249" t="str">
        <f>"Negative of 35-Other Formula Revenue, L "&amp;'35-Other Formula Revenue'!A113&amp;""</f>
        <v>Negative of 35-Other Formula Revenue, L 80</v>
      </c>
      <c r="J152" s="622"/>
      <c r="K152" s="253">
        <f>-'35-Other Formula Revenue'!D113</f>
        <v>0</v>
      </c>
      <c r="L152" s="927"/>
    </row>
    <row r="153" spans="1:12" ht="13">
      <c r="A153" s="2">
        <f>A151+1</f>
        <v>85</v>
      </c>
      <c r="B153" s="251" t="s">
        <v>84</v>
      </c>
      <c r="H153" s="251" t="s">
        <v>222</v>
      </c>
      <c r="K153" s="211">
        <v>-62376994.606312498</v>
      </c>
    </row>
    <row r="154" spans="1:12" ht="13">
      <c r="A154" s="2"/>
      <c r="K154" s="6"/>
    </row>
    <row r="155" spans="1:12" ht="13">
      <c r="A155" s="2">
        <f>A153+1</f>
        <v>86</v>
      </c>
      <c r="B155" s="251" t="s">
        <v>223</v>
      </c>
      <c r="H155" s="251" t="s">
        <v>224</v>
      </c>
      <c r="I155" s="251" t="str">
        <f>"L "&amp;A149&amp;" + L "&amp;A150&amp;" + L "&amp;A151&amp;"+ L "&amp;A152&amp;" + L "&amp;A153&amp;""</f>
        <v>L 82 + L 83 + L 84+ L 84a + L 85</v>
      </c>
      <c r="K155" s="253">
        <f>K149+K150+K151+K152+K153</f>
        <v>1316061214.7567692</v>
      </c>
      <c r="L155" s="6"/>
    </row>
    <row r="156" spans="1:12" ht="13">
      <c r="A156" s="2"/>
      <c r="K156" s="6"/>
    </row>
    <row r="157" spans="1:12" ht="13">
      <c r="A157" s="2"/>
      <c r="B157" s="28" t="s">
        <v>225</v>
      </c>
      <c r="K157" s="6"/>
    </row>
    <row r="158" spans="1:12" ht="13">
      <c r="A158" s="2">
        <f>A155+1</f>
        <v>87</v>
      </c>
      <c r="B158" t="s">
        <v>226</v>
      </c>
      <c r="I158" t="str">
        <f>"Line "&amp;A155&amp;""</f>
        <v>Line 86</v>
      </c>
      <c r="K158" s="6">
        <f>K155</f>
        <v>1316061214.7567692</v>
      </c>
    </row>
    <row r="159" spans="1:12" ht="13">
      <c r="A159" s="2">
        <f>A158+1</f>
        <v>88</v>
      </c>
      <c r="B159" t="s">
        <v>227</v>
      </c>
      <c r="I159" s="251" t="str">
        <f>"25-WholesaleDifference, Line "&amp;'25-WholesaleDifference'!A93&amp;""</f>
        <v>25-WholesaleDifference, Line 45</v>
      </c>
      <c r="K159" s="53">
        <f>'25-WholesaleDifference'!H93</f>
        <v>-15060851.926874448</v>
      </c>
    </row>
    <row r="160" spans="1:12" ht="13">
      <c r="A160" s="2">
        <f>A159+1</f>
        <v>89</v>
      </c>
      <c r="B160" t="s">
        <v>225</v>
      </c>
      <c r="I160" t="str">
        <f>"Line "&amp;A158&amp;" + Line "&amp;A159&amp;""</f>
        <v>Line 87 + Line 88</v>
      </c>
      <c r="K160" s="6">
        <f>K158+K159</f>
        <v>1301000362.8298948</v>
      </c>
    </row>
    <row r="161" spans="2:11">
      <c r="H161" s="251"/>
    </row>
    <row r="162" spans="2:11" ht="13">
      <c r="B162" s="30" t="s">
        <v>228</v>
      </c>
    </row>
    <row r="163" spans="2:11">
      <c r="B163" s="251" t="s">
        <v>229</v>
      </c>
    </row>
    <row r="164" spans="2:11">
      <c r="B164" s="250" t="s">
        <v>230</v>
      </c>
    </row>
    <row r="165" spans="2:11">
      <c r="B165" s="251" t="s">
        <v>231</v>
      </c>
    </row>
    <row r="166" spans="2:11">
      <c r="B166" s="251" t="s">
        <v>232</v>
      </c>
    </row>
    <row r="167" spans="2:11">
      <c r="B167" s="251" t="s">
        <v>233</v>
      </c>
    </row>
    <row r="168" spans="2:11">
      <c r="B168" s="251"/>
      <c r="C168" t="s">
        <v>234</v>
      </c>
      <c r="F168" s="258" t="s">
        <v>235</v>
      </c>
      <c r="G168" s="55"/>
      <c r="H168" s="55"/>
      <c r="I168" s="55"/>
    </row>
    <row r="169" spans="2:11">
      <c r="B169" s="251" t="s">
        <v>236</v>
      </c>
      <c r="C169" s="251"/>
      <c r="D169" s="251"/>
      <c r="E169" s="251"/>
      <c r="F169" s="251"/>
      <c r="G169" s="251"/>
      <c r="H169" s="251"/>
    </row>
    <row r="170" spans="2:11">
      <c r="B170" s="250" t="s">
        <v>237</v>
      </c>
    </row>
    <row r="171" spans="2:11">
      <c r="B171" s="250" t="s">
        <v>238</v>
      </c>
    </row>
    <row r="172" spans="2:11">
      <c r="B172" s="251" t="s">
        <v>239</v>
      </c>
    </row>
    <row r="173" spans="2:11">
      <c r="B173" s="251" t="s">
        <v>240</v>
      </c>
    </row>
    <row r="174" spans="2:11">
      <c r="B174" s="250" t="s">
        <v>241</v>
      </c>
    </row>
    <row r="175" spans="2:11">
      <c r="B175" s="1047" t="s">
        <v>242</v>
      </c>
      <c r="C175" s="251"/>
      <c r="D175" s="251"/>
      <c r="E175" s="251"/>
      <c r="F175" s="251"/>
      <c r="G175" s="251"/>
      <c r="H175" s="251"/>
      <c r="I175" s="251"/>
      <c r="J175" s="251"/>
      <c r="K175" s="251"/>
    </row>
    <row r="176" spans="2:11">
      <c r="B176" s="921"/>
    </row>
    <row r="177" spans="2:11" ht="13">
      <c r="B177" s="1047"/>
      <c r="C177" s="251"/>
      <c r="D177" s="251"/>
      <c r="E177" s="251"/>
      <c r="F177" s="2" t="s">
        <v>243</v>
      </c>
      <c r="G177" s="2" t="s">
        <v>244</v>
      </c>
      <c r="H177" s="251"/>
      <c r="I177" s="251"/>
      <c r="J177" s="251"/>
      <c r="K177" s="251"/>
    </row>
    <row r="178" spans="2:11" ht="13">
      <c r="B178" s="251"/>
      <c r="C178" s="251"/>
      <c r="D178" s="251"/>
      <c r="E178" s="251"/>
      <c r="F178" s="2" t="s">
        <v>245</v>
      </c>
      <c r="G178" s="2" t="s">
        <v>246</v>
      </c>
      <c r="H178" s="251"/>
      <c r="I178" s="251"/>
      <c r="J178" s="251"/>
      <c r="K178" s="251"/>
    </row>
    <row r="179" spans="2:11" ht="13">
      <c r="B179" s="30" t="s">
        <v>247</v>
      </c>
      <c r="C179" s="30"/>
      <c r="D179" s="30"/>
      <c r="E179" s="30"/>
      <c r="F179" s="3" t="s">
        <v>248</v>
      </c>
      <c r="G179" s="3" t="s">
        <v>79</v>
      </c>
      <c r="H179" s="3" t="s">
        <v>249</v>
      </c>
      <c r="I179" s="30" t="s">
        <v>250</v>
      </c>
      <c r="J179" s="251"/>
      <c r="K179" s="3" t="s">
        <v>251</v>
      </c>
    </row>
    <row r="180" spans="2:11">
      <c r="B180" s="1047" t="s">
        <v>252</v>
      </c>
      <c r="C180" s="258" t="s">
        <v>2958</v>
      </c>
      <c r="D180" s="258"/>
      <c r="E180" s="258"/>
      <c r="F180" s="253">
        <v>0</v>
      </c>
      <c r="G180" s="271">
        <f>5364435+0+2546644+267654465+115227804+0+296270+1307013+0</f>
        <v>392396631</v>
      </c>
      <c r="H180" s="1011">
        <f>SUM(F180:G180)</f>
        <v>392396631</v>
      </c>
      <c r="I180" s="251" t="s">
        <v>125</v>
      </c>
      <c r="J180" s="251"/>
      <c r="K180" s="251" t="s">
        <v>253</v>
      </c>
    </row>
    <row r="181" spans="2:11">
      <c r="B181" s="1047" t="s">
        <v>254</v>
      </c>
      <c r="C181" s="258" t="s">
        <v>2952</v>
      </c>
      <c r="D181" s="258"/>
      <c r="E181" s="258"/>
      <c r="F181" s="253">
        <f>'35-Other Formula Revenue'!G84</f>
        <v>0</v>
      </c>
      <c r="G181" s="559">
        <v>125987240</v>
      </c>
      <c r="H181" s="1011">
        <f>SUM(F181:G181)</f>
        <v>125987240</v>
      </c>
      <c r="I181" s="1047" t="s">
        <v>132</v>
      </c>
      <c r="J181" s="251"/>
      <c r="K181" s="251" t="s">
        <v>255</v>
      </c>
    </row>
    <row r="182" spans="2:11">
      <c r="B182" s="1047" t="s">
        <v>256</v>
      </c>
      <c r="C182" s="258" t="s">
        <v>2951</v>
      </c>
      <c r="D182" s="258"/>
      <c r="E182" s="258"/>
      <c r="F182" s="253">
        <f>'35-Other Formula Revenue'!G85</f>
        <v>0</v>
      </c>
      <c r="G182" s="559">
        <v>3055294</v>
      </c>
      <c r="H182" s="1011">
        <f t="shared" ref="H182:H187" si="5">SUM(F182:G182)</f>
        <v>3055294</v>
      </c>
      <c r="I182" s="1047" t="s">
        <v>133</v>
      </c>
      <c r="J182" s="251"/>
      <c r="K182" s="251" t="s">
        <v>257</v>
      </c>
    </row>
    <row r="183" spans="2:11">
      <c r="B183" s="1047" t="s">
        <v>258</v>
      </c>
      <c r="C183" s="258" t="s">
        <v>2953</v>
      </c>
      <c r="D183" s="258"/>
      <c r="E183" s="258"/>
      <c r="F183" s="253">
        <f>'35-Other Formula Revenue'!G86</f>
        <v>0</v>
      </c>
      <c r="G183" s="559">
        <v>-83373</v>
      </c>
      <c r="H183" s="1011">
        <f t="shared" si="5"/>
        <v>-83373</v>
      </c>
      <c r="I183" s="1047" t="s">
        <v>134</v>
      </c>
      <c r="J183" s="251"/>
      <c r="K183" s="251" t="s">
        <v>259</v>
      </c>
    </row>
    <row r="184" spans="2:11">
      <c r="B184" s="1047" t="s">
        <v>260</v>
      </c>
      <c r="C184" s="258" t="s">
        <v>2954</v>
      </c>
      <c r="D184" s="258"/>
      <c r="E184" s="258"/>
      <c r="F184" s="253">
        <f>'35-Other Formula Revenue'!G87</f>
        <v>0</v>
      </c>
      <c r="G184" s="559">
        <v>4531472</v>
      </c>
      <c r="H184" s="1011">
        <f t="shared" si="5"/>
        <v>4531472</v>
      </c>
      <c r="I184" s="1047" t="s">
        <v>135</v>
      </c>
      <c r="J184" s="251"/>
      <c r="K184" s="251" t="s">
        <v>261</v>
      </c>
    </row>
    <row r="185" spans="2:11">
      <c r="B185" s="1047" t="s">
        <v>262</v>
      </c>
      <c r="C185" s="258" t="s">
        <v>2955</v>
      </c>
      <c r="D185" s="258"/>
      <c r="E185" s="258"/>
      <c r="F185" s="253">
        <f>'35-Other Formula Revenue'!G88</f>
        <v>0</v>
      </c>
      <c r="G185" s="559">
        <v>592869</v>
      </c>
      <c r="H185" s="1011">
        <f t="shared" si="5"/>
        <v>592869</v>
      </c>
      <c r="I185" s="1047" t="s">
        <v>136</v>
      </c>
      <c r="J185" s="251"/>
      <c r="K185" s="251" t="s">
        <v>263</v>
      </c>
    </row>
    <row r="186" spans="2:11">
      <c r="B186" s="1047" t="s">
        <v>264</v>
      </c>
      <c r="C186" s="258" t="s">
        <v>2956</v>
      </c>
      <c r="D186" s="258"/>
      <c r="E186" s="258"/>
      <c r="F186" s="253">
        <f>'35-Other Formula Revenue'!G89</f>
        <v>0</v>
      </c>
      <c r="G186" s="559">
        <v>2463217</v>
      </c>
      <c r="H186" s="1011">
        <f t="shared" si="5"/>
        <v>2463217</v>
      </c>
      <c r="I186" s="1047" t="s">
        <v>137</v>
      </c>
      <c r="J186" s="251"/>
      <c r="K186" s="251" t="s">
        <v>265</v>
      </c>
    </row>
    <row r="187" spans="2:11">
      <c r="B187" s="1047" t="s">
        <v>266</v>
      </c>
      <c r="C187" s="258" t="s">
        <v>2957</v>
      </c>
      <c r="D187" s="258"/>
      <c r="E187" s="258"/>
      <c r="F187" s="253">
        <f>'35-Other Formula Revenue'!G90</f>
        <v>0</v>
      </c>
      <c r="G187" s="559">
        <v>27202</v>
      </c>
      <c r="H187" s="1011">
        <f t="shared" si="5"/>
        <v>27202</v>
      </c>
      <c r="I187" s="1047" t="s">
        <v>138</v>
      </c>
      <c r="J187" s="251"/>
      <c r="K187" s="251" t="s">
        <v>267</v>
      </c>
    </row>
    <row r="188" spans="2:11">
      <c r="K188" s="251"/>
    </row>
    <row r="191" spans="2:11">
      <c r="B191" s="251"/>
    </row>
    <row r="192" spans="2:11">
      <c r="B192" s="250"/>
    </row>
    <row r="193" spans="2:2">
      <c r="B193" s="250"/>
    </row>
    <row r="194" spans="2:2">
      <c r="B194" s="250"/>
    </row>
    <row r="195" spans="2:2">
      <c r="B195" s="250"/>
    </row>
    <row r="196" spans="2:2">
      <c r="B196" s="250"/>
    </row>
    <row r="197" spans="2:2">
      <c r="B197" s="250"/>
    </row>
    <row r="198" spans="2:2">
      <c r="B198" s="250"/>
    </row>
  </sheetData>
  <phoneticPr fontId="23" type="noConversion"/>
  <pageMargins left="0.75" right="0.75" top="1" bottom="1" header="0.5" footer="0.5"/>
  <pageSetup scale="63" orientation="portrait" cellComments="asDisplayed" r:id="rId1"/>
  <headerFooter alignWithMargins="0">
    <oddHeader>&amp;CSchedule 1
Base TRR
&amp;RTO2023 Draft Annual Update 
Attachment 1</oddHeader>
    <oddFooter>&amp;R&amp;A</oddFooter>
  </headerFooter>
  <rowBreaks count="2" manualBreakCount="2">
    <brk id="59" max="16383" man="1"/>
    <brk id="12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view="pageLayout"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14" ht="13">
      <c r="A1" s="307" t="s">
        <v>2862</v>
      </c>
      <c r="B1" s="307"/>
      <c r="C1" s="308"/>
      <c r="D1" s="308"/>
      <c r="G1" s="308"/>
      <c r="H1" s="308"/>
      <c r="I1" s="308"/>
      <c r="J1" s="308"/>
      <c r="K1" s="308"/>
      <c r="L1" s="308"/>
      <c r="M1" s="308"/>
    </row>
    <row r="2" spans="1:14" ht="13">
      <c r="C2" s="39" t="s">
        <v>195</v>
      </c>
      <c r="E2" s="258" t="s">
        <v>2863</v>
      </c>
      <c r="F2" s="55"/>
      <c r="G2" s="55"/>
    </row>
    <row r="3" spans="1:14" ht="13">
      <c r="A3" s="309" t="s">
        <v>273</v>
      </c>
      <c r="B3" s="309"/>
      <c r="C3" s="308"/>
      <c r="D3" s="308"/>
      <c r="E3" s="308"/>
      <c r="F3" s="308"/>
      <c r="G3" s="308"/>
      <c r="H3" s="308"/>
      <c r="I3" s="308"/>
      <c r="J3" s="308"/>
      <c r="K3" s="308"/>
      <c r="L3" s="308"/>
      <c r="M3" s="308"/>
    </row>
    <row r="4" spans="1:14" ht="13">
      <c r="A4" s="310">
        <v>1</v>
      </c>
      <c r="B4" s="310"/>
      <c r="C4" s="308"/>
      <c r="D4" s="308"/>
      <c r="E4" s="308"/>
      <c r="F4" s="308"/>
      <c r="G4" s="308"/>
      <c r="H4" s="308"/>
      <c r="I4" s="308"/>
      <c r="J4" s="308"/>
      <c r="K4" s="308"/>
      <c r="L4" s="308"/>
      <c r="M4" s="308"/>
    </row>
    <row r="5" spans="1:14" ht="13">
      <c r="A5" s="310">
        <v>2</v>
      </c>
      <c r="B5" s="310"/>
      <c r="C5" s="308"/>
      <c r="D5" s="308"/>
      <c r="E5" s="308"/>
      <c r="F5" s="308"/>
      <c r="G5" s="308"/>
      <c r="H5" s="308"/>
      <c r="I5" s="308"/>
      <c r="J5" s="308"/>
      <c r="K5" s="308"/>
      <c r="L5" s="308"/>
      <c r="M5" s="308"/>
    </row>
    <row r="6" spans="1:14" ht="13">
      <c r="A6" s="310">
        <v>3</v>
      </c>
      <c r="B6" s="310"/>
      <c r="C6" s="308"/>
      <c r="D6" s="308"/>
      <c r="E6" s="308"/>
      <c r="F6" s="308"/>
      <c r="G6" s="308"/>
      <c r="H6" s="308"/>
      <c r="I6" s="308"/>
      <c r="J6" s="308"/>
      <c r="K6" s="310" t="s">
        <v>860</v>
      </c>
      <c r="L6" s="308"/>
      <c r="M6" s="308"/>
    </row>
    <row r="7" spans="1:14" ht="13">
      <c r="A7" s="310">
        <v>4</v>
      </c>
      <c r="B7" s="310"/>
      <c r="C7" s="308"/>
      <c r="D7" s="308"/>
      <c r="E7" s="388" t="s">
        <v>251</v>
      </c>
      <c r="F7" s="310"/>
      <c r="G7" s="308"/>
      <c r="H7" s="308"/>
      <c r="I7" s="308"/>
      <c r="J7" s="308"/>
      <c r="K7" s="388" t="s">
        <v>79</v>
      </c>
      <c r="L7" s="308"/>
      <c r="M7" s="312"/>
    </row>
    <row r="8" spans="1:14" ht="13">
      <c r="A8" s="310">
        <v>5</v>
      </c>
      <c r="B8" s="310"/>
      <c r="C8" s="308"/>
      <c r="D8" s="308"/>
      <c r="E8" s="308"/>
      <c r="F8" s="308"/>
      <c r="G8" s="308"/>
      <c r="H8" s="308"/>
      <c r="I8" s="308"/>
      <c r="J8" s="308"/>
      <c r="K8" s="313"/>
      <c r="L8" s="308"/>
      <c r="M8" s="308"/>
    </row>
    <row r="9" spans="1:14" ht="13">
      <c r="A9" s="310">
        <v>6</v>
      </c>
      <c r="B9" s="310"/>
      <c r="C9" s="307" t="s">
        <v>2864</v>
      </c>
      <c r="D9" s="308"/>
      <c r="E9" s="308" t="s">
        <v>2865</v>
      </c>
      <c r="F9" s="308"/>
      <c r="G9" s="308"/>
      <c r="H9" s="308"/>
      <c r="I9" s="308"/>
      <c r="J9" s="308"/>
      <c r="K9" s="313">
        <f>I20</f>
        <v>-111133567.25360285</v>
      </c>
      <c r="L9" s="308"/>
      <c r="M9" s="308"/>
      <c r="N9" s="389"/>
    </row>
    <row r="10" spans="1:14" ht="13.5" thickBot="1">
      <c r="A10" s="310">
        <v>7</v>
      </c>
      <c r="B10" s="310"/>
      <c r="C10" s="307" t="s">
        <v>2866</v>
      </c>
      <c r="D10" s="309"/>
      <c r="E10" s="308" t="s">
        <v>2867</v>
      </c>
      <c r="F10" s="308"/>
      <c r="G10" s="308"/>
      <c r="H10" s="308"/>
      <c r="I10" s="308"/>
      <c r="J10" s="308"/>
      <c r="K10" s="390">
        <f>+K20</f>
        <v>-176736728.09715599</v>
      </c>
      <c r="L10" s="308"/>
      <c r="M10" s="308"/>
    </row>
    <row r="11" spans="1:14" ht="13.5" thickTop="1">
      <c r="A11" s="310">
        <v>8</v>
      </c>
      <c r="B11" s="310"/>
      <c r="C11" s="308"/>
      <c r="D11" s="308"/>
      <c r="E11" s="308"/>
      <c r="F11" s="308"/>
      <c r="G11" s="308"/>
      <c r="H11" s="308"/>
      <c r="I11" s="308"/>
      <c r="J11" s="308"/>
      <c r="K11" s="313"/>
      <c r="L11" s="308"/>
      <c r="M11" s="308"/>
    </row>
    <row r="12" spans="1:14" ht="13">
      <c r="A12" s="310">
        <v>9</v>
      </c>
      <c r="B12" s="310"/>
      <c r="C12" s="308"/>
      <c r="D12" s="308"/>
      <c r="E12" s="308"/>
      <c r="F12" s="308"/>
      <c r="G12" s="391" t="s">
        <v>336</v>
      </c>
      <c r="H12" s="391"/>
      <c r="I12" s="391" t="s">
        <v>337</v>
      </c>
      <c r="J12" s="391"/>
      <c r="K12" s="391" t="s">
        <v>338</v>
      </c>
      <c r="L12" s="308"/>
      <c r="M12" s="308"/>
    </row>
    <row r="13" spans="1:14" ht="13">
      <c r="A13" s="310">
        <v>10</v>
      </c>
      <c r="B13" s="310"/>
      <c r="C13" s="308"/>
      <c r="D13" s="308"/>
      <c r="E13" s="308"/>
      <c r="F13" s="308"/>
      <c r="G13" s="310" t="s">
        <v>860</v>
      </c>
      <c r="H13" s="310"/>
      <c r="I13" s="310" t="s">
        <v>860</v>
      </c>
      <c r="J13" s="310"/>
      <c r="K13" s="310" t="s">
        <v>860</v>
      </c>
      <c r="L13" s="308"/>
      <c r="M13" s="308"/>
    </row>
    <row r="14" spans="1:14" ht="14.5">
      <c r="A14" s="310">
        <v>11</v>
      </c>
      <c r="B14" s="310"/>
      <c r="C14" s="310"/>
      <c r="D14" s="310"/>
      <c r="E14" s="310"/>
      <c r="F14" s="310"/>
      <c r="G14" s="310" t="s">
        <v>797</v>
      </c>
      <c r="H14" s="310"/>
      <c r="I14" s="310" t="s">
        <v>1094</v>
      </c>
      <c r="J14" s="310"/>
      <c r="K14" s="392" t="s">
        <v>799</v>
      </c>
      <c r="L14" s="308"/>
      <c r="M14" s="308"/>
    </row>
    <row r="15" spans="1:14" ht="13">
      <c r="A15" s="310">
        <v>12</v>
      </c>
      <c r="B15" s="310"/>
      <c r="C15" s="310" t="s">
        <v>2343</v>
      </c>
      <c r="D15" s="310"/>
      <c r="E15" s="310"/>
      <c r="F15" s="310"/>
      <c r="G15" s="310" t="s">
        <v>2868</v>
      </c>
      <c r="H15" s="310"/>
      <c r="I15" s="310" t="s">
        <v>2868</v>
      </c>
      <c r="J15" s="310"/>
      <c r="K15" s="310" t="s">
        <v>2868</v>
      </c>
      <c r="L15" s="308"/>
      <c r="M15" s="308"/>
    </row>
    <row r="16" spans="1:14" ht="13">
      <c r="A16" s="310">
        <v>13</v>
      </c>
      <c r="B16" s="310"/>
      <c r="C16" s="311" t="s">
        <v>72</v>
      </c>
      <c r="D16" s="311"/>
      <c r="E16" s="311"/>
      <c r="F16" s="311"/>
      <c r="G16" s="388" t="s">
        <v>2869</v>
      </c>
      <c r="H16" s="310"/>
      <c r="I16" s="388" t="s">
        <v>2869</v>
      </c>
      <c r="J16" s="310"/>
      <c r="K16" s="388" t="s">
        <v>2869</v>
      </c>
      <c r="L16" s="308"/>
      <c r="M16" s="308"/>
    </row>
    <row r="17" spans="1:14" ht="13">
      <c r="A17" s="310">
        <v>14</v>
      </c>
      <c r="B17" s="310"/>
      <c r="C17" s="308" t="s">
        <v>2870</v>
      </c>
      <c r="D17" s="308"/>
      <c r="E17" s="251" t="s">
        <v>2871</v>
      </c>
      <c r="F17" s="251"/>
      <c r="G17" s="313">
        <f>+G27</f>
        <v>-235940968.29967165</v>
      </c>
      <c r="H17" s="313"/>
      <c r="I17" s="313">
        <f>+I27</f>
        <v>-103988427.46010104</v>
      </c>
      <c r="J17" s="313"/>
      <c r="K17" s="313">
        <f>(+G17+I17)/2</f>
        <v>-169964697.87988633</v>
      </c>
      <c r="L17" s="308"/>
      <c r="M17" s="308"/>
      <c r="N17" s="308"/>
    </row>
    <row r="18" spans="1:14" ht="13">
      <c r="A18" s="310">
        <v>15</v>
      </c>
      <c r="B18" s="310"/>
      <c r="C18" s="308" t="s">
        <v>2872</v>
      </c>
      <c r="D18" s="308"/>
      <c r="E18" s="308" t="s">
        <v>2873</v>
      </c>
      <c r="F18" s="308"/>
      <c r="G18" s="313">
        <f>+G32</f>
        <v>-5865018.3283552499</v>
      </c>
      <c r="H18" s="313"/>
      <c r="I18" s="313">
        <f>+I32</f>
        <v>-6608936.6065314086</v>
      </c>
      <c r="J18" s="313"/>
      <c r="K18" s="313">
        <f>(+G18+I18)/2</f>
        <v>-6236977.4674433293</v>
      </c>
      <c r="L18" s="308"/>
      <c r="M18" s="308"/>
      <c r="N18" s="308"/>
    </row>
    <row r="19" spans="1:14" ht="13">
      <c r="A19" s="310">
        <v>16</v>
      </c>
      <c r="B19" s="310"/>
      <c r="C19" s="308" t="s">
        <v>2874</v>
      </c>
      <c r="D19" s="308"/>
      <c r="E19" s="308" t="s">
        <v>2875</v>
      </c>
      <c r="F19" s="308"/>
      <c r="G19" s="1089">
        <f>+G39</f>
        <v>-533902.31268230721</v>
      </c>
      <c r="H19" s="1090"/>
      <c r="I19" s="1089">
        <f>+I39</f>
        <v>-536203.18697040144</v>
      </c>
      <c r="J19" s="393"/>
      <c r="K19" s="313">
        <f>(+G19+I19)/2</f>
        <v>-535052.74982635432</v>
      </c>
      <c r="L19" s="308"/>
      <c r="M19" s="308"/>
    </row>
    <row r="20" spans="1:14" ht="13.5" thickBot="1">
      <c r="A20" s="310">
        <v>17</v>
      </c>
      <c r="B20" s="310"/>
      <c r="C20" s="308" t="s">
        <v>431</v>
      </c>
      <c r="D20" s="308"/>
      <c r="E20" s="308" t="s">
        <v>2876</v>
      </c>
      <c r="F20" s="308"/>
      <c r="G20" s="394">
        <f>+G17+G18+G19</f>
        <v>-242339888.9407092</v>
      </c>
      <c r="H20" s="313"/>
      <c r="I20" s="394">
        <f>+I17+I18+I19</f>
        <v>-111133567.25360285</v>
      </c>
      <c r="J20" s="313"/>
      <c r="K20" s="394">
        <f>+K17+K18+K19</f>
        <v>-176736728.09715599</v>
      </c>
      <c r="L20" s="308"/>
      <c r="M20" s="308"/>
      <c r="N20" s="251" t="s">
        <v>129</v>
      </c>
    </row>
    <row r="21" spans="1:14" ht="13.5" thickTop="1">
      <c r="A21" s="310">
        <v>18</v>
      </c>
      <c r="B21" s="310"/>
      <c r="C21" s="308"/>
      <c r="D21" s="308"/>
      <c r="E21" s="308"/>
      <c r="F21" s="308"/>
      <c r="G21" s="308"/>
      <c r="H21" s="308"/>
      <c r="I21" s="308"/>
      <c r="J21" s="308"/>
      <c r="K21" s="308"/>
      <c r="L21" s="308"/>
      <c r="M21" s="308"/>
    </row>
    <row r="22" spans="1:14" ht="13">
      <c r="A22" s="310">
        <v>19</v>
      </c>
      <c r="B22" s="310"/>
      <c r="C22" s="309" t="s">
        <v>2877</v>
      </c>
      <c r="D22" s="309"/>
      <c r="E22" s="309"/>
      <c r="F22" s="309"/>
      <c r="G22" s="308"/>
      <c r="H22" s="308"/>
      <c r="I22" s="308"/>
      <c r="J22" s="308"/>
      <c r="K22" s="308"/>
      <c r="L22" s="308"/>
      <c r="M22" s="308"/>
    </row>
    <row r="23" spans="1:14" ht="13">
      <c r="A23" s="310">
        <v>20</v>
      </c>
      <c r="B23" s="310"/>
      <c r="K23" s="252" t="s">
        <v>799</v>
      </c>
    </row>
    <row r="24" spans="1:14" ht="13">
      <c r="A24" s="310">
        <v>21</v>
      </c>
      <c r="B24" s="310"/>
      <c r="C24" s="309" t="s">
        <v>1599</v>
      </c>
      <c r="D24" s="309"/>
      <c r="E24" s="309"/>
      <c r="F24" s="309"/>
      <c r="G24" s="208" t="s">
        <v>797</v>
      </c>
      <c r="H24" s="37"/>
      <c r="I24" s="208" t="s">
        <v>1094</v>
      </c>
      <c r="J24" s="37"/>
      <c r="K24" s="395" t="s">
        <v>2878</v>
      </c>
      <c r="M24" s="263" t="s">
        <v>129</v>
      </c>
    </row>
    <row r="25" spans="1:14" ht="13">
      <c r="A25" s="310">
        <v>22</v>
      </c>
      <c r="B25" s="310"/>
      <c r="C25" s="251" t="s">
        <v>2879</v>
      </c>
      <c r="E25" s="308" t="s">
        <v>2880</v>
      </c>
      <c r="F25" s="308"/>
      <c r="G25" s="396">
        <v>-3794799466.79</v>
      </c>
      <c r="H25" s="397"/>
      <c r="I25" s="396">
        <v>-1672516782.1500001</v>
      </c>
      <c r="J25" s="398"/>
      <c r="M25" s="201"/>
      <c r="N25" s="323"/>
    </row>
    <row r="26" spans="1:14" ht="13">
      <c r="A26" s="310">
        <v>23</v>
      </c>
      <c r="B26" s="310"/>
      <c r="C26" t="s">
        <v>2530</v>
      </c>
      <c r="E26" s="399" t="s">
        <v>2881</v>
      </c>
      <c r="F26" s="399"/>
      <c r="G26" s="400">
        <f>'27-Allocators'!G15</f>
        <v>6.2174818554839952E-2</v>
      </c>
      <c r="H26" s="401"/>
      <c r="I26" s="400">
        <f>'27-Allocators'!G15</f>
        <v>6.2174818554839952E-2</v>
      </c>
      <c r="J26" s="401"/>
      <c r="M26" s="389"/>
    </row>
    <row r="27" spans="1:14" ht="13.5" thickBot="1">
      <c r="A27" s="310">
        <v>24</v>
      </c>
      <c r="B27" s="310"/>
      <c r="C27" t="s">
        <v>2882</v>
      </c>
      <c r="E27" s="261" t="s">
        <v>2883</v>
      </c>
      <c r="F27" s="31"/>
      <c r="G27" s="402">
        <f>+G25*G26</f>
        <v>-235940968.29967165</v>
      </c>
      <c r="H27" s="403"/>
      <c r="I27" s="402">
        <f>+I25*I26</f>
        <v>-103988427.46010104</v>
      </c>
      <c r="J27" s="403"/>
      <c r="K27" s="404">
        <f>(G27+I27)/2</f>
        <v>-169964697.87988633</v>
      </c>
      <c r="M27" s="389"/>
    </row>
    <row r="28" spans="1:14" ht="13.5" thickTop="1">
      <c r="A28" s="310">
        <v>25</v>
      </c>
      <c r="B28" s="310"/>
      <c r="M28" s="389"/>
    </row>
    <row r="29" spans="1:14" ht="13">
      <c r="A29" s="310">
        <v>26</v>
      </c>
      <c r="B29" s="310"/>
      <c r="C29" s="30" t="s">
        <v>2884</v>
      </c>
      <c r="D29" s="30"/>
      <c r="E29" s="30"/>
      <c r="F29" s="30"/>
      <c r="M29" s="405" t="s">
        <v>129</v>
      </c>
    </row>
    <row r="30" spans="1:14" ht="13">
      <c r="A30" s="310">
        <v>27</v>
      </c>
      <c r="B30" s="310"/>
      <c r="C30" s="251" t="s">
        <v>2885</v>
      </c>
      <c r="D30" s="251"/>
      <c r="E30" s="308" t="s">
        <v>2880</v>
      </c>
      <c r="F30" s="308"/>
      <c r="G30" s="396">
        <v>-94331088.769999996</v>
      </c>
      <c r="H30" s="397"/>
      <c r="I30" s="396">
        <v>-106296033.67</v>
      </c>
      <c r="J30" s="398"/>
      <c r="M30" s="389"/>
    </row>
    <row r="31" spans="1:14" ht="13">
      <c r="A31" s="310">
        <v>28</v>
      </c>
      <c r="B31" s="310"/>
      <c r="C31" t="s">
        <v>2530</v>
      </c>
      <c r="E31" s="399" t="s">
        <v>2881</v>
      </c>
      <c r="F31" s="399"/>
      <c r="G31" s="400">
        <f>'27-Allocators'!G15</f>
        <v>6.2174818554839952E-2</v>
      </c>
      <c r="H31" s="401"/>
      <c r="I31" s="400">
        <f>'27-Allocators'!G15</f>
        <v>6.2174818554839952E-2</v>
      </c>
      <c r="J31" s="401"/>
      <c r="M31" s="389"/>
    </row>
    <row r="32" spans="1:14" ht="13.5" thickBot="1">
      <c r="A32" s="310">
        <v>29</v>
      </c>
      <c r="B32" s="310"/>
      <c r="C32" t="s">
        <v>2882</v>
      </c>
      <c r="E32" s="261" t="s">
        <v>2886</v>
      </c>
      <c r="F32" s="31"/>
      <c r="G32" s="402">
        <f>+G30*G31</f>
        <v>-5865018.3283552499</v>
      </c>
      <c r="H32" s="403"/>
      <c r="I32" s="402">
        <f>+I30*I31</f>
        <v>-6608936.6065314086</v>
      </c>
      <c r="J32" s="403"/>
      <c r="K32" s="404">
        <f>(G32+I32)/2</f>
        <v>-6236977.4674433293</v>
      </c>
      <c r="M32" s="389"/>
    </row>
    <row r="33" spans="1:11" ht="13.5" thickTop="1">
      <c r="A33" s="310">
        <f t="shared" ref="A33:A39" si="0">1+A32</f>
        <v>30</v>
      </c>
    </row>
    <row r="34" spans="1:11" ht="13">
      <c r="A34" s="310">
        <f t="shared" si="0"/>
        <v>31</v>
      </c>
      <c r="C34" s="30" t="s">
        <v>2887</v>
      </c>
    </row>
    <row r="35" spans="1:11" ht="13">
      <c r="A35" s="310">
        <f t="shared" si="0"/>
        <v>32</v>
      </c>
      <c r="C35" s="251" t="s">
        <v>2887</v>
      </c>
      <c r="E35" s="308" t="s">
        <v>2880</v>
      </c>
      <c r="F35" s="308"/>
      <c r="G35" s="60">
        <v>-17174229.859999999</v>
      </c>
      <c r="H35" s="397"/>
      <c r="I35" s="60">
        <v>-17248242.920000002</v>
      </c>
      <c r="J35" s="398"/>
    </row>
    <row r="36" spans="1:11" ht="13">
      <c r="A36" s="310">
        <f t="shared" si="0"/>
        <v>33</v>
      </c>
      <c r="C36" s="251" t="s">
        <v>2888</v>
      </c>
      <c r="E36" s="692" t="s">
        <v>2889</v>
      </c>
      <c r="G36" s="407">
        <v>0.5</v>
      </c>
      <c r="I36" s="407">
        <v>0.5</v>
      </c>
    </row>
    <row r="37" spans="1:11" ht="13">
      <c r="A37" s="310">
        <f t="shared" si="0"/>
        <v>34</v>
      </c>
      <c r="C37" s="251" t="s">
        <v>2890</v>
      </c>
      <c r="E37" s="251" t="s">
        <v>2891</v>
      </c>
      <c r="G37" s="6">
        <f>+G35*G36</f>
        <v>-8587114.9299999997</v>
      </c>
      <c r="H37" s="6"/>
      <c r="I37" s="6">
        <f>+I35*I36</f>
        <v>-8624121.4600000009</v>
      </c>
    </row>
    <row r="38" spans="1:11" ht="13">
      <c r="A38" s="310">
        <f t="shared" si="0"/>
        <v>35</v>
      </c>
      <c r="C38" t="s">
        <v>2530</v>
      </c>
      <c r="E38" s="399" t="s">
        <v>2881</v>
      </c>
      <c r="F38" s="399"/>
      <c r="G38" s="400">
        <f>'27-Allocators'!G15</f>
        <v>6.2174818554839952E-2</v>
      </c>
      <c r="H38" s="401"/>
      <c r="I38" s="400">
        <f>'27-Allocators'!G15</f>
        <v>6.2174818554839952E-2</v>
      </c>
      <c r="J38" s="401"/>
    </row>
    <row r="39" spans="1:11" ht="13.5" thickBot="1">
      <c r="A39" s="310">
        <f t="shared" si="0"/>
        <v>36</v>
      </c>
      <c r="C39" t="s">
        <v>2882</v>
      </c>
      <c r="E39" s="261" t="s">
        <v>2892</v>
      </c>
      <c r="F39" s="31"/>
      <c r="G39" s="402">
        <f>+G37*G38</f>
        <v>-533902.31268230721</v>
      </c>
      <c r="H39" s="403"/>
      <c r="I39" s="402">
        <f>+I37*I38</f>
        <v>-536203.18697040144</v>
      </c>
      <c r="J39" s="403"/>
      <c r="K39" s="404">
        <f>(G39+I39)/2</f>
        <v>-535052.74982635432</v>
      </c>
    </row>
    <row r="40" spans="1:11" ht="13" thickTop="1"/>
    <row r="41" spans="1:11" ht="13">
      <c r="C41" s="30" t="s">
        <v>228</v>
      </c>
    </row>
    <row r="42" spans="1:11">
      <c r="C42" s="251" t="s">
        <v>2893</v>
      </c>
      <c r="D42" s="652"/>
    </row>
    <row r="43" spans="1:11">
      <c r="C43" s="250" t="s">
        <v>2894</v>
      </c>
    </row>
    <row r="44" spans="1:11">
      <c r="C44" t="s">
        <v>2895</v>
      </c>
    </row>
    <row r="45" spans="1:11">
      <c r="C45" s="717" t="s">
        <v>2896</v>
      </c>
    </row>
  </sheetData>
  <pageMargins left="0.7" right="0.7" top="0.75" bottom="0.75" header="0.3" footer="0.3"/>
  <pageSetup scale="85" orientation="landscape" cellComments="asDisplayed" r:id="rId1"/>
  <headerFooter>
    <oddHeader>&amp;CSchedule 34
Unfunded Reserves
&amp;RTO2023 Draft Annual Update 
Attachment 1</oddHeader>
    <oddFooter>&amp;R&amp;A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B180-CB3D-4681-A768-5D5BF418A439}">
  <dimension ref="A1:K132"/>
  <sheetViews>
    <sheetView zoomScaleNormal="100" workbookViewId="0"/>
  </sheetViews>
  <sheetFormatPr defaultRowHeight="12.5"/>
  <cols>
    <col min="1" max="1" width="5.7265625" customWidth="1"/>
    <col min="2" max="2" width="4.7265625" customWidth="1"/>
    <col min="3" max="3" width="55.26953125" customWidth="1"/>
    <col min="4" max="8" width="13.7265625" customWidth="1"/>
    <col min="9" max="9" width="17" customWidth="1"/>
  </cols>
  <sheetData>
    <row r="1" spans="1:11" ht="13">
      <c r="A1" s="1" t="s">
        <v>2258</v>
      </c>
      <c r="B1" s="251"/>
      <c r="C1" s="251"/>
      <c r="D1" s="251"/>
      <c r="E1" s="251"/>
      <c r="F1" s="251"/>
      <c r="G1" s="251"/>
    </row>
    <row r="2" spans="1:11" ht="13">
      <c r="A2" s="251"/>
      <c r="B2" s="1"/>
      <c r="C2" s="39" t="s">
        <v>195</v>
      </c>
      <c r="D2" s="258"/>
      <c r="E2" s="258"/>
      <c r="F2" s="258"/>
      <c r="G2" s="251"/>
    </row>
    <row r="3" spans="1:11">
      <c r="A3" s="251"/>
      <c r="B3" s="251"/>
      <c r="C3" s="251"/>
      <c r="D3" s="251"/>
      <c r="E3" s="251"/>
      <c r="F3" s="251"/>
      <c r="G3" s="251"/>
    </row>
    <row r="4" spans="1:11" ht="13">
      <c r="A4" s="3" t="s">
        <v>273</v>
      </c>
      <c r="B4" s="251"/>
      <c r="C4" s="251"/>
      <c r="D4" s="258" t="s">
        <v>96</v>
      </c>
      <c r="E4" s="258"/>
      <c r="F4" s="258"/>
      <c r="G4" s="251"/>
    </row>
    <row r="5" spans="1:11" ht="13">
      <c r="A5" s="2">
        <v>1</v>
      </c>
      <c r="B5" s="596" t="s">
        <v>2259</v>
      </c>
      <c r="C5" s="251"/>
      <c r="D5" s="251"/>
      <c r="E5" s="1057"/>
      <c r="F5" s="251"/>
      <c r="G5" s="1050"/>
      <c r="H5" s="323"/>
      <c r="I5" s="953"/>
    </row>
    <row r="6" spans="1:11" ht="13">
      <c r="A6" s="2">
        <f>A5+1</f>
        <v>2</v>
      </c>
      <c r="B6" s="4" t="s">
        <v>2260</v>
      </c>
      <c r="C6" s="1058" t="s">
        <v>2261</v>
      </c>
      <c r="D6" s="1059"/>
      <c r="E6" s="1059"/>
      <c r="F6" s="1060"/>
      <c r="G6" s="251"/>
    </row>
    <row r="7" spans="1:11" ht="13">
      <c r="A7" s="2">
        <f t="shared" ref="A7:A70" si="0">A6+1</f>
        <v>3</v>
      </c>
      <c r="B7" s="4" t="s">
        <v>2947</v>
      </c>
      <c r="C7" s="1059"/>
      <c r="D7" s="1059"/>
      <c r="E7" s="1059"/>
      <c r="F7" s="1059"/>
      <c r="G7" s="251"/>
      <c r="J7" s="904"/>
      <c r="K7" s="323"/>
    </row>
    <row r="8" spans="1:11" ht="13">
      <c r="A8" s="2">
        <f t="shared" si="0"/>
        <v>4</v>
      </c>
      <c r="B8" s="4" t="s">
        <v>2948</v>
      </c>
      <c r="C8" s="1059"/>
      <c r="D8" s="1059"/>
      <c r="E8" s="1059"/>
      <c r="F8" s="1059"/>
      <c r="G8" s="251"/>
      <c r="J8" s="904"/>
      <c r="K8" s="323"/>
    </row>
    <row r="9" spans="1:11" ht="13">
      <c r="A9" s="2"/>
      <c r="B9" s="4"/>
      <c r="C9" s="4"/>
      <c r="D9" s="4"/>
      <c r="E9" s="4"/>
      <c r="F9" s="4"/>
      <c r="G9" s="251"/>
      <c r="J9" s="904"/>
      <c r="K9" s="323"/>
    </row>
    <row r="10" spans="1:11" ht="13">
      <c r="A10" s="2"/>
      <c r="B10" s="251"/>
      <c r="C10" s="4"/>
      <c r="D10" s="4"/>
      <c r="E10" s="4"/>
      <c r="F10" s="4"/>
      <c r="G10" s="251"/>
      <c r="J10" s="904"/>
      <c r="K10" s="323"/>
    </row>
    <row r="11" spans="1:11" ht="13">
      <c r="A11" s="2"/>
      <c r="B11" s="47" t="s">
        <v>2262</v>
      </c>
      <c r="C11" s="251"/>
      <c r="D11" s="251"/>
      <c r="E11" s="251"/>
      <c r="F11" s="251"/>
      <c r="G11" s="251"/>
      <c r="H11" s="905"/>
      <c r="I11" s="954"/>
      <c r="J11" s="904"/>
      <c r="K11" s="323"/>
    </row>
    <row r="12" spans="1:11" ht="13">
      <c r="A12" s="2"/>
      <c r="B12" s="47"/>
      <c r="C12" s="251"/>
      <c r="D12" s="251"/>
      <c r="E12" s="251"/>
      <c r="F12" s="251"/>
      <c r="G12" s="251"/>
      <c r="H12" s="905"/>
      <c r="I12" s="954"/>
      <c r="J12" s="904"/>
      <c r="K12" s="323"/>
    </row>
    <row r="13" spans="1:11" ht="13">
      <c r="A13" s="2"/>
      <c r="B13" s="251"/>
      <c r="C13" s="1050"/>
      <c r="D13" s="48" t="s">
        <v>336</v>
      </c>
      <c r="E13" s="48" t="s">
        <v>337</v>
      </c>
      <c r="F13" s="48" t="s">
        <v>338</v>
      </c>
      <c r="G13" s="48" t="s">
        <v>339</v>
      </c>
      <c r="H13" s="905"/>
      <c r="I13" s="954"/>
      <c r="J13" s="904"/>
      <c r="K13" s="323"/>
    </row>
    <row r="14" spans="1:11" ht="13">
      <c r="A14" s="251"/>
      <c r="B14" s="251"/>
      <c r="C14" s="1050"/>
      <c r="D14" s="330" t="s">
        <v>2263</v>
      </c>
      <c r="E14" s="330" t="s">
        <v>2264</v>
      </c>
      <c r="F14" s="330" t="s">
        <v>2265</v>
      </c>
      <c r="G14" s="330" t="s">
        <v>2266</v>
      </c>
      <c r="H14" s="904"/>
      <c r="I14" s="903"/>
      <c r="J14" s="323"/>
      <c r="K14" s="323"/>
    </row>
    <row r="15" spans="1:11" ht="13">
      <c r="A15" s="2"/>
      <c r="B15" s="251"/>
      <c r="C15" s="1050"/>
      <c r="D15" s="330" t="s">
        <v>860</v>
      </c>
      <c r="E15" s="330" t="s">
        <v>860</v>
      </c>
      <c r="F15" s="330" t="s">
        <v>860</v>
      </c>
      <c r="G15" s="330" t="s">
        <v>860</v>
      </c>
      <c r="H15" s="903"/>
      <c r="I15" s="926"/>
      <c r="J15" s="323"/>
      <c r="K15" s="323"/>
    </row>
    <row r="16" spans="1:11" ht="13">
      <c r="A16" s="3" t="s">
        <v>273</v>
      </c>
      <c r="B16" s="203" t="s">
        <v>2267</v>
      </c>
      <c r="C16" s="251"/>
      <c r="D16" s="348" t="s">
        <v>248</v>
      </c>
      <c r="E16" s="348" t="s">
        <v>248</v>
      </c>
      <c r="F16" s="348" t="s">
        <v>248</v>
      </c>
      <c r="G16" s="348" t="s">
        <v>248</v>
      </c>
      <c r="H16" s="904"/>
      <c r="I16" s="903"/>
      <c r="J16" s="323"/>
      <c r="K16" s="323"/>
    </row>
    <row r="17" spans="1:11" ht="13">
      <c r="A17" s="2">
        <f>A8+1</f>
        <v>5</v>
      </c>
      <c r="B17" s="251"/>
      <c r="C17" s="261" t="s">
        <v>1484</v>
      </c>
      <c r="D17" s="1060"/>
      <c r="E17" s="1059"/>
      <c r="F17" s="1059"/>
      <c r="G17" s="1061">
        <f>SUM(D17:F17)</f>
        <v>0</v>
      </c>
      <c r="H17" s="904"/>
      <c r="I17" s="326"/>
      <c r="J17" s="323"/>
      <c r="K17" s="323"/>
    </row>
    <row r="18" spans="1:11" ht="13">
      <c r="A18" s="2">
        <f t="shared" si="0"/>
        <v>6</v>
      </c>
      <c r="B18" s="251"/>
      <c r="C18" s="261" t="s">
        <v>1485</v>
      </c>
      <c r="D18" s="271"/>
      <c r="E18" s="258"/>
      <c r="F18" s="258"/>
      <c r="G18" s="1061">
        <f t="shared" ref="G18:G47" si="1">SUM(D18:F18)</f>
        <v>0</v>
      </c>
      <c r="I18" s="907"/>
    </row>
    <row r="19" spans="1:11" ht="13">
      <c r="A19" s="2">
        <f t="shared" si="0"/>
        <v>7</v>
      </c>
      <c r="B19" s="251"/>
      <c r="C19" s="261" t="s">
        <v>1486</v>
      </c>
      <c r="D19" s="271"/>
      <c r="E19" s="258"/>
      <c r="F19" s="258"/>
      <c r="G19" s="1061">
        <f t="shared" si="1"/>
        <v>0</v>
      </c>
      <c r="I19" s="907"/>
    </row>
    <row r="20" spans="1:11" ht="13">
      <c r="A20" s="2">
        <f t="shared" si="0"/>
        <v>8</v>
      </c>
      <c r="B20" s="251"/>
      <c r="C20" s="261" t="s">
        <v>1487</v>
      </c>
      <c r="D20" s="271"/>
      <c r="E20" s="258"/>
      <c r="F20" s="258"/>
      <c r="G20" s="1061">
        <f t="shared" si="1"/>
        <v>0</v>
      </c>
      <c r="I20" s="907"/>
    </row>
    <row r="21" spans="1:11" ht="13">
      <c r="A21" s="2">
        <f t="shared" si="0"/>
        <v>9</v>
      </c>
      <c r="B21" s="251"/>
      <c r="C21" s="261" t="s">
        <v>1489</v>
      </c>
      <c r="D21" s="271"/>
      <c r="E21" s="258"/>
      <c r="F21" s="258"/>
      <c r="G21" s="1061">
        <f t="shared" si="1"/>
        <v>0</v>
      </c>
      <c r="I21" s="907"/>
    </row>
    <row r="22" spans="1:11" ht="13">
      <c r="A22" s="2">
        <f t="shared" si="0"/>
        <v>10</v>
      </c>
      <c r="B22" s="251"/>
      <c r="C22" s="261" t="s">
        <v>1490</v>
      </c>
      <c r="D22" s="271"/>
      <c r="E22" s="258"/>
      <c r="F22" s="258"/>
      <c r="G22" s="1061">
        <f t="shared" si="1"/>
        <v>0</v>
      </c>
      <c r="I22" s="907"/>
    </row>
    <row r="23" spans="1:11" ht="13">
      <c r="A23" s="2">
        <f t="shared" si="0"/>
        <v>11</v>
      </c>
      <c r="B23" s="251"/>
      <c r="C23" s="261" t="s">
        <v>1491</v>
      </c>
      <c r="D23" s="271"/>
      <c r="E23" s="258"/>
      <c r="F23" s="258"/>
      <c r="G23" s="1061">
        <f t="shared" si="1"/>
        <v>0</v>
      </c>
      <c r="I23" s="907"/>
    </row>
    <row r="24" spans="1:11" ht="13">
      <c r="A24" s="2">
        <f t="shared" si="0"/>
        <v>12</v>
      </c>
      <c r="B24" s="251"/>
      <c r="C24" s="261" t="s">
        <v>1493</v>
      </c>
      <c r="D24" s="271"/>
      <c r="E24" s="258"/>
      <c r="F24" s="258"/>
      <c r="G24" s="1061">
        <f t="shared" si="1"/>
        <v>0</v>
      </c>
      <c r="I24" s="907"/>
    </row>
    <row r="25" spans="1:11" ht="13">
      <c r="A25" s="2">
        <f t="shared" si="0"/>
        <v>13</v>
      </c>
      <c r="B25" s="251"/>
      <c r="C25" s="261" t="s">
        <v>1494</v>
      </c>
      <c r="D25" s="271"/>
      <c r="E25" s="258"/>
      <c r="F25" s="258"/>
      <c r="G25" s="1061">
        <f t="shared" si="1"/>
        <v>0</v>
      </c>
      <c r="I25" s="907"/>
    </row>
    <row r="26" spans="1:11" ht="13">
      <c r="A26" s="2">
        <f t="shared" si="0"/>
        <v>14</v>
      </c>
      <c r="B26" s="251"/>
      <c r="C26" s="261" t="s">
        <v>1495</v>
      </c>
      <c r="D26" s="271"/>
      <c r="E26" s="258"/>
      <c r="F26" s="258"/>
      <c r="G26" s="1061">
        <f t="shared" si="1"/>
        <v>0</v>
      </c>
      <c r="I26" s="907"/>
    </row>
    <row r="27" spans="1:11" ht="13">
      <c r="A27" s="2">
        <f t="shared" si="0"/>
        <v>15</v>
      </c>
      <c r="B27" s="251"/>
      <c r="C27" s="261" t="s">
        <v>1496</v>
      </c>
      <c r="D27" s="271"/>
      <c r="E27" s="258"/>
      <c r="F27" s="258"/>
      <c r="G27" s="1061">
        <f t="shared" si="1"/>
        <v>0</v>
      </c>
      <c r="I27" s="907"/>
    </row>
    <row r="28" spans="1:11" ht="13">
      <c r="A28" s="2">
        <f t="shared" si="0"/>
        <v>16</v>
      </c>
      <c r="B28" s="251"/>
      <c r="C28" s="261" t="s">
        <v>1497</v>
      </c>
      <c r="D28" s="271"/>
      <c r="E28" s="258"/>
      <c r="F28" s="258"/>
      <c r="G28" s="1061">
        <f t="shared" si="1"/>
        <v>0</v>
      </c>
      <c r="I28" s="907"/>
    </row>
    <row r="29" spans="1:11" ht="13">
      <c r="A29" s="2">
        <f t="shared" si="0"/>
        <v>17</v>
      </c>
      <c r="B29" s="251"/>
      <c r="C29" s="261" t="s">
        <v>1499</v>
      </c>
      <c r="D29" s="271"/>
      <c r="E29" s="258"/>
      <c r="F29" s="258"/>
      <c r="G29" s="1061">
        <f t="shared" si="1"/>
        <v>0</v>
      </c>
      <c r="I29" s="907"/>
    </row>
    <row r="30" spans="1:11" ht="13">
      <c r="A30" s="2">
        <f t="shared" si="0"/>
        <v>18</v>
      </c>
      <c r="B30" s="251"/>
      <c r="C30" s="261" t="s">
        <v>1500</v>
      </c>
      <c r="D30" s="271"/>
      <c r="E30" s="258"/>
      <c r="F30" s="258"/>
      <c r="G30" s="1061">
        <f t="shared" si="1"/>
        <v>0</v>
      </c>
      <c r="I30" s="907"/>
    </row>
    <row r="31" spans="1:11" ht="13">
      <c r="A31" s="2">
        <f t="shared" si="0"/>
        <v>19</v>
      </c>
      <c r="B31" s="251"/>
      <c r="C31" s="261" t="s">
        <v>1502</v>
      </c>
      <c r="D31" s="271"/>
      <c r="E31" s="258"/>
      <c r="F31" s="258"/>
      <c r="G31" s="1061">
        <f t="shared" si="1"/>
        <v>0</v>
      </c>
      <c r="I31" s="907"/>
    </row>
    <row r="32" spans="1:11" ht="13">
      <c r="A32" s="2">
        <f t="shared" si="0"/>
        <v>20</v>
      </c>
      <c r="B32" s="251"/>
      <c r="C32" s="261" t="s">
        <v>1504</v>
      </c>
      <c r="D32" s="271"/>
      <c r="E32" s="258"/>
      <c r="F32" s="258"/>
      <c r="G32" s="1061">
        <f t="shared" si="1"/>
        <v>0</v>
      </c>
      <c r="I32" s="907"/>
    </row>
    <row r="33" spans="1:9" ht="13">
      <c r="A33" s="2">
        <f t="shared" si="0"/>
        <v>21</v>
      </c>
      <c r="B33" s="251"/>
      <c r="C33" s="261" t="s">
        <v>1505</v>
      </c>
      <c r="D33" s="271"/>
      <c r="E33" s="258"/>
      <c r="F33" s="258"/>
      <c r="G33" s="1061">
        <f t="shared" si="1"/>
        <v>0</v>
      </c>
      <c r="I33" s="907"/>
    </row>
    <row r="34" spans="1:9" ht="13">
      <c r="A34" s="2">
        <f t="shared" si="0"/>
        <v>22</v>
      </c>
      <c r="B34" s="251"/>
      <c r="C34" s="261" t="s">
        <v>1506</v>
      </c>
      <c r="D34" s="271"/>
      <c r="E34" s="258"/>
      <c r="F34" s="258"/>
      <c r="G34" s="1061">
        <f t="shared" si="1"/>
        <v>0</v>
      </c>
      <c r="I34" s="907"/>
    </row>
    <row r="35" spans="1:9" ht="13">
      <c r="A35" s="2">
        <f t="shared" si="0"/>
        <v>23</v>
      </c>
      <c r="B35" s="251"/>
      <c r="C35" s="261" t="s">
        <v>1507</v>
      </c>
      <c r="D35" s="271"/>
      <c r="E35" s="258"/>
      <c r="F35" s="258"/>
      <c r="G35" s="1061">
        <f t="shared" si="1"/>
        <v>0</v>
      </c>
      <c r="I35" s="907"/>
    </row>
    <row r="36" spans="1:9" ht="13">
      <c r="A36" s="2">
        <f t="shared" si="0"/>
        <v>24</v>
      </c>
      <c r="B36" s="251"/>
      <c r="C36" s="261" t="s">
        <v>1508</v>
      </c>
      <c r="D36" s="271"/>
      <c r="E36" s="258"/>
      <c r="F36" s="258"/>
      <c r="G36" s="1061">
        <f t="shared" si="1"/>
        <v>0</v>
      </c>
      <c r="I36" s="907"/>
    </row>
    <row r="37" spans="1:9" ht="13">
      <c r="A37" s="2">
        <f t="shared" si="0"/>
        <v>25</v>
      </c>
      <c r="B37" s="251"/>
      <c r="C37" s="261" t="s">
        <v>1509</v>
      </c>
      <c r="D37" s="271"/>
      <c r="E37" s="258"/>
      <c r="F37" s="258"/>
      <c r="G37" s="1061">
        <f t="shared" si="1"/>
        <v>0</v>
      </c>
      <c r="I37" s="907"/>
    </row>
    <row r="38" spans="1:9" ht="13">
      <c r="A38" s="2">
        <f t="shared" si="0"/>
        <v>26</v>
      </c>
      <c r="B38" s="251"/>
      <c r="C38" s="261" t="s">
        <v>1510</v>
      </c>
      <c r="D38" s="271"/>
      <c r="E38" s="258"/>
      <c r="F38" s="258"/>
      <c r="G38" s="1061">
        <f t="shared" si="1"/>
        <v>0</v>
      </c>
      <c r="I38" s="907"/>
    </row>
    <row r="39" spans="1:9" ht="13">
      <c r="A39" s="2">
        <f t="shared" si="0"/>
        <v>27</v>
      </c>
      <c r="B39" s="251"/>
      <c r="C39" s="261" t="s">
        <v>1512</v>
      </c>
      <c r="D39" s="271"/>
      <c r="E39" s="258"/>
      <c r="F39" s="258"/>
      <c r="G39" s="1061">
        <f t="shared" si="1"/>
        <v>0</v>
      </c>
      <c r="I39" s="907"/>
    </row>
    <row r="40" spans="1:9" ht="13">
      <c r="A40" s="2">
        <f t="shared" si="0"/>
        <v>28</v>
      </c>
      <c r="B40" s="251"/>
      <c r="C40" s="261" t="s">
        <v>1513</v>
      </c>
      <c r="D40" s="271"/>
      <c r="E40" s="258"/>
      <c r="F40" s="258"/>
      <c r="G40" s="1061">
        <f t="shared" si="1"/>
        <v>0</v>
      </c>
      <c r="I40" s="907"/>
    </row>
    <row r="41" spans="1:9" ht="13">
      <c r="A41" s="2">
        <f t="shared" si="0"/>
        <v>29</v>
      </c>
      <c r="B41" s="251"/>
      <c r="C41" s="261" t="s">
        <v>1514</v>
      </c>
      <c r="D41" s="271"/>
      <c r="E41" s="258"/>
      <c r="F41" s="258"/>
      <c r="G41" s="1061">
        <f t="shared" si="1"/>
        <v>0</v>
      </c>
      <c r="I41" s="907"/>
    </row>
    <row r="42" spans="1:9" ht="13">
      <c r="A42" s="2">
        <f t="shared" si="0"/>
        <v>30</v>
      </c>
      <c r="B42" s="251"/>
      <c r="C42" s="261" t="s">
        <v>1515</v>
      </c>
      <c r="D42" s="271"/>
      <c r="E42" s="258"/>
      <c r="F42" s="258"/>
      <c r="G42" s="1061">
        <f t="shared" si="1"/>
        <v>0</v>
      </c>
      <c r="I42" s="907"/>
    </row>
    <row r="43" spans="1:9" ht="13">
      <c r="A43" s="2">
        <f t="shared" si="0"/>
        <v>31</v>
      </c>
      <c r="B43" s="251"/>
      <c r="C43" s="261" t="s">
        <v>1516</v>
      </c>
      <c r="D43" s="271"/>
      <c r="E43" s="258"/>
      <c r="F43" s="258"/>
      <c r="G43" s="1061">
        <f t="shared" si="1"/>
        <v>0</v>
      </c>
      <c r="I43" s="907"/>
    </row>
    <row r="44" spans="1:9" ht="13">
      <c r="A44" s="2">
        <f t="shared" si="0"/>
        <v>32</v>
      </c>
      <c r="B44" s="251"/>
      <c r="C44" s="261" t="s">
        <v>1517</v>
      </c>
      <c r="D44" s="271"/>
      <c r="E44" s="258"/>
      <c r="F44" s="258"/>
      <c r="G44" s="1061">
        <f t="shared" si="1"/>
        <v>0</v>
      </c>
      <c r="I44" s="907"/>
    </row>
    <row r="45" spans="1:9" ht="13">
      <c r="A45" s="2">
        <f t="shared" si="0"/>
        <v>33</v>
      </c>
      <c r="B45" s="251"/>
      <c r="C45" s="261" t="s">
        <v>1518</v>
      </c>
      <c r="D45" s="271"/>
      <c r="E45" s="258"/>
      <c r="F45" s="258"/>
      <c r="G45" s="1061">
        <f t="shared" si="1"/>
        <v>0</v>
      </c>
      <c r="I45" s="907"/>
    </row>
    <row r="46" spans="1:9" ht="13">
      <c r="A46" s="2">
        <f t="shared" si="0"/>
        <v>34</v>
      </c>
      <c r="B46" s="251"/>
      <c r="C46" s="261" t="s">
        <v>1519</v>
      </c>
      <c r="D46" s="271"/>
      <c r="E46" s="258"/>
      <c r="F46" s="258"/>
      <c r="G46" s="1061">
        <f t="shared" si="1"/>
        <v>0</v>
      </c>
      <c r="I46" s="907"/>
    </row>
    <row r="47" spans="1:9" ht="13">
      <c r="A47" s="2">
        <f t="shared" si="0"/>
        <v>35</v>
      </c>
      <c r="B47" s="251"/>
      <c r="C47" s="261" t="s">
        <v>2268</v>
      </c>
      <c r="D47" s="271"/>
      <c r="E47" s="258"/>
      <c r="F47" s="258"/>
      <c r="G47" s="1061">
        <f t="shared" si="1"/>
        <v>0</v>
      </c>
      <c r="I47" s="907"/>
    </row>
    <row r="48" spans="1:9" ht="13">
      <c r="A48" s="2">
        <f t="shared" si="0"/>
        <v>36</v>
      </c>
      <c r="B48" s="251"/>
      <c r="C48" s="285" t="s">
        <v>823</v>
      </c>
      <c r="D48" s="1062"/>
      <c r="E48" s="1063"/>
      <c r="F48" s="1063"/>
      <c r="G48" s="1076"/>
      <c r="I48" s="924"/>
    </row>
    <row r="49" spans="1:9" ht="13">
      <c r="A49" s="2">
        <f t="shared" si="0"/>
        <v>37</v>
      </c>
      <c r="B49" s="251"/>
      <c r="C49" s="249" t="s">
        <v>2269</v>
      </c>
      <c r="D49" s="253">
        <f>SUM(D17:D48)</f>
        <v>0</v>
      </c>
      <c r="E49" s="253">
        <f t="shared" ref="E49:F49" si="2">SUM(E17:E47)</f>
        <v>0</v>
      </c>
      <c r="F49" s="253">
        <f t="shared" si="2"/>
        <v>0</v>
      </c>
      <c r="G49" s="1061">
        <f>SUM(D49:F49)</f>
        <v>0</v>
      </c>
    </row>
    <row r="50" spans="1:9" ht="13">
      <c r="A50" s="2"/>
      <c r="B50" s="251"/>
      <c r="C50" s="249"/>
      <c r="D50" s="253"/>
      <c r="E50" s="251"/>
      <c r="F50" s="251"/>
      <c r="G50" s="251"/>
    </row>
    <row r="51" spans="1:9" ht="13">
      <c r="A51" s="2"/>
      <c r="B51" s="251"/>
      <c r="C51" s="249"/>
      <c r="D51" s="48" t="s">
        <v>336</v>
      </c>
      <c r="E51" s="48" t="s">
        <v>337</v>
      </c>
      <c r="F51" s="48" t="s">
        <v>338</v>
      </c>
      <c r="G51" s="48" t="s">
        <v>339</v>
      </c>
    </row>
    <row r="52" spans="1:9" ht="13">
      <c r="A52" s="2"/>
      <c r="B52" s="251"/>
      <c r="C52" s="251"/>
      <c r="D52" s="330" t="s">
        <v>2263</v>
      </c>
      <c r="E52" s="330" t="s">
        <v>2264</v>
      </c>
      <c r="F52" s="330" t="s">
        <v>2265</v>
      </c>
      <c r="G52" s="330" t="s">
        <v>2266</v>
      </c>
    </row>
    <row r="53" spans="1:9" ht="13">
      <c r="A53" s="2"/>
      <c r="B53" s="251"/>
      <c r="C53" s="251"/>
      <c r="D53" s="330" t="s">
        <v>860</v>
      </c>
      <c r="E53" s="330" t="s">
        <v>860</v>
      </c>
      <c r="F53" s="330" t="s">
        <v>860</v>
      </c>
      <c r="G53" s="330" t="s">
        <v>860</v>
      </c>
    </row>
    <row r="54" spans="1:9" ht="13">
      <c r="A54" s="3" t="s">
        <v>273</v>
      </c>
      <c r="B54" s="203" t="s">
        <v>2270</v>
      </c>
      <c r="C54" s="251"/>
      <c r="D54" s="348" t="s">
        <v>248</v>
      </c>
      <c r="E54" s="348" t="s">
        <v>248</v>
      </c>
      <c r="F54" s="348" t="s">
        <v>248</v>
      </c>
      <c r="G54" s="348" t="s">
        <v>248</v>
      </c>
    </row>
    <row r="55" spans="1:9" ht="13">
      <c r="A55" s="2">
        <f>A49+1</f>
        <v>38</v>
      </c>
      <c r="B55" s="251"/>
      <c r="C55" s="251" t="s">
        <v>2271</v>
      </c>
      <c r="D55" s="271"/>
      <c r="E55" s="258"/>
      <c r="F55" s="258"/>
      <c r="G55" s="1061">
        <f>SUM(D55:F55)</f>
        <v>0</v>
      </c>
      <c r="I55" s="907"/>
    </row>
    <row r="56" spans="1:9" ht="13">
      <c r="A56" s="2">
        <f t="shared" si="0"/>
        <v>39</v>
      </c>
      <c r="B56" s="251"/>
      <c r="C56" s="251" t="s">
        <v>2272</v>
      </c>
      <c r="D56" s="271"/>
      <c r="E56" s="258"/>
      <c r="F56" s="258"/>
      <c r="G56" s="1061">
        <f t="shared" ref="G56:G70" si="3">SUM(D56:F56)</f>
        <v>0</v>
      </c>
      <c r="I56" s="907"/>
    </row>
    <row r="57" spans="1:9" ht="13">
      <c r="A57" s="2">
        <f t="shared" si="0"/>
        <v>40</v>
      </c>
      <c r="B57" s="251"/>
      <c r="C57" s="251" t="s">
        <v>2273</v>
      </c>
      <c r="D57" s="271"/>
      <c r="E57" s="258"/>
      <c r="F57" s="258"/>
      <c r="G57" s="1061">
        <f t="shared" si="3"/>
        <v>0</v>
      </c>
      <c r="I57" s="907"/>
    </row>
    <row r="58" spans="1:9" ht="13">
      <c r="A58" s="2">
        <f t="shared" si="0"/>
        <v>41</v>
      </c>
      <c r="B58" s="251"/>
      <c r="C58" s="251" t="s">
        <v>2274</v>
      </c>
      <c r="D58" s="271"/>
      <c r="E58" s="258"/>
      <c r="F58" s="258"/>
      <c r="G58" s="1061">
        <f t="shared" si="3"/>
        <v>0</v>
      </c>
      <c r="I58" s="907"/>
    </row>
    <row r="59" spans="1:9" ht="13">
      <c r="A59" s="2">
        <f t="shared" si="0"/>
        <v>42</v>
      </c>
      <c r="B59" s="251"/>
      <c r="C59" s="251" t="s">
        <v>2275</v>
      </c>
      <c r="D59" s="271"/>
      <c r="E59" s="258"/>
      <c r="F59" s="258"/>
      <c r="G59" s="1061">
        <f t="shared" si="3"/>
        <v>0</v>
      </c>
      <c r="I59" s="907"/>
    </row>
    <row r="60" spans="1:9" ht="13">
      <c r="A60" s="2">
        <f t="shared" si="0"/>
        <v>43</v>
      </c>
      <c r="B60" s="251"/>
      <c r="C60" s="251" t="s">
        <v>2276</v>
      </c>
      <c r="D60" s="271"/>
      <c r="E60" s="258"/>
      <c r="F60" s="258"/>
      <c r="G60" s="1061">
        <f t="shared" si="3"/>
        <v>0</v>
      </c>
      <c r="I60" s="907"/>
    </row>
    <row r="61" spans="1:9" ht="13">
      <c r="A61" s="2">
        <f t="shared" si="0"/>
        <v>44</v>
      </c>
      <c r="B61" s="251"/>
      <c r="C61" s="251" t="s">
        <v>2277</v>
      </c>
      <c r="D61" s="271"/>
      <c r="E61" s="258"/>
      <c r="F61" s="258"/>
      <c r="G61" s="1061">
        <f t="shared" si="3"/>
        <v>0</v>
      </c>
      <c r="I61" s="907"/>
    </row>
    <row r="62" spans="1:9" ht="13">
      <c r="A62" s="2">
        <f t="shared" si="0"/>
        <v>45</v>
      </c>
      <c r="B62" s="251"/>
      <c r="C62" s="251" t="s">
        <v>2278</v>
      </c>
      <c r="D62" s="271"/>
      <c r="E62" s="258"/>
      <c r="F62" s="258"/>
      <c r="G62" s="1061">
        <f t="shared" si="3"/>
        <v>0</v>
      </c>
      <c r="I62" s="935"/>
    </row>
    <row r="63" spans="1:9" ht="13">
      <c r="A63" s="2">
        <f t="shared" si="0"/>
        <v>46</v>
      </c>
      <c r="B63" s="1065"/>
      <c r="C63" s="251" t="s">
        <v>2279</v>
      </c>
      <c r="D63" s="271"/>
      <c r="E63" s="258"/>
      <c r="F63" s="258"/>
      <c r="G63" s="1061">
        <f t="shared" si="3"/>
        <v>0</v>
      </c>
      <c r="I63" s="907"/>
    </row>
    <row r="64" spans="1:9" ht="13">
      <c r="A64" s="2">
        <f t="shared" si="0"/>
        <v>47</v>
      </c>
      <c r="B64" s="1066"/>
      <c r="C64" s="251" t="s">
        <v>2280</v>
      </c>
      <c r="D64" s="271"/>
      <c r="E64" s="258"/>
      <c r="F64" s="258"/>
      <c r="G64" s="1061">
        <f t="shared" si="3"/>
        <v>0</v>
      </c>
      <c r="I64" s="907"/>
    </row>
    <row r="65" spans="1:9" ht="13">
      <c r="A65" s="2">
        <f t="shared" si="0"/>
        <v>48</v>
      </c>
      <c r="B65" s="1050"/>
      <c r="C65" s="251" t="s">
        <v>2281</v>
      </c>
      <c r="D65" s="271"/>
      <c r="E65" s="258"/>
      <c r="F65" s="258"/>
      <c r="G65" s="1061">
        <f t="shared" si="3"/>
        <v>0</v>
      </c>
      <c r="I65" s="907"/>
    </row>
    <row r="66" spans="1:9" ht="13">
      <c r="A66" s="2">
        <f t="shared" si="0"/>
        <v>49</v>
      </c>
      <c r="B66" s="1066"/>
      <c r="C66" s="251" t="s">
        <v>2282</v>
      </c>
      <c r="D66" s="271"/>
      <c r="E66" s="258"/>
      <c r="F66" s="258"/>
      <c r="G66" s="1061">
        <f t="shared" si="3"/>
        <v>0</v>
      </c>
      <c r="I66" s="907"/>
    </row>
    <row r="67" spans="1:9" ht="13">
      <c r="A67" s="2">
        <f t="shared" si="0"/>
        <v>50</v>
      </c>
      <c r="B67" s="1066"/>
      <c r="C67" s="251" t="s">
        <v>2283</v>
      </c>
      <c r="D67" s="271"/>
      <c r="E67" s="258"/>
      <c r="F67" s="258"/>
      <c r="G67" s="1061">
        <f t="shared" si="3"/>
        <v>0</v>
      </c>
      <c r="I67" s="907"/>
    </row>
    <row r="68" spans="1:9" ht="13">
      <c r="A68" s="2">
        <f t="shared" si="0"/>
        <v>51</v>
      </c>
      <c r="B68" s="251"/>
      <c r="C68" s="251" t="s">
        <v>2284</v>
      </c>
      <c r="D68" s="271"/>
      <c r="E68" s="258"/>
      <c r="F68" s="258"/>
      <c r="G68" s="1061">
        <f t="shared" si="3"/>
        <v>0</v>
      </c>
      <c r="I68" s="924"/>
    </row>
    <row r="69" spans="1:9" ht="13">
      <c r="A69" s="2">
        <f t="shared" si="0"/>
        <v>52</v>
      </c>
      <c r="B69" s="251"/>
      <c r="C69" s="285" t="s">
        <v>823</v>
      </c>
      <c r="D69" s="1062"/>
      <c r="E69" s="1063"/>
      <c r="F69" s="1063"/>
      <c r="G69" s="1067"/>
      <c r="I69" s="924"/>
    </row>
    <row r="70" spans="1:9" ht="13">
      <c r="A70" s="2">
        <f t="shared" si="0"/>
        <v>53</v>
      </c>
      <c r="B70" s="251"/>
      <c r="C70" s="249" t="s">
        <v>2285</v>
      </c>
      <c r="D70" s="253">
        <f>SUM(D55:D68)</f>
        <v>0</v>
      </c>
      <c r="E70" s="253">
        <f t="shared" ref="E70:F70" si="4">SUM(E55:E68)</f>
        <v>0</v>
      </c>
      <c r="F70" s="253">
        <f t="shared" si="4"/>
        <v>0</v>
      </c>
      <c r="G70" s="1061">
        <f t="shared" si="3"/>
        <v>0</v>
      </c>
    </row>
    <row r="71" spans="1:9" ht="13">
      <c r="A71" s="2"/>
      <c r="B71" s="251"/>
      <c r="C71" s="249"/>
      <c r="D71" s="253"/>
      <c r="E71" s="253"/>
      <c r="F71" s="253"/>
      <c r="G71" s="1061"/>
    </row>
    <row r="72" spans="1:9" ht="13">
      <c r="A72" s="2"/>
      <c r="B72" s="251"/>
      <c r="C72" s="249"/>
      <c r="D72" s="48" t="s">
        <v>336</v>
      </c>
      <c r="E72" s="48" t="s">
        <v>337</v>
      </c>
      <c r="F72" s="48" t="s">
        <v>338</v>
      </c>
      <c r="G72" s="48" t="s">
        <v>339</v>
      </c>
    </row>
    <row r="73" spans="1:9" ht="13">
      <c r="A73" s="2"/>
      <c r="B73" s="251"/>
      <c r="C73" s="249"/>
      <c r="D73" s="330" t="s">
        <v>2263</v>
      </c>
      <c r="E73" s="330" t="s">
        <v>2264</v>
      </c>
      <c r="F73" s="330" t="s">
        <v>2265</v>
      </c>
      <c r="G73" s="330" t="s">
        <v>2266</v>
      </c>
    </row>
    <row r="74" spans="1:9" ht="13">
      <c r="A74" s="2"/>
      <c r="B74" s="251"/>
      <c r="C74" s="251"/>
      <c r="D74" s="330" t="s">
        <v>860</v>
      </c>
      <c r="E74" s="330" t="s">
        <v>860</v>
      </c>
      <c r="F74" s="330" t="s">
        <v>860</v>
      </c>
      <c r="G74" s="330" t="s">
        <v>860</v>
      </c>
    </row>
    <row r="75" spans="1:9" ht="13">
      <c r="A75" s="3" t="s">
        <v>273</v>
      </c>
      <c r="B75" s="203" t="s">
        <v>2286</v>
      </c>
      <c r="C75" s="251"/>
      <c r="D75" s="348" t="s">
        <v>248</v>
      </c>
      <c r="E75" s="348" t="s">
        <v>248</v>
      </c>
      <c r="F75" s="348" t="s">
        <v>248</v>
      </c>
      <c r="G75" s="348" t="s">
        <v>248</v>
      </c>
    </row>
    <row r="76" spans="1:9" ht="13">
      <c r="A76" s="2">
        <f>A70+1</f>
        <v>54</v>
      </c>
      <c r="B76" s="251"/>
      <c r="C76" s="251" t="s">
        <v>125</v>
      </c>
      <c r="D76" s="62"/>
      <c r="E76" s="258"/>
      <c r="F76" s="258"/>
      <c r="G76" s="1064">
        <f>SUM(D76:F76)</f>
        <v>0</v>
      </c>
      <c r="I76" s="924"/>
    </row>
    <row r="77" spans="1:9" ht="13">
      <c r="A77" s="2">
        <f>A76+1</f>
        <v>55</v>
      </c>
      <c r="B77" s="251"/>
      <c r="C77" s="249" t="s">
        <v>2287</v>
      </c>
      <c r="D77" s="253">
        <f>SUM(D76)</f>
        <v>0</v>
      </c>
      <c r="E77" s="253">
        <f>SUM(E76)</f>
        <v>0</v>
      </c>
      <c r="F77" s="253">
        <f>SUM(F76)</f>
        <v>0</v>
      </c>
      <c r="G77" s="1061">
        <f t="shared" ref="G77" si="5">SUM(D77:F77)</f>
        <v>0</v>
      </c>
    </row>
    <row r="78" spans="1:9" ht="13">
      <c r="A78" s="2"/>
      <c r="B78" s="251"/>
      <c r="C78" s="251"/>
      <c r="D78" s="251"/>
      <c r="E78" s="251"/>
      <c r="F78" s="251"/>
      <c r="G78" s="251"/>
    </row>
    <row r="79" spans="1:9" ht="13">
      <c r="A79" s="2"/>
      <c r="B79" s="251"/>
      <c r="C79" s="251"/>
      <c r="D79" s="251"/>
      <c r="E79" s="251"/>
      <c r="F79" s="251"/>
      <c r="G79" s="251"/>
    </row>
    <row r="80" spans="1:9" ht="13">
      <c r="A80" s="2"/>
      <c r="B80" s="251"/>
      <c r="C80" s="251"/>
      <c r="D80" s="48" t="s">
        <v>336</v>
      </c>
      <c r="E80" s="48" t="s">
        <v>337</v>
      </c>
      <c r="F80" s="48" t="s">
        <v>338</v>
      </c>
      <c r="G80" s="48" t="s">
        <v>339</v>
      </c>
    </row>
    <row r="81" spans="1:11" ht="13">
      <c r="A81" s="2"/>
      <c r="B81" s="251"/>
      <c r="C81" s="251"/>
      <c r="D81" s="330" t="s">
        <v>2263</v>
      </c>
      <c r="E81" s="330" t="s">
        <v>2264</v>
      </c>
      <c r="F81" s="330" t="s">
        <v>2265</v>
      </c>
      <c r="G81" s="330" t="s">
        <v>2266</v>
      </c>
    </row>
    <row r="82" spans="1:11" ht="13">
      <c r="A82" s="251"/>
      <c r="B82" s="251"/>
      <c r="C82" s="251"/>
      <c r="D82" s="330" t="s">
        <v>860</v>
      </c>
      <c r="E82" s="330" t="s">
        <v>860</v>
      </c>
      <c r="F82" s="330" t="s">
        <v>860</v>
      </c>
      <c r="G82" s="330" t="s">
        <v>860</v>
      </c>
    </row>
    <row r="83" spans="1:11" ht="13">
      <c r="A83" s="3" t="s">
        <v>273</v>
      </c>
      <c r="B83" s="203" t="s">
        <v>2288</v>
      </c>
      <c r="C83" s="251"/>
      <c r="D83" s="348" t="s">
        <v>248</v>
      </c>
      <c r="E83" s="348" t="s">
        <v>248</v>
      </c>
      <c r="F83" s="348" t="s">
        <v>248</v>
      </c>
      <c r="G83" s="348" t="s">
        <v>248</v>
      </c>
    </row>
    <row r="84" spans="1:11" ht="13">
      <c r="A84" s="2">
        <f>A77+1</f>
        <v>56</v>
      </c>
      <c r="B84" s="251"/>
      <c r="C84" s="1047" t="s">
        <v>132</v>
      </c>
      <c r="D84" s="271"/>
      <c r="E84" s="258"/>
      <c r="F84" s="258"/>
      <c r="G84" s="1061">
        <f>SUM(D84:F84)</f>
        <v>0</v>
      </c>
      <c r="I84" s="907"/>
      <c r="K84" s="197"/>
    </row>
    <row r="85" spans="1:11" ht="13">
      <c r="A85" s="2">
        <f t="shared" ref="A85:A91" si="6">A84+1</f>
        <v>57</v>
      </c>
      <c r="B85" s="251"/>
      <c r="C85" s="1047" t="s">
        <v>133</v>
      </c>
      <c r="D85" s="271"/>
      <c r="E85" s="258"/>
      <c r="F85" s="258"/>
      <c r="G85" s="1061">
        <f t="shared" ref="G85:G86" si="7">SUM(D85:F85)</f>
        <v>0</v>
      </c>
      <c r="I85" s="907"/>
      <c r="K85" s="197"/>
    </row>
    <row r="86" spans="1:11" ht="13">
      <c r="A86" s="2">
        <f t="shared" si="6"/>
        <v>58</v>
      </c>
      <c r="B86" s="251"/>
      <c r="C86" s="1047" t="s">
        <v>134</v>
      </c>
      <c r="D86" s="271"/>
      <c r="E86" s="258"/>
      <c r="F86" s="258"/>
      <c r="G86" s="1061">
        <f t="shared" si="7"/>
        <v>0</v>
      </c>
      <c r="I86" s="907"/>
      <c r="K86" s="197"/>
    </row>
    <row r="87" spans="1:11" ht="13">
      <c r="A87" s="2">
        <f t="shared" si="6"/>
        <v>59</v>
      </c>
      <c r="B87" s="251"/>
      <c r="C87" s="1047" t="s">
        <v>135</v>
      </c>
      <c r="D87" s="271"/>
      <c r="E87" s="258"/>
      <c r="F87" s="258"/>
      <c r="G87" s="1061">
        <f t="shared" ref="G87:G90" si="8">SUM(D87:F87)</f>
        <v>0</v>
      </c>
      <c r="I87" s="907"/>
      <c r="K87" s="250"/>
    </row>
    <row r="88" spans="1:11" ht="13">
      <c r="A88" s="2">
        <f t="shared" si="6"/>
        <v>60</v>
      </c>
      <c r="B88" s="251"/>
      <c r="C88" s="1047" t="s">
        <v>136</v>
      </c>
      <c r="D88" s="271"/>
      <c r="E88" s="258"/>
      <c r="F88" s="258"/>
      <c r="G88" s="1061">
        <f t="shared" si="8"/>
        <v>0</v>
      </c>
      <c r="I88" s="907"/>
      <c r="K88" s="12"/>
    </row>
    <row r="89" spans="1:11" ht="13">
      <c r="A89" s="2">
        <f t="shared" si="6"/>
        <v>61</v>
      </c>
      <c r="B89" s="251"/>
      <c r="C89" s="1047" t="s">
        <v>137</v>
      </c>
      <c r="D89" s="271"/>
      <c r="E89" s="258"/>
      <c r="F89" s="258"/>
      <c r="G89" s="1061">
        <f t="shared" si="8"/>
        <v>0</v>
      </c>
      <c r="I89" s="907"/>
      <c r="K89" s="12"/>
    </row>
    <row r="90" spans="1:11" ht="13">
      <c r="A90" s="2">
        <f t="shared" si="6"/>
        <v>62</v>
      </c>
      <c r="B90" s="251"/>
      <c r="C90" s="1047" t="s">
        <v>138</v>
      </c>
      <c r="D90" s="62"/>
      <c r="E90" s="258"/>
      <c r="F90" s="258"/>
      <c r="G90" s="1064">
        <f t="shared" si="8"/>
        <v>0</v>
      </c>
      <c r="I90" s="924"/>
      <c r="K90" s="12"/>
    </row>
    <row r="91" spans="1:11" ht="13">
      <c r="A91" s="2">
        <f t="shared" si="6"/>
        <v>63</v>
      </c>
      <c r="B91" s="251"/>
      <c r="C91" s="249" t="s">
        <v>2289</v>
      </c>
      <c r="D91" s="253">
        <f>SUM(D84:D90)</f>
        <v>0</v>
      </c>
      <c r="E91" s="253">
        <f t="shared" ref="E91:F91" si="9">SUM(E84:E90)</f>
        <v>0</v>
      </c>
      <c r="F91" s="253">
        <f t="shared" si="9"/>
        <v>0</v>
      </c>
      <c r="G91" s="1061">
        <f>SUM(D91:F91)</f>
        <v>0</v>
      </c>
    </row>
    <row r="92" spans="1:11" ht="13">
      <c r="A92" s="2"/>
      <c r="B92" s="251"/>
      <c r="C92" s="249"/>
      <c r="D92" s="253"/>
      <c r="E92" s="253"/>
      <c r="F92" s="253"/>
      <c r="G92" s="1061"/>
    </row>
    <row r="93" spans="1:11" ht="13">
      <c r="A93" s="2"/>
      <c r="B93" s="251"/>
      <c r="C93" s="249"/>
      <c r="D93" s="48" t="s">
        <v>336</v>
      </c>
      <c r="E93" s="48" t="s">
        <v>337</v>
      </c>
      <c r="F93" s="48" t="s">
        <v>338</v>
      </c>
      <c r="G93" s="48" t="s">
        <v>339</v>
      </c>
    </row>
    <row r="94" spans="1:11" ht="13">
      <c r="A94" s="2"/>
      <c r="B94" s="251"/>
      <c r="C94" s="1"/>
      <c r="D94" s="330" t="s">
        <v>2263</v>
      </c>
      <c r="E94" s="330" t="s">
        <v>2264</v>
      </c>
      <c r="F94" s="330" t="s">
        <v>2265</v>
      </c>
      <c r="G94" s="330" t="s">
        <v>2266</v>
      </c>
    </row>
    <row r="95" spans="1:11" ht="13">
      <c r="A95" s="2"/>
      <c r="B95" s="251"/>
      <c r="C95" s="251"/>
      <c r="D95" s="330" t="s">
        <v>860</v>
      </c>
      <c r="E95" s="330" t="s">
        <v>860</v>
      </c>
      <c r="F95" s="330" t="s">
        <v>860</v>
      </c>
      <c r="G95" s="330" t="s">
        <v>860</v>
      </c>
    </row>
    <row r="96" spans="1:11" ht="13">
      <c r="A96" s="3" t="s">
        <v>273</v>
      </c>
      <c r="B96" s="203" t="s">
        <v>2290</v>
      </c>
      <c r="C96" s="251"/>
      <c r="D96" s="348" t="s">
        <v>248</v>
      </c>
      <c r="E96" s="348" t="s">
        <v>248</v>
      </c>
      <c r="F96" s="348" t="s">
        <v>248</v>
      </c>
      <c r="G96" s="348" t="s">
        <v>248</v>
      </c>
    </row>
    <row r="97" spans="1:9" ht="13">
      <c r="A97" s="2">
        <f>A91+1</f>
        <v>64</v>
      </c>
      <c r="B97" s="251"/>
      <c r="C97" s="251" t="s">
        <v>2291</v>
      </c>
      <c r="D97" s="271"/>
      <c r="E97" s="258"/>
      <c r="F97" s="258"/>
      <c r="G97" s="1061">
        <f>SUM(D97:F97)</f>
        <v>0</v>
      </c>
      <c r="H97" s="929"/>
      <c r="I97" s="907"/>
    </row>
    <row r="98" spans="1:9" ht="13">
      <c r="A98" s="2">
        <f t="shared" ref="A98:A113" si="10">A97+1</f>
        <v>65</v>
      </c>
      <c r="B98" s="251"/>
      <c r="C98" s="251" t="s">
        <v>111</v>
      </c>
      <c r="D98" s="271"/>
      <c r="E98" s="258"/>
      <c r="F98" s="258"/>
      <c r="G98" s="1061">
        <f t="shared" ref="G98:G101" si="11">SUM(D98:F98)</f>
        <v>0</v>
      </c>
      <c r="H98" s="929"/>
      <c r="I98" s="907"/>
    </row>
    <row r="99" spans="1:9" ht="13">
      <c r="A99" s="2">
        <f t="shared" ref="A99:A110" si="12">A98+1</f>
        <v>66</v>
      </c>
      <c r="B99" s="251"/>
      <c r="C99" s="251" t="s">
        <v>2292</v>
      </c>
      <c r="D99" s="271"/>
      <c r="E99" s="258"/>
      <c r="F99" s="258"/>
      <c r="G99" s="1061">
        <f t="shared" si="11"/>
        <v>0</v>
      </c>
      <c r="H99" s="929"/>
      <c r="I99" s="907"/>
    </row>
    <row r="100" spans="1:9" ht="13">
      <c r="A100" s="2">
        <f t="shared" si="12"/>
        <v>67</v>
      </c>
      <c r="B100" s="251"/>
      <c r="C100" s="251" t="s">
        <v>2293</v>
      </c>
      <c r="D100" s="271"/>
      <c r="E100" s="258"/>
      <c r="F100" s="258"/>
      <c r="G100" s="1061">
        <f t="shared" si="11"/>
        <v>0</v>
      </c>
      <c r="H100" s="929"/>
      <c r="I100" s="907"/>
    </row>
    <row r="101" spans="1:9" ht="13">
      <c r="A101" s="2">
        <f t="shared" si="12"/>
        <v>68</v>
      </c>
      <c r="B101" s="251"/>
      <c r="C101" s="285" t="s">
        <v>823</v>
      </c>
      <c r="D101" s="971"/>
      <c r="E101" s="1063"/>
      <c r="F101" s="1063"/>
      <c r="G101" s="1064">
        <f t="shared" si="11"/>
        <v>0</v>
      </c>
      <c r="H101" s="929"/>
      <c r="I101" s="907"/>
    </row>
    <row r="102" spans="1:9" ht="13">
      <c r="A102" s="2">
        <f t="shared" si="12"/>
        <v>69</v>
      </c>
      <c r="B102" s="251"/>
      <c r="C102" s="249" t="s">
        <v>2294</v>
      </c>
      <c r="D102" s="253">
        <f>SUM(D97:D101)</f>
        <v>0</v>
      </c>
      <c r="E102" s="253">
        <f t="shared" ref="E102:F102" si="13">SUM(E97:E101)</f>
        <v>0</v>
      </c>
      <c r="F102" s="253">
        <f t="shared" si="13"/>
        <v>0</v>
      </c>
      <c r="G102" s="1061">
        <f>SUM(D102:F102)</f>
        <v>0</v>
      </c>
    </row>
    <row r="103" spans="1:9" ht="13">
      <c r="A103" s="2">
        <f t="shared" si="12"/>
        <v>70</v>
      </c>
      <c r="B103" s="251"/>
      <c r="C103" s="249"/>
      <c r="D103" s="253"/>
      <c r="E103" s="253"/>
      <c r="F103" s="253"/>
      <c r="G103" s="1061"/>
    </row>
    <row r="104" spans="1:9" ht="13">
      <c r="A104" s="2">
        <f t="shared" si="12"/>
        <v>71</v>
      </c>
      <c r="B104" s="251"/>
      <c r="C104" s="251"/>
      <c r="D104" s="48" t="s">
        <v>336</v>
      </c>
      <c r="E104" s="48" t="s">
        <v>337</v>
      </c>
      <c r="F104" s="48" t="s">
        <v>338</v>
      </c>
      <c r="G104" s="251"/>
    </row>
    <row r="105" spans="1:9" ht="13">
      <c r="A105" s="2">
        <f t="shared" si="12"/>
        <v>72</v>
      </c>
      <c r="B105" s="251"/>
      <c r="C105" s="251"/>
      <c r="D105" s="330" t="s">
        <v>2263</v>
      </c>
      <c r="E105" s="330" t="s">
        <v>2264</v>
      </c>
      <c r="F105" s="330" t="s">
        <v>2265</v>
      </c>
      <c r="G105" s="251"/>
    </row>
    <row r="106" spans="1:9" ht="13">
      <c r="A106" s="2">
        <f t="shared" si="12"/>
        <v>73</v>
      </c>
      <c r="B106" s="251"/>
      <c r="C106" s="251"/>
      <c r="D106" s="330" t="s">
        <v>860</v>
      </c>
      <c r="E106" s="330" t="s">
        <v>860</v>
      </c>
      <c r="F106" s="330" t="s">
        <v>860</v>
      </c>
      <c r="G106" s="251"/>
    </row>
    <row r="107" spans="1:9" ht="13">
      <c r="A107" s="2">
        <f t="shared" si="12"/>
        <v>74</v>
      </c>
      <c r="B107" s="251"/>
      <c r="C107" s="251"/>
      <c r="D107" s="348" t="s">
        <v>248</v>
      </c>
      <c r="E107" s="348" t="s">
        <v>248</v>
      </c>
      <c r="F107" s="348" t="s">
        <v>248</v>
      </c>
      <c r="G107" s="251"/>
    </row>
    <row r="108" spans="1:9" ht="13">
      <c r="A108" s="2">
        <f t="shared" si="12"/>
        <v>75</v>
      </c>
      <c r="B108" s="251"/>
      <c r="C108" s="249" t="s">
        <v>2295</v>
      </c>
      <c r="D108" s="253">
        <f>D49+D70+D77+D91+D102</f>
        <v>0</v>
      </c>
      <c r="E108" s="253">
        <f>E49+E70+E77+E91+E102</f>
        <v>0</v>
      </c>
      <c r="F108" s="253">
        <f>F49+F70+F77+F91+F102</f>
        <v>0</v>
      </c>
      <c r="G108" s="251"/>
    </row>
    <row r="109" spans="1:9" ht="13">
      <c r="A109" s="2">
        <f t="shared" si="12"/>
        <v>76</v>
      </c>
      <c r="B109" s="251"/>
      <c r="C109" s="251"/>
      <c r="D109" s="251"/>
      <c r="E109" s="251"/>
      <c r="F109" s="251"/>
      <c r="G109" s="251"/>
    </row>
    <row r="110" spans="1:9" ht="13">
      <c r="A110" s="2">
        <f t="shared" si="12"/>
        <v>77</v>
      </c>
      <c r="B110" s="251"/>
      <c r="C110" s="251"/>
      <c r="D110" s="251"/>
      <c r="E110" s="251"/>
      <c r="F110" s="251"/>
      <c r="G110" s="251"/>
    </row>
    <row r="111" spans="1:9" ht="13">
      <c r="A111" s="2">
        <f t="shared" si="10"/>
        <v>78</v>
      </c>
      <c r="B111" s="251"/>
      <c r="C111" s="251"/>
      <c r="D111" s="330" t="s">
        <v>860</v>
      </c>
      <c r="E111" s="251"/>
      <c r="F111" s="251"/>
      <c r="G111" s="251"/>
    </row>
    <row r="112" spans="1:9" ht="13">
      <c r="A112" s="2">
        <f t="shared" si="10"/>
        <v>79</v>
      </c>
      <c r="B112" s="251"/>
      <c r="C112" s="251"/>
      <c r="D112" s="348" t="s">
        <v>248</v>
      </c>
      <c r="E112" s="3" t="s">
        <v>251</v>
      </c>
      <c r="F112" s="251"/>
      <c r="G112" s="251"/>
    </row>
    <row r="113" spans="1:7" ht="13">
      <c r="A113" s="2">
        <f t="shared" si="10"/>
        <v>80</v>
      </c>
      <c r="B113" s="251"/>
      <c r="C113" s="249" t="s">
        <v>2296</v>
      </c>
      <c r="D113" s="253">
        <f>D108+E108+F108</f>
        <v>0</v>
      </c>
      <c r="E113" s="250" t="s">
        <v>2897</v>
      </c>
      <c r="F113" s="251"/>
      <c r="G113" s="251"/>
    </row>
    <row r="114" spans="1:7" ht="13">
      <c r="A114" s="2"/>
      <c r="B114" s="251"/>
      <c r="C114" s="249"/>
      <c r="D114" s="253"/>
      <c r="E114" s="250"/>
      <c r="F114" s="251"/>
      <c r="G114" s="251"/>
    </row>
    <row r="115" spans="1:7" ht="14.5">
      <c r="A115" s="2"/>
      <c r="B115" s="30" t="s">
        <v>433</v>
      </c>
      <c r="C115" s="249"/>
      <c r="D115" s="253"/>
      <c r="E115" s="1068"/>
      <c r="F115" s="1069"/>
      <c r="G115" s="1069"/>
    </row>
    <row r="116" spans="1:7" ht="14.5">
      <c r="A116" s="2"/>
      <c r="B116" s="251" t="s">
        <v>2297</v>
      </c>
      <c r="C116" s="249"/>
      <c r="D116" s="253"/>
      <c r="E116" s="1068"/>
      <c r="F116" s="1069"/>
      <c r="G116" s="1069"/>
    </row>
    <row r="117" spans="1:7" ht="14.5">
      <c r="A117" s="2"/>
      <c r="B117" s="250" t="s">
        <v>2298</v>
      </c>
      <c r="C117" s="251"/>
      <c r="D117" s="251"/>
      <c r="E117" s="1069"/>
      <c r="F117" s="1069"/>
      <c r="G117" s="1069"/>
    </row>
    <row r="118" spans="1:7" ht="13">
      <c r="A118" s="2"/>
      <c r="B118" s="30" t="s">
        <v>228</v>
      </c>
      <c r="C118" s="251"/>
      <c r="D118" s="251"/>
      <c r="E118" s="251"/>
      <c r="F118" s="251"/>
      <c r="G118" s="251"/>
    </row>
    <row r="119" spans="1:7" ht="13">
      <c r="A119" s="2"/>
      <c r="B119" s="250" t="s">
        <v>2299</v>
      </c>
      <c r="C119" s="251"/>
      <c r="D119" s="251"/>
      <c r="E119" s="251"/>
      <c r="F119" s="251"/>
      <c r="G119" s="251"/>
    </row>
    <row r="120" spans="1:7" ht="13">
      <c r="A120" s="2"/>
      <c r="B120" s="265" t="s">
        <v>2300</v>
      </c>
      <c r="C120" s="251"/>
      <c r="D120" s="251"/>
      <c r="E120" s="251"/>
      <c r="F120" s="251"/>
      <c r="G120" s="251"/>
    </row>
    <row r="121" spans="1:7" ht="13">
      <c r="A121" s="2"/>
      <c r="B121" s="250" t="s">
        <v>2301</v>
      </c>
      <c r="C121" s="251"/>
      <c r="D121" s="251"/>
      <c r="E121" s="251"/>
      <c r="F121" s="251"/>
      <c r="G121" s="251"/>
    </row>
    <row r="122" spans="1:7" ht="13">
      <c r="A122" s="2"/>
      <c r="B122" s="265" t="s">
        <v>2302</v>
      </c>
      <c r="C122" s="251"/>
      <c r="D122" s="251"/>
      <c r="E122" s="251"/>
      <c r="F122" s="251"/>
      <c r="G122" s="251"/>
    </row>
    <row r="123" spans="1:7" ht="13">
      <c r="A123" s="2"/>
      <c r="B123" s="250" t="s">
        <v>2303</v>
      </c>
      <c r="C123" s="251"/>
      <c r="D123" s="251"/>
      <c r="E123" s="251"/>
      <c r="F123" s="251"/>
      <c r="G123" s="251"/>
    </row>
    <row r="124" spans="1:7" ht="13">
      <c r="A124" s="2"/>
      <c r="B124" s="265" t="s">
        <v>2304</v>
      </c>
      <c r="C124" s="251"/>
      <c r="D124" s="251"/>
      <c r="E124" s="251"/>
      <c r="F124" s="251"/>
      <c r="G124" s="251"/>
    </row>
    <row r="125" spans="1:7" ht="13">
      <c r="A125" s="643"/>
      <c r="B125" s="915"/>
    </row>
    <row r="126" spans="1:7" ht="13">
      <c r="A126" s="643"/>
    </row>
    <row r="127" spans="1:7" ht="13">
      <c r="A127" s="643"/>
      <c r="B127" s="622"/>
      <c r="C127" s="710"/>
      <c r="D127" s="710"/>
    </row>
    <row r="128" spans="1:7">
      <c r="B128" s="916"/>
      <c r="C128" s="622"/>
      <c r="D128" s="622"/>
    </row>
    <row r="129" spans="2:4">
      <c r="B129" s="916"/>
      <c r="D129" s="622"/>
    </row>
    <row r="130" spans="2:4">
      <c r="B130" s="916"/>
      <c r="D130" s="622"/>
    </row>
    <row r="131" spans="2:4">
      <c r="B131" s="916"/>
      <c r="D131" s="622"/>
    </row>
    <row r="132" spans="2:4">
      <c r="B132" s="916"/>
      <c r="D132" s="622"/>
    </row>
  </sheetData>
  <phoneticPr fontId="23" type="noConversion"/>
  <pageMargins left="0.7" right="0.7" top="0.75" bottom="0.75" header="0.3" footer="0.3"/>
  <pageSetup scale="70" orientation="portrait" r:id="rId1"/>
  <headerFooter>
    <oddHeader>&amp;CSchedule 35
Other Formula Revenue&amp;RTO2023 Draft Annual Update 
Attachment 1</oddHeader>
    <oddFooter>&amp;R&amp;A</oddFooter>
  </headerFooter>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7" max="7" width="9" bestFit="1" customWidth="1"/>
    <col min="10" max="10" width="18.54296875" customWidth="1"/>
    <col min="11" max="11" width="20.54296875" customWidth="1"/>
  </cols>
  <sheetData>
    <row r="1" spans="1:6" ht="13">
      <c r="A1" s="1" t="s">
        <v>268</v>
      </c>
    </row>
    <row r="2" spans="1:6" ht="13">
      <c r="A2" s="1"/>
    </row>
    <row r="3" spans="1:6">
      <c r="B3" s="251" t="s">
        <v>269</v>
      </c>
    </row>
    <row r="4" spans="1:6" ht="13">
      <c r="A4" s="1"/>
      <c r="B4" s="250" t="s">
        <v>270</v>
      </c>
    </row>
    <row r="5" spans="1:6" ht="13">
      <c r="A5" s="1"/>
      <c r="B5" s="250" t="s">
        <v>271</v>
      </c>
    </row>
    <row r="7" spans="1:6" ht="13">
      <c r="B7" s="1" t="s">
        <v>272</v>
      </c>
    </row>
    <row r="8" spans="1:6">
      <c r="E8" s="12"/>
    </row>
    <row r="9" spans="1:6" ht="13">
      <c r="A9" s="30" t="s">
        <v>273</v>
      </c>
      <c r="B9" s="40" t="s">
        <v>274</v>
      </c>
    </row>
    <row r="10" spans="1:6" ht="13">
      <c r="A10" s="2">
        <v>1</v>
      </c>
    </row>
    <row r="11" spans="1:6" ht="13">
      <c r="A11" s="2">
        <f>A10+1</f>
        <v>2</v>
      </c>
      <c r="B11" s="265" t="s">
        <v>275</v>
      </c>
    </row>
    <row r="12" spans="1:6" ht="13">
      <c r="A12" s="2">
        <f t="shared" ref="A12:A87" si="0">A11+1</f>
        <v>3</v>
      </c>
      <c r="B12" s="265" t="s">
        <v>276</v>
      </c>
    </row>
    <row r="13" spans="1:6" ht="13">
      <c r="A13" s="2">
        <f t="shared" si="0"/>
        <v>4</v>
      </c>
      <c r="B13" s="265"/>
    </row>
    <row r="14" spans="1:6" ht="13">
      <c r="A14" s="2">
        <f t="shared" si="0"/>
        <v>5</v>
      </c>
      <c r="B14" s="265" t="s">
        <v>277</v>
      </c>
    </row>
    <row r="15" spans="1:6" ht="13">
      <c r="A15" s="2">
        <f t="shared" si="0"/>
        <v>6</v>
      </c>
      <c r="B15" s="197"/>
    </row>
    <row r="16" spans="1:6" ht="13">
      <c r="A16" s="2">
        <f t="shared" si="0"/>
        <v>7</v>
      </c>
      <c r="B16" s="265" t="s">
        <v>278</v>
      </c>
      <c r="F16" s="63"/>
    </row>
    <row r="17" spans="1:7" ht="13">
      <c r="A17" s="2">
        <f t="shared" si="0"/>
        <v>8</v>
      </c>
      <c r="B17" s="503" t="s">
        <v>279</v>
      </c>
      <c r="F17" s="7"/>
    </row>
    <row r="18" spans="1:7" ht="13">
      <c r="A18" s="2">
        <f t="shared" si="0"/>
        <v>9</v>
      </c>
      <c r="B18" s="503" t="s">
        <v>280</v>
      </c>
      <c r="F18" s="7"/>
    </row>
    <row r="19" spans="1:7" ht="13">
      <c r="A19" s="2">
        <f t="shared" si="0"/>
        <v>10</v>
      </c>
      <c r="B19" s="503" t="s">
        <v>192</v>
      </c>
      <c r="E19" s="249"/>
      <c r="F19" s="6"/>
    </row>
    <row r="20" spans="1:7" ht="13">
      <c r="A20" s="2">
        <f t="shared" si="0"/>
        <v>11</v>
      </c>
      <c r="B20" s="1"/>
      <c r="D20" s="249"/>
      <c r="E20" s="3" t="s">
        <v>251</v>
      </c>
    </row>
    <row r="21" spans="1:7" ht="13">
      <c r="A21" s="2">
        <f t="shared" si="0"/>
        <v>12</v>
      </c>
      <c r="C21" s="249" t="s">
        <v>281</v>
      </c>
      <c r="D21" s="956">
        <f>'1-BaseTRR'!K90</f>
        <v>1.907056322533977E-2</v>
      </c>
      <c r="E21" s="250" t="str">
        <f>"1-BaseTRR, Line "&amp;'1-BaseTRR'!A90&amp;""</f>
        <v>1-BaseTRR, Line 51</v>
      </c>
    </row>
    <row r="22" spans="1:7" ht="13">
      <c r="A22" s="2">
        <f t="shared" si="0"/>
        <v>13</v>
      </c>
      <c r="C22" s="249" t="s">
        <v>282</v>
      </c>
      <c r="D22" s="956">
        <f>'1-BaseTRR'!K95</f>
        <v>5.1770508276703368E-2</v>
      </c>
      <c r="E22" s="250" t="str">
        <f>"1-BaseTRR, Line "&amp;'1-BaseTRR'!A95&amp;""</f>
        <v>1-BaseTRR, Line 55</v>
      </c>
    </row>
    <row r="23" spans="1:7" ht="13">
      <c r="A23" s="2">
        <f t="shared" si="0"/>
        <v>14</v>
      </c>
      <c r="C23" s="249" t="s">
        <v>283</v>
      </c>
      <c r="D23" s="956">
        <f>'1-BaseTRR'!K104</f>
        <v>0.27983599999999997</v>
      </c>
      <c r="E23" s="250" t="str">
        <f>"1-BaseTRR, Line "&amp;'1-BaseTRR'!A104&amp;""</f>
        <v>1-BaseTRR, Line 59</v>
      </c>
    </row>
    <row r="24" spans="1:7" ht="13">
      <c r="A24" s="2">
        <f t="shared" si="0"/>
        <v>15</v>
      </c>
      <c r="B24" s="251"/>
      <c r="D24" s="956"/>
      <c r="E24" s="250"/>
    </row>
    <row r="25" spans="1:7" ht="13">
      <c r="A25" s="2">
        <f t="shared" si="0"/>
        <v>16</v>
      </c>
      <c r="C25" s="249" t="s">
        <v>284</v>
      </c>
      <c r="D25" s="956">
        <f>D21 + (D22*(1/(1-D23)))</f>
        <v>9.095767265694614E-2</v>
      </c>
      <c r="E25" s="250" t="str">
        <f>"Line "&amp;A21&amp;" + (Line "&amp;A22&amp;" * (1/(1 - Line "&amp;A23&amp;")))"</f>
        <v>Line 12 + (Line 13 * (1/(1 - Line 14)))</v>
      </c>
      <c r="G25" s="957"/>
    </row>
    <row r="26" spans="1:7" ht="13">
      <c r="A26" s="2">
        <f t="shared" si="0"/>
        <v>17</v>
      </c>
      <c r="B26" s="251"/>
      <c r="D26" s="249"/>
      <c r="E26" s="250"/>
    </row>
    <row r="27" spans="1:7" ht="13">
      <c r="A27" s="2">
        <f t="shared" si="0"/>
        <v>18</v>
      </c>
      <c r="B27" s="40" t="s">
        <v>285</v>
      </c>
      <c r="D27" s="249"/>
      <c r="E27" s="250"/>
    </row>
    <row r="28" spans="1:7" ht="13">
      <c r="A28" s="2">
        <f t="shared" si="0"/>
        <v>19</v>
      </c>
      <c r="B28" s="251"/>
      <c r="D28" s="249"/>
      <c r="E28" s="250"/>
    </row>
    <row r="29" spans="1:7" ht="13">
      <c r="A29" s="2">
        <f t="shared" si="0"/>
        <v>20</v>
      </c>
      <c r="B29" s="265" t="s">
        <v>286</v>
      </c>
      <c r="D29" s="249"/>
      <c r="E29" s="250"/>
    </row>
    <row r="30" spans="1:7" ht="13">
      <c r="A30" s="2">
        <f t="shared" si="0"/>
        <v>21</v>
      </c>
      <c r="B30" s="265" t="s">
        <v>287</v>
      </c>
      <c r="D30" s="249"/>
      <c r="E30" s="250"/>
    </row>
    <row r="31" spans="1:7" ht="13">
      <c r="A31" s="2">
        <f t="shared" si="0"/>
        <v>22</v>
      </c>
      <c r="D31" s="249"/>
      <c r="E31" s="250"/>
    </row>
    <row r="32" spans="1:7" ht="13">
      <c r="A32" s="2">
        <f t="shared" si="0"/>
        <v>23</v>
      </c>
      <c r="B32" s="503" t="s">
        <v>288</v>
      </c>
      <c r="D32" s="249"/>
      <c r="E32" s="250"/>
    </row>
    <row r="33" spans="1:11" ht="13">
      <c r="A33" s="2">
        <f t="shared" si="0"/>
        <v>24</v>
      </c>
    </row>
    <row r="34" spans="1:11" ht="13">
      <c r="A34" s="2">
        <f t="shared" si="0"/>
        <v>25</v>
      </c>
      <c r="B34" s="40" t="s">
        <v>289</v>
      </c>
    </row>
    <row r="35" spans="1:11" ht="13">
      <c r="A35" s="2">
        <f t="shared" si="0"/>
        <v>26</v>
      </c>
      <c r="B35" s="251"/>
      <c r="E35" s="3" t="s">
        <v>251</v>
      </c>
    </row>
    <row r="36" spans="1:11" ht="13">
      <c r="A36" s="2">
        <f t="shared" si="0"/>
        <v>27</v>
      </c>
      <c r="C36" s="249" t="s">
        <v>290</v>
      </c>
      <c r="D36" s="253">
        <f>'6-PlantInService'!M24</f>
        <v>10351699667.416618</v>
      </c>
      <c r="E36" s="250" t="str">
        <f>"6-PlantInService, Line "&amp;'6-PlantInService'!A24&amp;""</f>
        <v>6-PlantInService, Line 13</v>
      </c>
    </row>
    <row r="37" spans="1:11" ht="13">
      <c r="A37" s="2">
        <f t="shared" si="0"/>
        <v>28</v>
      </c>
      <c r="C37" s="249" t="s">
        <v>291</v>
      </c>
      <c r="D37" s="253">
        <f>'6-PlantInService'!F36</f>
        <v>0</v>
      </c>
      <c r="E37" s="250" t="str">
        <f>"6-PlantInService, Line "&amp;'6-PlantInService'!A36&amp;""</f>
        <v>6-PlantInService, Line 16</v>
      </c>
    </row>
    <row r="38" spans="1:11" ht="13">
      <c r="A38" s="2">
        <f t="shared" si="0"/>
        <v>29</v>
      </c>
      <c r="C38" s="249" t="s">
        <v>292</v>
      </c>
      <c r="D38" s="253">
        <f>'8-AccDep'!N24</f>
        <v>2243012529</v>
      </c>
      <c r="E38" s="250" t="str">
        <f>"8-AccDep, Line "&amp;'8-AccDep'!A24&amp;""</f>
        <v>8-AccDep, Line 13</v>
      </c>
    </row>
    <row r="39" spans="1:11" ht="13">
      <c r="A39" s="2">
        <f t="shared" si="0"/>
        <v>30</v>
      </c>
      <c r="C39" s="249" t="s">
        <v>293</v>
      </c>
      <c r="D39" s="53">
        <f>'8-AccDep'!G34</f>
        <v>0</v>
      </c>
      <c r="E39" s="250" t="str">
        <f>"8-AccDep, Line "&amp;'8-AccDep'!A34&amp;""</f>
        <v>8-AccDep, Line 16</v>
      </c>
    </row>
    <row r="40" spans="1:11" ht="13">
      <c r="A40" s="2">
        <f t="shared" si="0"/>
        <v>31</v>
      </c>
      <c r="C40" s="249" t="s">
        <v>294</v>
      </c>
      <c r="D40" s="6">
        <f>(D36+D37)-(D38+D39)</f>
        <v>8108687138.4166183</v>
      </c>
      <c r="E40" s="250" t="str">
        <f>"(L"&amp;A36&amp;" + L"&amp;A37&amp;") - (L"&amp;A38&amp;" + L"&amp;A39&amp;")"</f>
        <v>(L27 + L28) - (L29 + L30)</v>
      </c>
    </row>
    <row r="41" spans="1:11" ht="13">
      <c r="A41" s="2">
        <f t="shared" si="0"/>
        <v>32</v>
      </c>
      <c r="C41" s="249"/>
      <c r="D41" s="6"/>
      <c r="E41" s="250"/>
    </row>
    <row r="42" spans="1:11" ht="13">
      <c r="A42" s="2">
        <f t="shared" si="0"/>
        <v>33</v>
      </c>
      <c r="B42" s="40" t="s">
        <v>295</v>
      </c>
    </row>
    <row r="43" spans="1:11" ht="13">
      <c r="A43" s="2">
        <f t="shared" si="0"/>
        <v>34</v>
      </c>
      <c r="B43" s="40"/>
    </row>
    <row r="44" spans="1:11" ht="13">
      <c r="A44" s="2">
        <f t="shared" si="0"/>
        <v>35</v>
      </c>
      <c r="B44" s="40" t="s">
        <v>296</v>
      </c>
    </row>
    <row r="45" spans="1:11" ht="13">
      <c r="A45" s="2">
        <f t="shared" si="0"/>
        <v>36</v>
      </c>
      <c r="B45" s="34" t="s">
        <v>297</v>
      </c>
    </row>
    <row r="46" spans="1:11" ht="13">
      <c r="A46" s="2">
        <f t="shared" si="0"/>
        <v>37</v>
      </c>
      <c r="B46" s="40"/>
      <c r="C46" s="249" t="s">
        <v>298</v>
      </c>
      <c r="D46" s="253">
        <f>'10-CWIP'!D25</f>
        <v>457540028.63</v>
      </c>
      <c r="E46" s="250" t="str">
        <f>"10-CWIP, L "&amp;'10-CWIP'!A25&amp;" C1"</f>
        <v>10-CWIP, L 13 C1</v>
      </c>
      <c r="K46" s="6"/>
    </row>
    <row r="47" spans="1:11" ht="13">
      <c r="A47" s="2">
        <f t="shared" si="0"/>
        <v>38</v>
      </c>
      <c r="B47" s="40"/>
      <c r="C47" s="249" t="s">
        <v>299</v>
      </c>
      <c r="D47" s="958">
        <f>D25</f>
        <v>9.095767265694614E-2</v>
      </c>
      <c r="E47" s="250" t="str">
        <f>"Line "&amp;A25&amp;""</f>
        <v>Line 16</v>
      </c>
      <c r="K47" s="6"/>
    </row>
    <row r="48" spans="1:11" ht="13">
      <c r="A48" s="2">
        <f t="shared" si="0"/>
        <v>39</v>
      </c>
      <c r="B48" s="40"/>
      <c r="C48" s="249" t="s">
        <v>300</v>
      </c>
      <c r="D48" s="253">
        <f>D46*D47</f>
        <v>41616776.151577301</v>
      </c>
      <c r="E48" s="250" t="str">
        <f>"Line "&amp;A46&amp;" * Line "&amp;A47&amp;""</f>
        <v>Line 37 * Line 38</v>
      </c>
      <c r="K48" s="6"/>
    </row>
    <row r="49" spans="1:11" ht="13">
      <c r="A49" s="2">
        <f t="shared" si="0"/>
        <v>40</v>
      </c>
      <c r="B49" s="40"/>
      <c r="C49" s="249"/>
      <c r="D49" s="253"/>
      <c r="E49" s="250"/>
      <c r="K49" s="6"/>
    </row>
    <row r="50" spans="1:11" ht="13">
      <c r="A50" s="2">
        <f t="shared" si="0"/>
        <v>41</v>
      </c>
      <c r="B50" s="34" t="s">
        <v>301</v>
      </c>
      <c r="K50" s="6"/>
    </row>
    <row r="51" spans="1:11" ht="13">
      <c r="A51" s="2">
        <f t="shared" si="0"/>
        <v>42</v>
      </c>
      <c r="B51" s="40"/>
      <c r="C51" s="249" t="s">
        <v>302</v>
      </c>
      <c r="D51" s="253">
        <f>'15-IncentiveAdder'!G17</f>
        <v>6595.7198638087975</v>
      </c>
      <c r="E51" s="12" t="str">
        <f>"15-IncentiveAdder, Line "&amp;'15-IncentiveAdder'!A17&amp;""</f>
        <v>15-IncentiveAdder, Line 3</v>
      </c>
      <c r="K51" s="6"/>
    </row>
    <row r="52" spans="1:11" ht="13">
      <c r="A52" s="2">
        <f t="shared" si="0"/>
        <v>43</v>
      </c>
      <c r="B52" s="40"/>
      <c r="C52" s="249"/>
      <c r="K52" s="6"/>
    </row>
    <row r="53" spans="1:11" ht="13">
      <c r="A53" s="2">
        <f t="shared" si="0"/>
        <v>44</v>
      </c>
      <c r="B53" s="40"/>
      <c r="C53" s="249" t="s">
        <v>303</v>
      </c>
      <c r="D53" s="6">
        <f>'10-CWIP'!E25</f>
        <v>4598499.51</v>
      </c>
      <c r="E53" s="250" t="str">
        <f>"10-CWIP, Line "&amp;'10-CWIP'!A25&amp;""</f>
        <v>10-CWIP, Line 13</v>
      </c>
      <c r="F53" s="251"/>
      <c r="K53" s="6"/>
    </row>
    <row r="54" spans="1:11" ht="13">
      <c r="A54" s="2">
        <f t="shared" si="0"/>
        <v>45</v>
      </c>
      <c r="B54" s="40"/>
      <c r="C54" s="249" t="s">
        <v>304</v>
      </c>
      <c r="D54" s="26">
        <f>'15-IncentiveAdder'!E26</f>
        <v>1.2500000000000001E-2</v>
      </c>
      <c r="E54" s="12" t="str">
        <f>"15-IncentiveAdder, Line "&amp;'15-IncentiveAdder'!A26&amp;""</f>
        <v>15-IncentiveAdder, Line 5</v>
      </c>
      <c r="F54" s="251"/>
      <c r="K54" s="6"/>
    </row>
    <row r="55" spans="1:11" ht="13">
      <c r="A55" s="2">
        <f t="shared" si="0"/>
        <v>46</v>
      </c>
      <c r="B55" s="40"/>
      <c r="C55" s="249" t="s">
        <v>305</v>
      </c>
      <c r="D55" s="6">
        <f>(D53/1000000)*($D$51*(D54/0.01))</f>
        <v>37913.018202277533</v>
      </c>
      <c r="E55" s="250" t="str">
        <f>"Formula on Line "&amp;A61&amp;""</f>
        <v>Formula on Line 52</v>
      </c>
      <c r="K55" s="6"/>
    </row>
    <row r="56" spans="1:11" ht="13">
      <c r="A56" s="2">
        <f t="shared" si="0"/>
        <v>47</v>
      </c>
      <c r="B56" s="40"/>
      <c r="C56" s="249"/>
      <c r="E56" s="6"/>
      <c r="K56" s="6"/>
    </row>
    <row r="57" spans="1:11" ht="13">
      <c r="A57" s="2">
        <f t="shared" si="0"/>
        <v>48</v>
      </c>
      <c r="C57" s="249" t="s">
        <v>306</v>
      </c>
      <c r="D57" s="6">
        <f>'10-CWIP'!F25</f>
        <v>0</v>
      </c>
      <c r="E57" s="250" t="str">
        <f>"10-CWIP, Line "&amp;'10-CWIP'!A25&amp;""</f>
        <v>10-CWIP, Line 13</v>
      </c>
      <c r="K57" s="6"/>
    </row>
    <row r="58" spans="1:11" ht="13">
      <c r="A58" s="2">
        <f t="shared" si="0"/>
        <v>49</v>
      </c>
      <c r="C58" s="249" t="s">
        <v>307</v>
      </c>
      <c r="D58" s="26">
        <f>'15-IncentiveAdder'!E27</f>
        <v>0.01</v>
      </c>
      <c r="E58" s="12" t="str">
        <f>"15-IncentiveAdder, Line "&amp;'15-IncentiveAdder'!A27&amp;""</f>
        <v>15-IncentiveAdder, Line 6</v>
      </c>
      <c r="K58" s="6"/>
    </row>
    <row r="59" spans="1:11" ht="13">
      <c r="A59" s="2">
        <f t="shared" si="0"/>
        <v>50</v>
      </c>
      <c r="C59" s="249" t="s">
        <v>308</v>
      </c>
      <c r="D59" s="6">
        <f>(D57/1000000)*($D$51*(D58/0.01))</f>
        <v>0</v>
      </c>
      <c r="E59" s="250" t="str">
        <f>"Formula on Line "&amp;A61&amp;""</f>
        <v>Formula on Line 52</v>
      </c>
      <c r="K59" s="6"/>
    </row>
    <row r="60" spans="1:11" ht="13">
      <c r="A60" s="2">
        <f t="shared" si="0"/>
        <v>51</v>
      </c>
      <c r="C60" s="249"/>
      <c r="D60" s="6"/>
      <c r="E60" s="250"/>
      <c r="K60" s="6"/>
    </row>
    <row r="61" spans="1:11" ht="13">
      <c r="A61" s="2">
        <f t="shared" si="0"/>
        <v>52</v>
      </c>
      <c r="C61" s="295" t="s">
        <v>309</v>
      </c>
      <c r="D61" s="6"/>
      <c r="E61" s="250"/>
      <c r="K61" s="6"/>
    </row>
    <row r="62" spans="1:11" ht="13">
      <c r="A62" s="2">
        <f t="shared" si="0"/>
        <v>53</v>
      </c>
      <c r="K62" s="6"/>
    </row>
    <row r="63" spans="1:11" ht="13">
      <c r="A63" s="2">
        <f t="shared" si="0"/>
        <v>54</v>
      </c>
      <c r="C63" s="249" t="s">
        <v>310</v>
      </c>
      <c r="D63" s="253">
        <f>D48+D55+D59</f>
        <v>41654689.169779576</v>
      </c>
      <c r="E63" s="250" t="str">
        <f>"Line "&amp;A48&amp;" + Line "&amp;A55&amp;" + Line "&amp;A59&amp;""</f>
        <v>Line 39 + Line 46 + Line 50</v>
      </c>
      <c r="K63" s="6"/>
    </row>
    <row r="64" spans="1:11" ht="13">
      <c r="A64" s="2">
        <f t="shared" si="0"/>
        <v>55</v>
      </c>
      <c r="C64" s="249" t="s">
        <v>311</v>
      </c>
      <c r="D64" s="53">
        <f>('28-FFU'!D22+'28-FFU'!E22)*D63</f>
        <v>805361.71180321416</v>
      </c>
      <c r="E64" s="250" t="str">
        <f>"(28-FFU, L"&amp;'28-FFU'!A22&amp;" FF Factor + U Factor) * L"&amp;A63&amp;""</f>
        <v>(28-FFU, L5 FF Factor + U Factor) * L54</v>
      </c>
      <c r="K64" s="6"/>
    </row>
    <row r="65" spans="1:11" ht="13">
      <c r="A65" s="2">
        <f t="shared" si="0"/>
        <v>56</v>
      </c>
      <c r="C65" s="249" t="s">
        <v>312</v>
      </c>
      <c r="D65" s="253">
        <f>SUM(D63:D64)</f>
        <v>42460050.881582789</v>
      </c>
      <c r="E65" s="250" t="str">
        <f>"Line "&amp;A63&amp;" + Line "&amp;A64&amp;""</f>
        <v>Line 54 + Line 55</v>
      </c>
      <c r="K65" s="6"/>
    </row>
    <row r="66" spans="1:11" ht="13">
      <c r="A66" s="2">
        <f t="shared" si="0"/>
        <v>57</v>
      </c>
      <c r="C66" s="249"/>
      <c r="D66" s="253"/>
      <c r="E66" s="250"/>
      <c r="K66" s="6"/>
    </row>
    <row r="67" spans="1:11" ht="13">
      <c r="A67" s="2">
        <f t="shared" si="0"/>
        <v>58</v>
      </c>
      <c r="B67" s="40" t="s">
        <v>313</v>
      </c>
      <c r="C67" s="249"/>
      <c r="D67" s="253"/>
      <c r="E67" s="250"/>
      <c r="K67" s="6"/>
    </row>
    <row r="68" spans="1:11" ht="13">
      <c r="A68" s="2">
        <f t="shared" si="0"/>
        <v>59</v>
      </c>
      <c r="K68" s="6"/>
    </row>
    <row r="69" spans="1:11" ht="13">
      <c r="A69" s="2">
        <f t="shared" si="0"/>
        <v>60</v>
      </c>
      <c r="C69" s="249" t="s">
        <v>310</v>
      </c>
      <c r="D69" s="253">
        <f>D63</f>
        <v>41654689.169779576</v>
      </c>
      <c r="E69" s="250" t="str">
        <f>"Line "&amp;A63&amp;""</f>
        <v>Line 54</v>
      </c>
      <c r="K69" s="6"/>
    </row>
    <row r="70" spans="1:11" ht="13">
      <c r="A70" s="2">
        <f t="shared" si="0"/>
        <v>61</v>
      </c>
      <c r="C70" s="249" t="s">
        <v>314</v>
      </c>
      <c r="D70" s="253">
        <f>'1-BaseTRR'!K139</f>
        <v>1206191998.8844914</v>
      </c>
      <c r="E70" s="250" t="str">
        <f>"1-BaseTRR, Line "&amp;'1-BaseTRR'!A139&amp;""</f>
        <v>1-BaseTRR, Line 78</v>
      </c>
      <c r="K70" s="6"/>
    </row>
    <row r="71" spans="1:11" ht="13">
      <c r="A71" s="2">
        <f t="shared" si="0"/>
        <v>62</v>
      </c>
      <c r="C71" s="249" t="s">
        <v>315</v>
      </c>
      <c r="D71" s="253">
        <f>D70-D69</f>
        <v>1164537309.7147119</v>
      </c>
      <c r="E71" s="250" t="str">
        <f>"Line "&amp;A70&amp;" - Line "&amp;A69&amp;""</f>
        <v>Line 61 - Line 60</v>
      </c>
      <c r="K71" s="6"/>
    </row>
    <row r="72" spans="1:11" ht="13">
      <c r="A72" s="2">
        <f t="shared" si="0"/>
        <v>63</v>
      </c>
      <c r="C72" s="409" t="s">
        <v>316</v>
      </c>
      <c r="D72" s="6">
        <f>('1-BaseTRR'!K126+'1-BaseTRR'!K127)*0.75</f>
        <v>180501280.26489142</v>
      </c>
      <c r="E72" s="250" t="str">
        <f>"(1-BaseTRR, Line "&amp;'1-BaseTRR'!A126&amp;" + Line "&amp;'1-BaseTRR'!A127&amp;") * .75"</f>
        <v>(1-BaseTRR, Line 66 + Line 67) * .75</v>
      </c>
      <c r="K72" s="6"/>
    </row>
    <row r="73" spans="1:11" ht="13">
      <c r="A73" s="2">
        <f t="shared" si="0"/>
        <v>64</v>
      </c>
      <c r="C73" s="249" t="s">
        <v>317</v>
      </c>
      <c r="D73" s="958">
        <f xml:space="preserve"> (D71-D72)/D40</f>
        <v>0.12135577716246344</v>
      </c>
      <c r="E73" s="250" t="str">
        <f>"(Line "&amp;A71&amp;" - Line "&amp;A72&amp;") / Line "&amp;A40&amp;""</f>
        <v>(Line 62 - Line 63) / Line 31</v>
      </c>
      <c r="K73" s="6"/>
    </row>
    <row r="74" spans="1:11" ht="13">
      <c r="A74" s="2">
        <f t="shared" si="0"/>
        <v>65</v>
      </c>
      <c r="D74" s="6"/>
      <c r="E74" s="250"/>
    </row>
    <row r="75" spans="1:11" ht="13">
      <c r="A75" s="2">
        <f t="shared" si="0"/>
        <v>66</v>
      </c>
      <c r="B75" s="1" t="s">
        <v>318</v>
      </c>
    </row>
    <row r="76" spans="1:11" ht="13">
      <c r="A76" s="2">
        <f t="shared" si="0"/>
        <v>67</v>
      </c>
    </row>
    <row r="77" spans="1:11" ht="13">
      <c r="A77" s="2">
        <f t="shared" si="0"/>
        <v>68</v>
      </c>
      <c r="E77" s="3" t="s">
        <v>251</v>
      </c>
      <c r="I77" s="1"/>
    </row>
    <row r="78" spans="1:11" ht="13">
      <c r="A78" s="2">
        <f t="shared" si="0"/>
        <v>69</v>
      </c>
      <c r="C78" s="249" t="s">
        <v>319</v>
      </c>
      <c r="D78" s="6">
        <f>'16-PlantAdditions'!N37</f>
        <v>1028452054.2563974</v>
      </c>
      <c r="E78" s="250" t="str">
        <f>"16-PlantAdditions, L "&amp;'16-PlantAdditions'!A37&amp;", C10"</f>
        <v>16-PlantAdditions, L 25, C10</v>
      </c>
      <c r="K78" s="6"/>
    </row>
    <row r="79" spans="1:11" ht="13">
      <c r="A79" s="2">
        <f t="shared" si="0"/>
        <v>70</v>
      </c>
      <c r="C79" s="249" t="s">
        <v>317</v>
      </c>
      <c r="D79" s="501">
        <f>D73</f>
        <v>0.12135577716246344</v>
      </c>
      <c r="E79" s="250" t="str">
        <f>"Line "&amp;A73&amp;""</f>
        <v>Line 64</v>
      </c>
      <c r="K79" s="386"/>
    </row>
    <row r="80" spans="1:11" ht="13">
      <c r="A80" s="2">
        <f t="shared" si="0"/>
        <v>71</v>
      </c>
      <c r="C80" s="249" t="s">
        <v>320</v>
      </c>
      <c r="D80" s="6">
        <f>D78*D79</f>
        <v>124808598.31861712</v>
      </c>
      <c r="E80" s="250" t="str">
        <f>"Line "&amp;A78&amp;" * Line "&amp;A79&amp;""</f>
        <v>Line 69 * Line 70</v>
      </c>
      <c r="K80" s="6"/>
    </row>
    <row r="81" spans="1:11" ht="13">
      <c r="A81" s="2">
        <f t="shared" si="0"/>
        <v>72</v>
      </c>
      <c r="K81" s="6"/>
    </row>
    <row r="82" spans="1:11" ht="13">
      <c r="A82" s="2">
        <f t="shared" si="0"/>
        <v>73</v>
      </c>
      <c r="C82" s="249" t="s">
        <v>321</v>
      </c>
      <c r="D82" s="6">
        <f>'10-CWIP'!K79</f>
        <v>-318391640.21225625</v>
      </c>
      <c r="E82" s="250" t="str">
        <f>"10-CWIP, L "&amp;'10-CWIP'!A79&amp;", C8"</f>
        <v>10-CWIP, L 54, C8</v>
      </c>
      <c r="K82" s="6"/>
    </row>
    <row r="83" spans="1:11" ht="13">
      <c r="A83" s="2">
        <f t="shared" si="0"/>
        <v>74</v>
      </c>
      <c r="C83" s="249" t="s">
        <v>299</v>
      </c>
      <c r="D83" s="501">
        <f>D25</f>
        <v>9.095767265694614E-2</v>
      </c>
      <c r="E83" s="250" t="str">
        <f>"Line "&amp;A25&amp;""</f>
        <v>Line 16</v>
      </c>
      <c r="K83" s="386"/>
    </row>
    <row r="84" spans="1:11" ht="13">
      <c r="A84" s="2">
        <f t="shared" si="0"/>
        <v>75</v>
      </c>
      <c r="C84" s="249" t="s">
        <v>322</v>
      </c>
      <c r="D84" s="6">
        <f>D82*D83</f>
        <v>-28960162.587134574</v>
      </c>
      <c r="E84" s="250" t="str">
        <f>"Line "&amp;A82&amp;" * Line "&amp;A83&amp;""</f>
        <v>Line 73 * Line 74</v>
      </c>
      <c r="K84" s="6"/>
    </row>
    <row r="85" spans="1:11" ht="13">
      <c r="A85" s="2">
        <f t="shared" si="0"/>
        <v>76</v>
      </c>
      <c r="K85" s="6"/>
    </row>
    <row r="86" spans="1:11" ht="13">
      <c r="A86" s="2">
        <f t="shared" si="0"/>
        <v>77</v>
      </c>
      <c r="C86" s="249" t="s">
        <v>323</v>
      </c>
      <c r="D86" s="6">
        <f>D80+D84</f>
        <v>95848435.731482551</v>
      </c>
      <c r="E86" s="250" t="str">
        <f>"Line "&amp;A80&amp;" + Line "&amp;A84&amp;""</f>
        <v>Line 71 + Line 75</v>
      </c>
      <c r="K86" s="6"/>
    </row>
    <row r="87" spans="1:11" ht="13">
      <c r="A87" s="2">
        <f t="shared" si="0"/>
        <v>78</v>
      </c>
      <c r="K87" s="6"/>
    </row>
    <row r="88" spans="1:11" ht="13">
      <c r="A88" s="2">
        <f t="shared" ref="A88:A91" si="1">A87+1</f>
        <v>79</v>
      </c>
      <c r="C88" s="249" t="s">
        <v>324</v>
      </c>
      <c r="D88" s="6">
        <f>'28-FFU'!D22*D86</f>
        <v>897580.50123340252</v>
      </c>
      <c r="E88" s="12" t="str">
        <f>"Line "&amp;A86&amp;" * FF (from 28-FFU, L "&amp;'28-FFU'!A22&amp;")"</f>
        <v>Line 77 * FF (from 28-FFU, L 5)</v>
      </c>
      <c r="K88" s="6"/>
    </row>
    <row r="89" spans="1:11" ht="13">
      <c r="A89" s="2">
        <f t="shared" si="1"/>
        <v>80</v>
      </c>
      <c r="C89" s="25" t="s">
        <v>325</v>
      </c>
      <c r="D89" s="6">
        <f>'28-FFU'!E22*D86</f>
        <v>955576.05359621113</v>
      </c>
      <c r="E89" s="12" t="str">
        <f>"Line "&amp;A86&amp;" * U (from 28-FFU, L "&amp;'28-FFU'!A22&amp;")"</f>
        <v>Line 77 * U (from 28-FFU, L 5)</v>
      </c>
      <c r="K89" s="6"/>
    </row>
    <row r="90" spans="1:11" ht="13">
      <c r="A90" s="2">
        <f t="shared" si="1"/>
        <v>81</v>
      </c>
      <c r="D90" s="6"/>
      <c r="K90" s="6"/>
    </row>
    <row r="91" spans="1:11" ht="13">
      <c r="A91" s="2">
        <f t="shared" si="1"/>
        <v>82</v>
      </c>
      <c r="C91" s="25" t="s">
        <v>326</v>
      </c>
      <c r="D91" s="6">
        <f>D86+D88+D89</f>
        <v>97701592.286312163</v>
      </c>
      <c r="E91" s="250" t="str">
        <f>"Line "&amp;A86&amp;" + Line "&amp;A88&amp;" + Line "&amp;A89&amp;""</f>
        <v>Line 77 + Line 79 + Line 80</v>
      </c>
      <c r="K91" s="6"/>
    </row>
  </sheetData>
  <phoneticPr fontId="23" type="noConversion"/>
  <pageMargins left="0.75" right="0.75" top="1" bottom="1" header="0.5" footer="0.5"/>
  <pageSetup scale="75" orientation="portrait" cellComments="asDisplayed" r:id="rId1"/>
  <headerFooter alignWithMargins="0">
    <oddHeader>&amp;CSchedule 2
Incremental Forecast Period TRR
&amp;RTO2023 Draft Annual Update 
Attachment 1</oddHeader>
    <oddFooter>&amp;R&amp;A</oddFooter>
  </headerFooter>
  <rowBreaks count="1" manualBreakCount="1">
    <brk id="66"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topLeftCell="A19" zoomScaleNormal="100" zoomScalePageLayoutView="70" workbookViewId="0">
      <selection activeCell="G36" sqref="G36"/>
    </sheetView>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327</v>
      </c>
      <c r="B1" s="117"/>
      <c r="C1" s="117"/>
      <c r="D1" s="117"/>
      <c r="E1" s="117"/>
      <c r="F1" s="117"/>
      <c r="G1" s="117"/>
      <c r="H1" s="117"/>
      <c r="I1" s="117"/>
      <c r="J1" s="117"/>
      <c r="K1" s="117"/>
      <c r="L1" s="117"/>
    </row>
    <row r="2" spans="1:12">
      <c r="A2" s="117"/>
      <c r="B2" s="117"/>
      <c r="C2" s="117"/>
      <c r="D2" s="117"/>
      <c r="E2" s="117"/>
      <c r="F2" s="117"/>
      <c r="G2" s="117"/>
      <c r="H2" s="117"/>
      <c r="I2" s="117"/>
      <c r="J2" s="117"/>
      <c r="K2" s="117"/>
      <c r="L2" s="117"/>
    </row>
    <row r="3" spans="1:12" ht="13">
      <c r="A3" s="117"/>
      <c r="B3" s="1" t="s">
        <v>328</v>
      </c>
      <c r="C3" s="117"/>
      <c r="D3" s="117"/>
      <c r="E3" s="117"/>
      <c r="F3" s="117"/>
      <c r="G3" s="117"/>
      <c r="H3" s="117"/>
      <c r="I3" s="117"/>
      <c r="J3" s="117"/>
      <c r="K3" s="117"/>
      <c r="L3" s="117"/>
    </row>
    <row r="4" spans="1:12">
      <c r="A4" s="117"/>
      <c r="B4" s="250" t="s">
        <v>329</v>
      </c>
      <c r="C4" s="117"/>
      <c r="D4" s="117"/>
      <c r="E4" s="117"/>
      <c r="F4" s="117"/>
      <c r="G4" s="117"/>
      <c r="H4" s="117"/>
      <c r="I4" s="117"/>
      <c r="J4" s="117"/>
      <c r="K4" s="117"/>
      <c r="L4" s="117"/>
    </row>
    <row r="5" spans="1:12">
      <c r="A5" s="117"/>
      <c r="B5" s="250" t="s">
        <v>330</v>
      </c>
      <c r="C5" s="117"/>
      <c r="D5" s="117"/>
      <c r="E5" s="117"/>
      <c r="F5" s="117"/>
      <c r="G5" s="117"/>
      <c r="H5" s="117"/>
      <c r="I5" s="117"/>
      <c r="J5" s="117"/>
      <c r="K5" s="117"/>
      <c r="L5" s="117"/>
    </row>
    <row r="6" spans="1:12">
      <c r="A6" s="117"/>
      <c r="B6" s="250" t="s">
        <v>331</v>
      </c>
      <c r="C6" s="117"/>
      <c r="D6" s="117"/>
      <c r="E6" s="117"/>
      <c r="F6" s="117"/>
      <c r="G6" s="117"/>
      <c r="H6" s="117"/>
      <c r="I6" s="117"/>
      <c r="J6" s="117"/>
      <c r="K6" s="117"/>
      <c r="L6" s="117"/>
    </row>
    <row r="7" spans="1:12">
      <c r="A7" s="117"/>
      <c r="B7" s="250" t="str">
        <f>"d) Include previous Annual Update Cumulative Excess or Shortfall in Prior Year (from Previous Annual Update Line "&amp;A36&amp;")"</f>
        <v>d) Include previous Annual Update Cumulative Excess or Shortfall in Prior Year (from Previous Annual Update Line 23)</v>
      </c>
      <c r="C7" s="117"/>
      <c r="D7" s="117"/>
      <c r="E7" s="117"/>
      <c r="F7" s="117"/>
      <c r="G7" s="117"/>
      <c r="H7" s="117"/>
      <c r="I7" s="117"/>
      <c r="J7" s="117"/>
      <c r="K7" s="117"/>
      <c r="L7" s="117"/>
    </row>
    <row r="8" spans="1:12">
      <c r="A8" s="117"/>
      <c r="B8" s="502" t="str">
        <f>"and any One-Time Adjustments in Column 4 (Lines "&amp;A24&amp;" and "&amp;A25&amp;" respectively)."</f>
        <v>and any One-Time Adjustments in Column 4 (Lines 11 and 12 respectively).</v>
      </c>
      <c r="C8" s="117"/>
      <c r="D8" s="117"/>
      <c r="E8" s="117"/>
      <c r="F8" s="117"/>
      <c r="G8" s="117"/>
      <c r="H8" s="117"/>
      <c r="I8" s="117"/>
      <c r="J8" s="117"/>
      <c r="K8" s="117"/>
      <c r="L8" s="117"/>
    </row>
    <row r="9" spans="1:12">
      <c r="A9" s="117"/>
      <c r="B9" s="250"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17"/>
      <c r="D9" s="117"/>
      <c r="E9" s="117"/>
      <c r="F9" s="117"/>
      <c r="G9" s="117"/>
      <c r="H9" s="117"/>
      <c r="I9" s="117"/>
      <c r="J9" s="117"/>
      <c r="K9" s="117"/>
      <c r="L9" s="117"/>
    </row>
    <row r="10" spans="1:12">
      <c r="A10" s="117"/>
      <c r="B10" s="117"/>
      <c r="C10" s="117"/>
      <c r="D10" s="117"/>
      <c r="E10" s="117"/>
      <c r="F10" s="117"/>
      <c r="G10" s="117"/>
      <c r="H10" s="117"/>
      <c r="I10" s="117"/>
      <c r="J10" s="117"/>
      <c r="K10" s="117"/>
      <c r="L10" s="117"/>
    </row>
    <row r="11" spans="1:12" ht="13">
      <c r="A11" s="2"/>
      <c r="B11" s="47" t="s">
        <v>332</v>
      </c>
      <c r="C11" s="117"/>
      <c r="D11" s="118"/>
      <c r="E11" s="119"/>
      <c r="F11" s="117"/>
      <c r="G11" s="117"/>
      <c r="H11" s="117"/>
      <c r="I11" s="117"/>
      <c r="J11" s="117"/>
      <c r="K11" s="253"/>
      <c r="L11" s="117"/>
    </row>
    <row r="12" spans="1:12" ht="13">
      <c r="A12" s="2"/>
      <c r="B12" s="40" t="s">
        <v>333</v>
      </c>
      <c r="C12" s="117"/>
      <c r="D12" s="118"/>
      <c r="E12" s="119"/>
      <c r="F12" s="117"/>
      <c r="G12" s="117"/>
      <c r="H12" s="117"/>
      <c r="I12" s="117"/>
      <c r="J12" s="117"/>
      <c r="K12" s="117"/>
      <c r="L12" s="117"/>
    </row>
    <row r="13" spans="1:12" ht="13">
      <c r="A13" s="32" t="s">
        <v>273</v>
      </c>
      <c r="B13" s="117"/>
      <c r="C13" s="47"/>
      <c r="D13" s="118"/>
      <c r="E13" s="119"/>
      <c r="F13" s="3"/>
      <c r="G13" s="117"/>
      <c r="H13" s="117"/>
      <c r="I13" s="117"/>
      <c r="J13" s="117"/>
      <c r="K13" s="117"/>
      <c r="L13" s="117"/>
    </row>
    <row r="14" spans="1:12" ht="13">
      <c r="A14" s="2">
        <f>A7+1</f>
        <v>1</v>
      </c>
      <c r="B14" s="117"/>
      <c r="C14" s="117"/>
      <c r="D14" s="264" t="s">
        <v>334</v>
      </c>
      <c r="E14" s="119">
        <f>'4-TUTRR'!E74</f>
        <v>1222175403.833822</v>
      </c>
      <c r="F14" s="265" t="s">
        <v>335</v>
      </c>
      <c r="G14" s="117"/>
      <c r="H14" s="117" t="str">
        <f>"Line "&amp;'4-TUTRR'!A74&amp;""</f>
        <v>Line 46</v>
      </c>
      <c r="I14" s="117"/>
      <c r="J14" s="117"/>
      <c r="K14" s="117"/>
      <c r="L14" s="117"/>
    </row>
    <row r="15" spans="1:12" ht="13">
      <c r="A15" s="2">
        <f>A14+1</f>
        <v>2</v>
      </c>
      <c r="B15" s="47"/>
      <c r="C15" s="117"/>
      <c r="D15" s="117"/>
      <c r="E15" s="117"/>
      <c r="F15" s="117"/>
      <c r="G15" s="117"/>
      <c r="H15" s="119"/>
      <c r="I15" s="117"/>
      <c r="J15" s="117"/>
      <c r="K15" s="117"/>
      <c r="L15" s="117"/>
    </row>
    <row r="16" spans="1:12" ht="13">
      <c r="A16" s="2">
        <f t="shared" ref="A16:A50" si="0">A15+1</f>
        <v>3</v>
      </c>
      <c r="B16" s="117"/>
      <c r="C16" s="117"/>
      <c r="D16" s="48" t="s">
        <v>336</v>
      </c>
      <c r="E16" s="48" t="s">
        <v>337</v>
      </c>
      <c r="F16" s="48" t="s">
        <v>338</v>
      </c>
      <c r="G16" s="48" t="s">
        <v>339</v>
      </c>
      <c r="H16" s="48" t="s">
        <v>340</v>
      </c>
      <c r="I16" s="48" t="s">
        <v>341</v>
      </c>
      <c r="J16" s="48" t="s">
        <v>342</v>
      </c>
      <c r="K16" s="48" t="s">
        <v>343</v>
      </c>
      <c r="L16" s="48" t="s">
        <v>344</v>
      </c>
    </row>
    <row r="17" spans="1:12" ht="13">
      <c r="A17" s="2">
        <f t="shared" si="0"/>
        <v>4</v>
      </c>
      <c r="B17" s="117"/>
      <c r="C17" s="118" t="s">
        <v>345</v>
      </c>
      <c r="D17" s="48"/>
      <c r="E17" s="252" t="s">
        <v>346</v>
      </c>
      <c r="F17" s="252" t="s">
        <v>347</v>
      </c>
      <c r="G17" s="252" t="s">
        <v>348</v>
      </c>
      <c r="H17" s="257" t="s">
        <v>349</v>
      </c>
      <c r="I17" s="252" t="s">
        <v>350</v>
      </c>
      <c r="J17" s="252" t="s">
        <v>351</v>
      </c>
      <c r="K17" s="252" t="s">
        <v>352</v>
      </c>
      <c r="L17" s="257" t="s">
        <v>353</v>
      </c>
    </row>
    <row r="18" spans="1:12" ht="13">
      <c r="A18" s="2">
        <f t="shared" si="0"/>
        <v>5</v>
      </c>
      <c r="B18" s="117"/>
      <c r="C18" s="117"/>
      <c r="D18" s="48"/>
      <c r="G18" s="4" t="s">
        <v>354</v>
      </c>
      <c r="I18" s="48"/>
      <c r="J18" s="2" t="s">
        <v>355</v>
      </c>
      <c r="K18" s="48"/>
      <c r="L18" s="48"/>
    </row>
    <row r="19" spans="1:12" ht="13">
      <c r="A19" s="2">
        <f t="shared" si="0"/>
        <v>6</v>
      </c>
      <c r="B19" s="117"/>
      <c r="C19" s="117"/>
      <c r="D19" s="48"/>
      <c r="G19" s="241" t="s">
        <v>356</v>
      </c>
      <c r="I19" s="117"/>
      <c r="J19" s="2" t="s">
        <v>357</v>
      </c>
      <c r="K19" s="117"/>
      <c r="L19" s="2" t="s">
        <v>355</v>
      </c>
    </row>
    <row r="20" spans="1:12" ht="13">
      <c r="A20" s="2">
        <f t="shared" si="0"/>
        <v>7</v>
      </c>
      <c r="B20" s="117"/>
      <c r="C20" s="117"/>
      <c r="D20" s="48"/>
      <c r="F20" s="2" t="s">
        <v>358</v>
      </c>
      <c r="G20" s="2" t="s">
        <v>359</v>
      </c>
      <c r="H20" s="2" t="s">
        <v>360</v>
      </c>
      <c r="I20" s="117"/>
      <c r="J20" s="2" t="s">
        <v>361</v>
      </c>
      <c r="K20" s="117"/>
      <c r="L20" s="2" t="s">
        <v>357</v>
      </c>
    </row>
    <row r="21" spans="1:12" ht="13">
      <c r="A21" s="2">
        <f t="shared" si="0"/>
        <v>8</v>
      </c>
      <c r="B21" s="117"/>
      <c r="C21" s="117"/>
      <c r="D21" s="2"/>
      <c r="E21" s="2" t="s">
        <v>360</v>
      </c>
      <c r="F21" s="2" t="s">
        <v>362</v>
      </c>
      <c r="G21" s="2" t="s">
        <v>363</v>
      </c>
      <c r="H21" s="2" t="s">
        <v>357</v>
      </c>
      <c r="I21" s="2" t="s">
        <v>360</v>
      </c>
      <c r="J21" s="2" t="s">
        <v>364</v>
      </c>
      <c r="K21" s="120" t="s">
        <v>365</v>
      </c>
      <c r="L21" s="2" t="s">
        <v>361</v>
      </c>
    </row>
    <row r="22" spans="1:12" ht="13">
      <c r="A22" s="2">
        <f t="shared" si="0"/>
        <v>9</v>
      </c>
      <c r="B22" s="117"/>
      <c r="C22" s="117"/>
      <c r="D22" s="2"/>
      <c r="E22" s="2" t="s">
        <v>366</v>
      </c>
      <c r="F22" s="2" t="s">
        <v>367</v>
      </c>
      <c r="G22" s="2" t="s">
        <v>368</v>
      </c>
      <c r="H22" s="2" t="s">
        <v>361</v>
      </c>
      <c r="I22" s="2" t="s">
        <v>365</v>
      </c>
      <c r="J22" s="2" t="s">
        <v>369</v>
      </c>
      <c r="K22" s="2" t="s">
        <v>370</v>
      </c>
      <c r="L22" s="2" t="s">
        <v>364</v>
      </c>
    </row>
    <row r="23" spans="1:12" ht="13">
      <c r="A23" s="2">
        <f t="shared" si="0"/>
        <v>10</v>
      </c>
      <c r="B23" s="117"/>
      <c r="C23" s="18" t="s">
        <v>371</v>
      </c>
      <c r="D23" s="18" t="s">
        <v>372</v>
      </c>
      <c r="E23" s="3" t="s">
        <v>373</v>
      </c>
      <c r="F23" s="3" t="s">
        <v>374</v>
      </c>
      <c r="G23" s="3" t="s">
        <v>375</v>
      </c>
      <c r="H23" s="3" t="s">
        <v>364</v>
      </c>
      <c r="I23" s="3" t="s">
        <v>376</v>
      </c>
      <c r="J23" s="3" t="s">
        <v>377</v>
      </c>
      <c r="K23" s="3" t="s">
        <v>371</v>
      </c>
      <c r="L23" s="3" t="s">
        <v>378</v>
      </c>
    </row>
    <row r="24" spans="1:12" ht="13">
      <c r="A24" s="2">
        <f>A23+1</f>
        <v>11</v>
      </c>
      <c r="B24" s="117"/>
      <c r="C24" s="270" t="s">
        <v>379</v>
      </c>
      <c r="D24" s="350">
        <v>2020</v>
      </c>
      <c r="E24" s="123" t="s">
        <v>380</v>
      </c>
      <c r="F24" s="123" t="s">
        <v>380</v>
      </c>
      <c r="G24" s="281">
        <v>31423671.748909187</v>
      </c>
      <c r="H24" s="119">
        <f>G24</f>
        <v>31423671.748909187</v>
      </c>
      <c r="I24" s="123" t="s">
        <v>380</v>
      </c>
      <c r="J24" s="122">
        <f>H24</f>
        <v>31423671.748909187</v>
      </c>
      <c r="K24" s="123" t="s">
        <v>380</v>
      </c>
      <c r="L24" s="253">
        <f>J24</f>
        <v>31423671.748909187</v>
      </c>
    </row>
    <row r="25" spans="1:12" ht="13">
      <c r="A25" s="2">
        <f t="shared" ref="A25:A36" si="1">A24+1</f>
        <v>12</v>
      </c>
      <c r="B25" s="117"/>
      <c r="C25" s="14" t="s">
        <v>381</v>
      </c>
      <c r="D25" s="350">
        <v>2021</v>
      </c>
      <c r="E25" s="119">
        <f>$E$14/12</f>
        <v>101847950.31948517</v>
      </c>
      <c r="F25" s="119">
        <f>C77</f>
        <v>68458907.739999995</v>
      </c>
      <c r="G25" s="861">
        <v>4662972.2716351403</v>
      </c>
      <c r="H25" s="119">
        <f>E25-F25+G25</f>
        <v>38052014.851120315</v>
      </c>
      <c r="I25" s="829">
        <v>2.7000000000000001E-3</v>
      </c>
      <c r="J25" s="122">
        <f>L24+H25</f>
        <v>69475686.600029498</v>
      </c>
      <c r="K25" s="122">
        <f>((L24+J25)/2)*I25</f>
        <v>136214.13377106722</v>
      </c>
      <c r="L25" s="122">
        <f>J25+K25</f>
        <v>69611900.73380056</v>
      </c>
    </row>
    <row r="26" spans="1:12" ht="13">
      <c r="A26" s="2">
        <f t="shared" si="1"/>
        <v>13</v>
      </c>
      <c r="B26" s="117"/>
      <c r="C26" s="14" t="s">
        <v>382</v>
      </c>
      <c r="D26" s="350">
        <v>2021</v>
      </c>
      <c r="E26" s="119">
        <f>$E$14/12</f>
        <v>101847950.31948517</v>
      </c>
      <c r="F26" s="119">
        <f t="shared" ref="F26:F36" si="2">C78</f>
        <v>66029688.609999999</v>
      </c>
      <c r="G26" s="281"/>
      <c r="H26" s="119">
        <f t="shared" ref="H26:H35" si="3">E26-F26+G26</f>
        <v>35818261.709485173</v>
      </c>
      <c r="I26" s="829">
        <v>2.7000000000000001E-3</v>
      </c>
      <c r="J26" s="122">
        <f>L25+H26</f>
        <v>105430162.44328573</v>
      </c>
      <c r="K26" s="122">
        <f>((L25+J26)/2)*I26</f>
        <v>236306.78528906652</v>
      </c>
      <c r="L26" s="122">
        <f t="shared" ref="L26:L35" si="4">J26+K26</f>
        <v>105666469.2285748</v>
      </c>
    </row>
    <row r="27" spans="1:12" ht="13">
      <c r="A27" s="2">
        <f t="shared" si="1"/>
        <v>14</v>
      </c>
      <c r="B27" s="117"/>
      <c r="C27" s="14" t="s">
        <v>383</v>
      </c>
      <c r="D27" s="350">
        <v>2021</v>
      </c>
      <c r="E27" s="119">
        <f t="shared" ref="E27:E36" si="5">$E$14/12</f>
        <v>101847950.31948517</v>
      </c>
      <c r="F27" s="119">
        <f t="shared" si="2"/>
        <v>113769265.90000001</v>
      </c>
      <c r="G27" s="281"/>
      <c r="H27" s="119">
        <f t="shared" si="3"/>
        <v>-11921315.580514833</v>
      </c>
      <c r="I27" s="829">
        <v>2.7000000000000001E-3</v>
      </c>
      <c r="J27" s="122">
        <f t="shared" ref="J27:J35" si="6">L26+H27</f>
        <v>93745153.648059964</v>
      </c>
      <c r="K27" s="122">
        <f t="shared" ref="K27:K36" si="7">((L26+J27)/2)*I27</f>
        <v>269205.69088345696</v>
      </c>
      <c r="L27" s="122">
        <f t="shared" si="4"/>
        <v>94014359.338943422</v>
      </c>
    </row>
    <row r="28" spans="1:12" ht="13">
      <c r="A28" s="2">
        <f t="shared" si="1"/>
        <v>15</v>
      </c>
      <c r="B28" s="117"/>
      <c r="C28" s="14" t="s">
        <v>384</v>
      </c>
      <c r="D28" s="350">
        <v>2021</v>
      </c>
      <c r="E28" s="119">
        <f t="shared" si="5"/>
        <v>101847950.31948517</v>
      </c>
      <c r="F28" s="119">
        <f t="shared" si="2"/>
        <v>57268706.990000002</v>
      </c>
      <c r="G28" s="281"/>
      <c r="H28" s="119">
        <f t="shared" si="3"/>
        <v>44579243.329485171</v>
      </c>
      <c r="I28" s="829">
        <v>2.7000000000000001E-3</v>
      </c>
      <c r="J28" s="122">
        <f t="shared" si="6"/>
        <v>138593602.6684286</v>
      </c>
      <c r="K28" s="122">
        <f t="shared" si="7"/>
        <v>314020.74870995223</v>
      </c>
      <c r="L28" s="122">
        <f t="shared" si="4"/>
        <v>138907623.41713855</v>
      </c>
    </row>
    <row r="29" spans="1:12" ht="13">
      <c r="A29" s="2">
        <f t="shared" si="1"/>
        <v>16</v>
      </c>
      <c r="B29" s="117"/>
      <c r="C29" s="14" t="s">
        <v>385</v>
      </c>
      <c r="D29" s="350">
        <v>2021</v>
      </c>
      <c r="E29" s="119">
        <f t="shared" si="5"/>
        <v>101847950.31948517</v>
      </c>
      <c r="F29" s="119">
        <f t="shared" si="2"/>
        <v>91388769.390000001</v>
      </c>
      <c r="G29" s="281"/>
      <c r="H29" s="119">
        <f t="shared" si="3"/>
        <v>10459180.929485172</v>
      </c>
      <c r="I29" s="829">
        <v>2.7000000000000001E-3</v>
      </c>
      <c r="J29" s="122">
        <f t="shared" si="6"/>
        <v>149366804.34662372</v>
      </c>
      <c r="K29" s="122">
        <f t="shared" si="7"/>
        <v>389170.47748107905</v>
      </c>
      <c r="L29" s="122">
        <f t="shared" si="4"/>
        <v>149755974.82410479</v>
      </c>
    </row>
    <row r="30" spans="1:12" ht="13">
      <c r="A30" s="2">
        <f t="shared" si="1"/>
        <v>17</v>
      </c>
      <c r="B30" s="117"/>
      <c r="C30" s="14" t="s">
        <v>386</v>
      </c>
      <c r="D30" s="350">
        <v>2021</v>
      </c>
      <c r="E30" s="119">
        <f t="shared" si="5"/>
        <v>101847950.31948517</v>
      </c>
      <c r="F30" s="119">
        <f t="shared" si="2"/>
        <v>110263615.84</v>
      </c>
      <c r="G30" s="281"/>
      <c r="H30" s="119">
        <f t="shared" si="3"/>
        <v>-8415665.5205148309</v>
      </c>
      <c r="I30" s="829">
        <v>2.7000000000000001E-3</v>
      </c>
      <c r="J30" s="122">
        <f t="shared" si="6"/>
        <v>141340309.30358994</v>
      </c>
      <c r="K30" s="122">
        <f t="shared" si="7"/>
        <v>392979.98357238789</v>
      </c>
      <c r="L30" s="122">
        <f t="shared" si="4"/>
        <v>141733289.28716233</v>
      </c>
    </row>
    <row r="31" spans="1:12" ht="13">
      <c r="A31" s="2">
        <f t="shared" si="1"/>
        <v>18</v>
      </c>
      <c r="B31" s="117"/>
      <c r="C31" s="14" t="s">
        <v>387</v>
      </c>
      <c r="D31" s="350">
        <v>2021</v>
      </c>
      <c r="E31" s="119">
        <f t="shared" si="5"/>
        <v>101847950.31948517</v>
      </c>
      <c r="F31" s="119">
        <f t="shared" si="2"/>
        <v>128606069.13</v>
      </c>
      <c r="G31" s="281"/>
      <c r="H31" s="119">
        <f t="shared" si="3"/>
        <v>-26758118.810514823</v>
      </c>
      <c r="I31" s="829">
        <v>2.7000000000000001E-3</v>
      </c>
      <c r="J31" s="122">
        <f t="shared" si="6"/>
        <v>114975170.47664751</v>
      </c>
      <c r="K31" s="122">
        <f t="shared" si="7"/>
        <v>346556.42068114335</v>
      </c>
      <c r="L31" s="122">
        <f t="shared" si="4"/>
        <v>115321726.89732866</v>
      </c>
    </row>
    <row r="32" spans="1:12" ht="13">
      <c r="A32" s="2">
        <f t="shared" si="1"/>
        <v>19</v>
      </c>
      <c r="B32" s="117"/>
      <c r="C32" s="14" t="s">
        <v>388</v>
      </c>
      <c r="D32" s="350">
        <v>2021</v>
      </c>
      <c r="E32" s="119">
        <f t="shared" si="5"/>
        <v>101847950.31948517</v>
      </c>
      <c r="F32" s="119">
        <f t="shared" si="2"/>
        <v>123342294.48999999</v>
      </c>
      <c r="G32" s="281"/>
      <c r="H32" s="119">
        <f t="shared" si="3"/>
        <v>-21494344.170514822</v>
      </c>
      <c r="I32" s="829">
        <v>2.7000000000000001E-3</v>
      </c>
      <c r="J32" s="122">
        <f t="shared" si="6"/>
        <v>93827382.726813838</v>
      </c>
      <c r="K32" s="122">
        <f t="shared" si="7"/>
        <v>282351.29799259239</v>
      </c>
      <c r="L32" s="122">
        <f t="shared" si="4"/>
        <v>94109734.024806425</v>
      </c>
    </row>
    <row r="33" spans="1:12" ht="13">
      <c r="A33" s="2">
        <f t="shared" si="1"/>
        <v>20</v>
      </c>
      <c r="B33" s="117"/>
      <c r="C33" s="14" t="s">
        <v>389</v>
      </c>
      <c r="D33" s="350">
        <v>2021</v>
      </c>
      <c r="E33" s="119">
        <f t="shared" si="5"/>
        <v>101847950.31948517</v>
      </c>
      <c r="F33" s="119">
        <f t="shared" si="2"/>
        <v>101458598.61</v>
      </c>
      <c r="G33" s="281"/>
      <c r="H33" s="119">
        <f t="shared" si="3"/>
        <v>389351.70948517323</v>
      </c>
      <c r="I33" s="829">
        <v>2.7000000000000001E-3</v>
      </c>
      <c r="J33" s="122">
        <f t="shared" si="6"/>
        <v>94499085.734291598</v>
      </c>
      <c r="K33" s="122">
        <f t="shared" si="7"/>
        <v>254621.90667478234</v>
      </c>
      <c r="L33" s="122">
        <f t="shared" si="4"/>
        <v>94753707.640966386</v>
      </c>
    </row>
    <row r="34" spans="1:12" ht="13">
      <c r="A34" s="2">
        <f t="shared" si="1"/>
        <v>21</v>
      </c>
      <c r="B34" s="117"/>
      <c r="C34" s="14" t="s">
        <v>390</v>
      </c>
      <c r="D34" s="350">
        <v>2021</v>
      </c>
      <c r="E34" s="119">
        <f t="shared" si="5"/>
        <v>101847950.31948517</v>
      </c>
      <c r="F34" s="119">
        <f t="shared" si="2"/>
        <v>90259055.519999996</v>
      </c>
      <c r="G34" s="281"/>
      <c r="H34" s="119">
        <f t="shared" si="3"/>
        <v>11588894.799485177</v>
      </c>
      <c r="I34" s="829">
        <v>2.7000000000000001E-3</v>
      </c>
      <c r="J34" s="122">
        <f t="shared" si="6"/>
        <v>106342602.44045156</v>
      </c>
      <c r="K34" s="122">
        <f t="shared" si="7"/>
        <v>271480.01860991423</v>
      </c>
      <c r="L34" s="122">
        <f t="shared" si="4"/>
        <v>106614082.45906147</v>
      </c>
    </row>
    <row r="35" spans="1:12" ht="13">
      <c r="A35" s="2">
        <f t="shared" si="1"/>
        <v>22</v>
      </c>
      <c r="B35" s="117"/>
      <c r="C35" s="14" t="s">
        <v>391</v>
      </c>
      <c r="D35" s="350">
        <v>2021</v>
      </c>
      <c r="E35" s="119">
        <f t="shared" si="5"/>
        <v>101847950.31948517</v>
      </c>
      <c r="F35" s="119">
        <f t="shared" si="2"/>
        <v>79376700.370000005</v>
      </c>
      <c r="G35" s="281"/>
      <c r="H35" s="119">
        <f t="shared" si="3"/>
        <v>22471249.949485168</v>
      </c>
      <c r="I35" s="829">
        <v>2.7000000000000001E-3</v>
      </c>
      <c r="J35" s="122">
        <f t="shared" si="6"/>
        <v>129085332.40854664</v>
      </c>
      <c r="K35" s="122">
        <f t="shared" si="7"/>
        <v>318194.21007127099</v>
      </c>
      <c r="L35" s="122">
        <f t="shared" si="4"/>
        <v>129403526.61861791</v>
      </c>
    </row>
    <row r="36" spans="1:12" ht="13">
      <c r="A36" s="2">
        <f t="shared" si="1"/>
        <v>23</v>
      </c>
      <c r="B36" s="117"/>
      <c r="C36" s="14" t="s">
        <v>379</v>
      </c>
      <c r="D36" s="350">
        <v>2021</v>
      </c>
      <c r="E36" s="119">
        <f t="shared" si="5"/>
        <v>101847950.31948517</v>
      </c>
      <c r="F36" s="119">
        <f t="shared" si="2"/>
        <v>88471343.790000007</v>
      </c>
      <c r="G36" s="862">
        <v>65423</v>
      </c>
      <c r="H36" s="119">
        <f>E36-F36+G36</f>
        <v>13442029.529485166</v>
      </c>
      <c r="I36" s="829">
        <v>2.7000000000000001E-3</v>
      </c>
      <c r="J36" s="122">
        <f>L35+H36</f>
        <v>142845556.14810306</v>
      </c>
      <c r="K36" s="122">
        <f t="shared" si="7"/>
        <v>367536.26173507329</v>
      </c>
      <c r="L36" s="122">
        <f>J36+K36</f>
        <v>143213092.40983814</v>
      </c>
    </row>
    <row r="37" spans="1:12" ht="13">
      <c r="A37" s="2"/>
      <c r="B37" s="117"/>
      <c r="C37" s="14"/>
      <c r="D37" s="17"/>
      <c r="E37" s="117"/>
      <c r="F37" s="127"/>
      <c r="G37" s="119"/>
      <c r="H37" s="198"/>
      <c r="I37" s="117"/>
      <c r="J37" s="117"/>
      <c r="K37" s="117"/>
      <c r="L37" s="117"/>
    </row>
    <row r="38" spans="1:12" ht="13">
      <c r="A38" s="2">
        <f>A36+1</f>
        <v>24</v>
      </c>
      <c r="B38" s="1" t="s">
        <v>392</v>
      </c>
      <c r="C38" s="14"/>
      <c r="D38" s="17"/>
      <c r="E38" s="117"/>
      <c r="F38" s="250"/>
      <c r="G38" s="119"/>
      <c r="H38" s="127"/>
      <c r="I38" s="117"/>
      <c r="J38" s="117"/>
      <c r="K38" s="117"/>
      <c r="L38" s="117"/>
    </row>
    <row r="39" spans="1:12" ht="13">
      <c r="A39" s="2">
        <f t="shared" si="0"/>
        <v>25</v>
      </c>
      <c r="B39" s="1"/>
      <c r="C39" s="14"/>
      <c r="D39" s="17"/>
      <c r="E39" s="117"/>
      <c r="F39" s="269" t="s">
        <v>228</v>
      </c>
      <c r="G39" s="119"/>
      <c r="H39" s="127"/>
      <c r="I39" s="117"/>
      <c r="J39" s="117"/>
      <c r="K39" s="117"/>
      <c r="L39" s="117"/>
    </row>
    <row r="40" spans="1:12" ht="13">
      <c r="A40" s="2">
        <f t="shared" si="0"/>
        <v>26</v>
      </c>
      <c r="B40" s="117"/>
      <c r="C40" s="14"/>
      <c r="D40" s="118" t="s">
        <v>393</v>
      </c>
      <c r="E40" s="119">
        <f>L36</f>
        <v>143213092.40983814</v>
      </c>
      <c r="F40" s="250" t="str">
        <f>"Line "&amp;A36&amp;", Column 9"</f>
        <v>Line 23, Column 9</v>
      </c>
      <c r="G40" s="124"/>
      <c r="H40" s="127"/>
      <c r="I40" s="117"/>
      <c r="J40" s="117"/>
      <c r="K40" s="117"/>
      <c r="L40" s="117"/>
    </row>
    <row r="41" spans="1:12" ht="13">
      <c r="A41" s="2">
        <f t="shared" si="0"/>
        <v>27</v>
      </c>
      <c r="B41" s="117"/>
      <c r="C41" s="14"/>
      <c r="D41" s="249" t="s">
        <v>394</v>
      </c>
      <c r="E41" s="559">
        <v>94363374.763465494</v>
      </c>
      <c r="F41" s="250" t="str">
        <f>"Previous Annual Update Schedule 3, Line "&amp;A44&amp;""</f>
        <v>Previous Annual Update Schedule 3, Line 30</v>
      </c>
      <c r="G41" s="124"/>
      <c r="H41" s="127"/>
      <c r="J41" s="118" t="s">
        <v>395</v>
      </c>
      <c r="K41" s="210" t="s">
        <v>2930</v>
      </c>
      <c r="L41" s="210"/>
    </row>
    <row r="42" spans="1:12" ht="13">
      <c r="A42" s="2">
        <f t="shared" si="0"/>
        <v>28</v>
      </c>
      <c r="B42" s="117"/>
      <c r="C42" s="14"/>
      <c r="D42" s="249" t="s">
        <v>396</v>
      </c>
      <c r="E42" s="859">
        <f>E40-E41</f>
        <v>48849717.646372646</v>
      </c>
      <c r="F42" s="250" t="str">
        <f>"Line "&amp;A40&amp;" - Line "&amp;A41&amp;""</f>
        <v>Line 26 - Line 27</v>
      </c>
      <c r="G42" s="124"/>
      <c r="H42" s="127"/>
      <c r="J42" s="250"/>
      <c r="K42" s="210"/>
      <c r="L42" s="210"/>
    </row>
    <row r="43" spans="1:12" ht="14">
      <c r="A43" s="2">
        <f t="shared" si="0"/>
        <v>29</v>
      </c>
      <c r="B43" s="117"/>
      <c r="C43" s="14"/>
      <c r="D43" s="249" t="s">
        <v>397</v>
      </c>
      <c r="E43" s="863">
        <f>E42*I36*18</f>
        <v>2374096.2776137106</v>
      </c>
      <c r="F43" s="250" t="str">
        <f>"Line "&amp;A42&amp;" * (Line "&amp;A36&amp;", Column 6) * 18 months"</f>
        <v>Line 28 * (Line 23, Column 6) * 18 months</v>
      </c>
      <c r="G43" s="124"/>
      <c r="H43" s="127"/>
      <c r="I43" s="250"/>
      <c r="J43" s="117"/>
      <c r="K43" s="117"/>
      <c r="L43" s="117"/>
    </row>
    <row r="44" spans="1:12" ht="13">
      <c r="A44" s="2">
        <f t="shared" si="0"/>
        <v>30</v>
      </c>
      <c r="B44" s="117"/>
      <c r="C44" s="14"/>
      <c r="D44" s="49" t="s">
        <v>398</v>
      </c>
      <c r="E44" s="119">
        <f>E42+E43</f>
        <v>51223813.92398636</v>
      </c>
      <c r="F44" s="268" t="str">
        <f>"Line "&amp;A42&amp;" + Line "&amp;A43&amp;".  Positive amount is to be collected by SCE (included in Base TRR as a positive amount)."</f>
        <v>Line 28 + Line 29.  Positive amount is to be collected by SCE (included in Base TRR as a positive amount).</v>
      </c>
      <c r="G44" s="124"/>
      <c r="H44" s="127"/>
      <c r="I44" s="117"/>
      <c r="J44" s="117"/>
      <c r="K44" s="117"/>
      <c r="L44" s="117"/>
    </row>
    <row r="45" spans="1:12" ht="13">
      <c r="A45" s="2">
        <f t="shared" si="0"/>
        <v>31</v>
      </c>
      <c r="B45" s="117"/>
      <c r="C45" s="117"/>
      <c r="D45" s="117"/>
      <c r="E45" s="117"/>
      <c r="F45" s="268" t="s">
        <v>399</v>
      </c>
      <c r="G45" s="117"/>
      <c r="H45" s="117"/>
      <c r="I45" s="117"/>
      <c r="J45" s="117"/>
      <c r="K45" s="117"/>
      <c r="L45" s="117"/>
    </row>
    <row r="46" spans="1:12" ht="13">
      <c r="A46" s="2">
        <f t="shared" si="0"/>
        <v>32</v>
      </c>
      <c r="B46" s="1" t="s">
        <v>400</v>
      </c>
      <c r="C46" s="117"/>
      <c r="D46" s="117"/>
      <c r="E46" s="117"/>
      <c r="F46" s="129"/>
      <c r="G46" s="117"/>
      <c r="H46" s="117"/>
      <c r="I46" s="117"/>
      <c r="J46" s="117"/>
      <c r="K46" s="117"/>
      <c r="L46" s="117"/>
    </row>
    <row r="47" spans="1:12" ht="13">
      <c r="A47" s="2">
        <f t="shared" si="0"/>
        <v>33</v>
      </c>
      <c r="B47" s="250" t="s">
        <v>401</v>
      </c>
      <c r="C47" s="117"/>
      <c r="D47" s="117"/>
      <c r="E47" s="117"/>
      <c r="F47" s="117"/>
      <c r="G47" s="117"/>
      <c r="H47" s="117"/>
      <c r="I47" s="117"/>
      <c r="J47" s="117"/>
      <c r="K47" s="117"/>
      <c r="L47" s="117"/>
    </row>
    <row r="48" spans="1:12" ht="13">
      <c r="A48" s="2">
        <f t="shared" si="0"/>
        <v>34</v>
      </c>
      <c r="B48" s="250" t="s">
        <v>402</v>
      </c>
      <c r="C48" s="117"/>
      <c r="D48" s="117"/>
      <c r="E48" s="117"/>
      <c r="F48" s="117"/>
      <c r="G48" s="117"/>
      <c r="H48" s="117"/>
      <c r="I48" s="117"/>
      <c r="J48" s="117"/>
      <c r="K48" s="117"/>
      <c r="L48" s="117"/>
    </row>
    <row r="49" spans="1:12" ht="13">
      <c r="A49" s="2">
        <f t="shared" si="0"/>
        <v>35</v>
      </c>
      <c r="B49" s="250" t="s">
        <v>403</v>
      </c>
      <c r="C49" s="117"/>
      <c r="D49" s="117"/>
      <c r="E49" s="117"/>
      <c r="F49" s="117"/>
      <c r="G49" s="117"/>
      <c r="H49" s="117"/>
      <c r="I49" s="117"/>
      <c r="J49" s="117"/>
      <c r="K49" s="117"/>
      <c r="L49" s="117"/>
    </row>
    <row r="50" spans="1:12" ht="13">
      <c r="A50" s="2">
        <f t="shared" si="0"/>
        <v>36</v>
      </c>
      <c r="B50" s="117"/>
      <c r="C50" s="117"/>
      <c r="D50" s="117"/>
      <c r="E50" s="117"/>
      <c r="F50" s="117"/>
      <c r="G50" s="117"/>
      <c r="H50" s="117"/>
      <c r="I50" s="117"/>
      <c r="J50" s="117"/>
      <c r="K50" s="117"/>
      <c r="L50" s="117"/>
    </row>
    <row r="51" spans="1:12" ht="13">
      <c r="A51" s="2">
        <f t="shared" ref="A51:A91" si="8">A50+1</f>
        <v>37</v>
      </c>
      <c r="B51" s="1" t="s">
        <v>404</v>
      </c>
      <c r="C51" s="117"/>
      <c r="D51" s="117"/>
      <c r="E51" s="117"/>
      <c r="F51" s="117"/>
      <c r="G51" s="117"/>
      <c r="H51" s="117"/>
      <c r="I51" s="117"/>
      <c r="J51" s="117"/>
      <c r="K51" s="117"/>
      <c r="L51" s="117"/>
    </row>
    <row r="52" spans="1:12" ht="13">
      <c r="A52" s="2">
        <f t="shared" si="8"/>
        <v>38</v>
      </c>
      <c r="B52" s="117"/>
      <c r="C52" s="117"/>
      <c r="D52" s="120" t="s">
        <v>405</v>
      </c>
      <c r="E52" s="117"/>
      <c r="G52" s="117"/>
      <c r="H52" s="117"/>
      <c r="I52" s="117"/>
      <c r="J52" s="117"/>
      <c r="K52" s="117"/>
      <c r="L52" s="117"/>
    </row>
    <row r="53" spans="1:12" ht="13">
      <c r="A53" s="2">
        <f t="shared" si="8"/>
        <v>39</v>
      </c>
      <c r="B53" s="117"/>
      <c r="C53" s="18" t="s">
        <v>371</v>
      </c>
      <c r="D53" s="3" t="s">
        <v>406</v>
      </c>
      <c r="E53" s="3" t="s">
        <v>407</v>
      </c>
      <c r="G53" s="117"/>
      <c r="H53" s="117"/>
      <c r="I53" s="117"/>
      <c r="J53" s="117"/>
      <c r="K53" s="117"/>
      <c r="L53" s="117"/>
    </row>
    <row r="54" spans="1:12" ht="13">
      <c r="A54" s="2">
        <f t="shared" si="8"/>
        <v>40</v>
      </c>
      <c r="B54" s="117"/>
      <c r="C54" s="14" t="s">
        <v>381</v>
      </c>
      <c r="D54" s="958">
        <v>6.3763211440757639E-2</v>
      </c>
      <c r="E54" s="250" t="s">
        <v>408</v>
      </c>
      <c r="G54" s="117"/>
      <c r="H54" s="117"/>
      <c r="I54" s="117"/>
      <c r="J54" s="117"/>
      <c r="K54" s="117"/>
      <c r="L54" s="117"/>
    </row>
    <row r="55" spans="1:12" ht="13">
      <c r="A55" s="2">
        <f t="shared" si="8"/>
        <v>41</v>
      </c>
      <c r="B55" s="117"/>
      <c r="C55" s="14" t="s">
        <v>382</v>
      </c>
      <c r="D55" s="958">
        <v>5.6553289888256801E-2</v>
      </c>
      <c r="G55" s="117"/>
      <c r="H55" s="117"/>
      <c r="I55" s="117"/>
      <c r="J55" s="117"/>
      <c r="K55" s="117"/>
      <c r="L55" s="117"/>
    </row>
    <row r="56" spans="1:12" ht="13">
      <c r="A56" s="2">
        <f t="shared" si="8"/>
        <v>42</v>
      </c>
      <c r="B56" s="117"/>
      <c r="C56" s="14" t="s">
        <v>383</v>
      </c>
      <c r="D56" s="958">
        <v>7.1828142218240867E-2</v>
      </c>
      <c r="E56" s="250"/>
      <c r="G56" s="117"/>
      <c r="H56" s="117"/>
      <c r="I56" s="117"/>
      <c r="J56" s="117"/>
      <c r="K56" s="117"/>
      <c r="L56" s="117"/>
    </row>
    <row r="57" spans="1:12" ht="13">
      <c r="A57" s="2">
        <f t="shared" si="8"/>
        <v>43</v>
      </c>
      <c r="B57" s="117"/>
      <c r="C57" s="14" t="s">
        <v>384</v>
      </c>
      <c r="D57" s="958">
        <v>8.2236801934806855E-2</v>
      </c>
      <c r="E57" s="959"/>
      <c r="G57" s="117"/>
      <c r="H57" s="117"/>
      <c r="I57" s="117"/>
      <c r="J57" s="117"/>
      <c r="K57" s="117"/>
      <c r="L57" s="117"/>
    </row>
    <row r="58" spans="1:12" ht="13">
      <c r="A58" s="2">
        <f t="shared" si="8"/>
        <v>44</v>
      </c>
      <c r="B58" s="117"/>
      <c r="C58" s="14" t="s">
        <v>385</v>
      </c>
      <c r="D58" s="958">
        <v>8.01837425905748E-2</v>
      </c>
      <c r="E58" s="130"/>
      <c r="G58" s="117"/>
      <c r="H58" s="117"/>
      <c r="I58" s="117"/>
      <c r="J58" s="117"/>
      <c r="K58" s="117"/>
      <c r="L58" s="117"/>
    </row>
    <row r="59" spans="1:12" ht="13">
      <c r="A59" s="2">
        <f t="shared" si="8"/>
        <v>45</v>
      </c>
      <c r="B59" s="117"/>
      <c r="C59" s="14" t="s">
        <v>386</v>
      </c>
      <c r="D59" s="958">
        <v>8.9450501877561497E-2</v>
      </c>
      <c r="E59" s="130"/>
      <c r="G59" s="117"/>
      <c r="H59" s="117"/>
      <c r="I59" s="117"/>
      <c r="J59" s="117"/>
      <c r="K59" s="117"/>
      <c r="L59" s="117"/>
    </row>
    <row r="60" spans="1:12" ht="13">
      <c r="A60" s="2">
        <f t="shared" si="8"/>
        <v>46</v>
      </c>
      <c r="B60" s="117"/>
      <c r="C60" s="14" t="s">
        <v>387</v>
      </c>
      <c r="D60" s="958">
        <v>9.8908415854749826E-2</v>
      </c>
      <c r="E60" s="130"/>
      <c r="G60" s="117"/>
      <c r="H60" s="117"/>
      <c r="I60" s="117"/>
      <c r="J60" s="117"/>
      <c r="K60" s="117"/>
      <c r="L60" s="117"/>
    </row>
    <row r="61" spans="1:12" ht="13">
      <c r="A61" s="2">
        <f t="shared" si="8"/>
        <v>47</v>
      </c>
      <c r="B61" s="117"/>
      <c r="C61" s="14" t="s">
        <v>388</v>
      </c>
      <c r="D61" s="958">
        <v>0.10141004323318151</v>
      </c>
      <c r="E61" s="130"/>
      <c r="G61" s="117"/>
      <c r="H61" s="117"/>
      <c r="I61" s="117"/>
      <c r="J61" s="117"/>
      <c r="K61" s="117"/>
      <c r="L61" s="117"/>
    </row>
    <row r="62" spans="1:12" ht="13">
      <c r="A62" s="2">
        <f t="shared" si="8"/>
        <v>48</v>
      </c>
      <c r="B62" s="117"/>
      <c r="C62" s="14" t="s">
        <v>389</v>
      </c>
      <c r="D62" s="958">
        <v>0.10217900008822713</v>
      </c>
      <c r="E62" s="130"/>
      <c r="G62" s="117"/>
      <c r="H62" s="117"/>
      <c r="I62" s="117"/>
      <c r="J62" s="117"/>
      <c r="K62" s="117"/>
      <c r="L62" s="117"/>
    </row>
    <row r="63" spans="1:12" ht="13">
      <c r="A63" s="2">
        <f t="shared" si="8"/>
        <v>49</v>
      </c>
      <c r="B63" s="117"/>
      <c r="C63" s="14" t="s">
        <v>390</v>
      </c>
      <c r="D63" s="958">
        <v>9.1787269171678454E-2</v>
      </c>
      <c r="E63" s="130"/>
      <c r="G63" s="117"/>
      <c r="H63" s="117"/>
      <c r="I63" s="117"/>
      <c r="J63" s="117"/>
      <c r="K63" s="117"/>
      <c r="L63" s="117"/>
    </row>
    <row r="64" spans="1:12" ht="13">
      <c r="A64" s="2">
        <f t="shared" si="8"/>
        <v>50</v>
      </c>
      <c r="B64" s="117"/>
      <c r="C64" s="14" t="s">
        <v>391</v>
      </c>
      <c r="D64" s="958">
        <v>7.5296938318149625E-2</v>
      </c>
      <c r="E64" s="130"/>
      <c r="G64" s="117"/>
      <c r="H64" s="117"/>
      <c r="I64" s="117"/>
      <c r="J64" s="117"/>
      <c r="K64" s="117"/>
      <c r="L64" s="117"/>
    </row>
    <row r="65" spans="1:16" ht="13">
      <c r="A65" s="2">
        <f t="shared" si="8"/>
        <v>51</v>
      </c>
      <c r="B65" s="117"/>
      <c r="C65" s="14" t="s">
        <v>379</v>
      </c>
      <c r="D65" s="199">
        <v>8.640264338381512E-2</v>
      </c>
      <c r="E65" s="29"/>
      <c r="G65" s="117"/>
      <c r="H65" s="117"/>
      <c r="I65" s="117"/>
      <c r="J65" s="117"/>
      <c r="K65" s="117"/>
      <c r="L65" s="117"/>
    </row>
    <row r="66" spans="1:16" ht="13">
      <c r="A66" s="2">
        <f t="shared" si="8"/>
        <v>52</v>
      </c>
      <c r="B66" s="117"/>
      <c r="C66" s="22" t="s">
        <v>409</v>
      </c>
      <c r="D66" s="207">
        <f>SUM(D54:D65)</f>
        <v>1.0000000000000002</v>
      </c>
      <c r="E66" s="117"/>
      <c r="G66" s="117"/>
      <c r="H66" s="117"/>
      <c r="I66" s="117"/>
      <c r="J66" s="117"/>
      <c r="K66" s="117"/>
      <c r="L66" s="117"/>
    </row>
    <row r="67" spans="1:16" ht="13">
      <c r="A67" s="2">
        <f t="shared" si="8"/>
        <v>53</v>
      </c>
      <c r="B67" s="117"/>
      <c r="C67" s="117"/>
      <c r="D67" s="117"/>
      <c r="E67" s="117"/>
      <c r="F67" s="2"/>
      <c r="G67" s="117"/>
      <c r="H67" s="117"/>
      <c r="I67" s="117"/>
      <c r="J67" s="117"/>
      <c r="K67" s="117"/>
      <c r="L67" s="117"/>
    </row>
    <row r="68" spans="1:16" ht="13">
      <c r="A68" s="2">
        <f t="shared" si="8"/>
        <v>54</v>
      </c>
      <c r="B68" s="1" t="s">
        <v>410</v>
      </c>
      <c r="C68" s="117"/>
      <c r="D68" s="117"/>
      <c r="E68" s="117"/>
      <c r="F68" s="2"/>
      <c r="G68" s="117"/>
      <c r="H68" s="117"/>
      <c r="I68" s="117"/>
      <c r="J68" s="117"/>
      <c r="K68" s="117"/>
      <c r="L68" s="117"/>
    </row>
    <row r="69" spans="1:16" ht="13">
      <c r="A69" s="2">
        <f t="shared" si="8"/>
        <v>55</v>
      </c>
      <c r="B69" s="117"/>
      <c r="C69" s="117"/>
      <c r="D69" s="117"/>
      <c r="E69" s="117"/>
      <c r="F69" s="2"/>
      <c r="G69" s="117"/>
      <c r="H69" s="117"/>
      <c r="I69" s="117"/>
      <c r="J69" s="117"/>
      <c r="K69" s="117"/>
      <c r="L69" s="117"/>
    </row>
    <row r="70" spans="1:16" ht="13">
      <c r="A70" s="2">
        <f t="shared" si="8"/>
        <v>56</v>
      </c>
      <c r="B70" s="117"/>
      <c r="C70" s="48" t="s">
        <v>336</v>
      </c>
      <c r="D70" s="48" t="s">
        <v>337</v>
      </c>
      <c r="E70" s="48" t="s">
        <v>338</v>
      </c>
      <c r="F70" s="48" t="s">
        <v>339</v>
      </c>
      <c r="G70" s="48" t="s">
        <v>340</v>
      </c>
      <c r="H70" s="48" t="s">
        <v>341</v>
      </c>
      <c r="I70" s="48" t="s">
        <v>342</v>
      </c>
      <c r="J70" s="117"/>
    </row>
    <row r="71" spans="1:16" ht="13">
      <c r="A71" s="2">
        <f t="shared" si="8"/>
        <v>57</v>
      </c>
      <c r="B71" s="117"/>
      <c r="C71" s="252" t="s">
        <v>411</v>
      </c>
      <c r="D71" s="252" t="s">
        <v>412</v>
      </c>
      <c r="E71" s="48"/>
      <c r="F71" s="48"/>
      <c r="G71" s="48"/>
      <c r="H71" s="48"/>
      <c r="I71" s="252" t="s">
        <v>413</v>
      </c>
      <c r="J71" s="117"/>
      <c r="K71" s="117"/>
      <c r="L71" s="117"/>
    </row>
    <row r="72" spans="1:16" ht="13">
      <c r="A72" s="2">
        <f t="shared" si="8"/>
        <v>58</v>
      </c>
      <c r="B72" s="117"/>
      <c r="C72" s="117"/>
      <c r="D72" s="117"/>
      <c r="E72" s="117"/>
      <c r="F72" s="2"/>
      <c r="G72" s="117"/>
      <c r="H72" s="117"/>
      <c r="I72" s="117"/>
      <c r="J72" s="117"/>
      <c r="K72" s="209"/>
      <c r="L72" s="117"/>
    </row>
    <row r="73" spans="1:16" ht="13">
      <c r="A73" s="2">
        <f t="shared" si="8"/>
        <v>59</v>
      </c>
      <c r="B73" s="117"/>
      <c r="C73" s="2" t="s">
        <v>358</v>
      </c>
      <c r="D73" s="117"/>
      <c r="E73" s="117"/>
      <c r="F73" s="2"/>
      <c r="G73" s="117"/>
      <c r="H73" s="117"/>
      <c r="I73" s="2" t="s">
        <v>360</v>
      </c>
      <c r="J73" s="117"/>
      <c r="K73" s="261"/>
      <c r="L73" s="117"/>
    </row>
    <row r="74" spans="1:16" ht="13">
      <c r="A74" s="2">
        <f t="shared" si="8"/>
        <v>60</v>
      </c>
      <c r="B74" s="120" t="s">
        <v>414</v>
      </c>
      <c r="C74" s="2" t="s">
        <v>362</v>
      </c>
      <c r="D74" s="117"/>
      <c r="E74" s="117"/>
      <c r="F74" s="48"/>
      <c r="G74" s="117"/>
      <c r="H74" s="117"/>
      <c r="I74" s="2" t="s">
        <v>249</v>
      </c>
      <c r="J74" s="117"/>
    </row>
    <row r="75" spans="1:16" ht="14.5">
      <c r="A75" s="2">
        <f t="shared" si="8"/>
        <v>61</v>
      </c>
      <c r="B75" s="120" t="s">
        <v>372</v>
      </c>
      <c r="C75" s="2" t="s">
        <v>367</v>
      </c>
      <c r="D75" s="2" t="s">
        <v>415</v>
      </c>
      <c r="E75" s="2"/>
      <c r="F75" s="2"/>
      <c r="G75" s="2" t="s">
        <v>416</v>
      </c>
      <c r="H75" s="2"/>
      <c r="I75" s="2" t="s">
        <v>417</v>
      </c>
      <c r="J75" s="117"/>
      <c r="P75" s="125"/>
    </row>
    <row r="76" spans="1:16" ht="14.5">
      <c r="A76" s="2">
        <f t="shared" si="8"/>
        <v>62</v>
      </c>
      <c r="B76" s="3" t="s">
        <v>371</v>
      </c>
      <c r="C76" s="3" t="s">
        <v>374</v>
      </c>
      <c r="D76" s="3" t="s">
        <v>367</v>
      </c>
      <c r="E76" s="3" t="s">
        <v>418</v>
      </c>
      <c r="F76" s="3" t="s">
        <v>419</v>
      </c>
      <c r="G76" s="3" t="s">
        <v>4</v>
      </c>
      <c r="H76" s="3" t="s">
        <v>415</v>
      </c>
      <c r="I76" s="3" t="s">
        <v>248</v>
      </c>
      <c r="J76" s="117"/>
      <c r="K76" s="126"/>
      <c r="L76" s="126"/>
      <c r="M76" s="126"/>
      <c r="N76" s="126"/>
      <c r="O76" s="126"/>
      <c r="P76" s="126"/>
    </row>
    <row r="77" spans="1:16" ht="13">
      <c r="A77" s="2">
        <f t="shared" si="8"/>
        <v>63</v>
      </c>
      <c r="B77" s="131" t="s">
        <v>420</v>
      </c>
      <c r="C77" s="128">
        <v>68458907.739999995</v>
      </c>
      <c r="D77" s="128">
        <v>18482889.59</v>
      </c>
      <c r="E77" s="128">
        <v>359501577.36000001</v>
      </c>
      <c r="F77" s="128">
        <v>310811057.91000003</v>
      </c>
      <c r="G77" s="128">
        <v>9660808.9499999993</v>
      </c>
      <c r="H77" s="121">
        <v>51947155.550000004</v>
      </c>
      <c r="I77" s="119">
        <f t="shared" ref="I77:I82" si="9">SUM(C77:H77)</f>
        <v>818862397.10000002</v>
      </c>
      <c r="J77" s="117"/>
      <c r="K77" s="31"/>
      <c r="M77" s="6"/>
      <c r="N77" s="6"/>
      <c r="O77" s="6"/>
      <c r="P77" s="6"/>
    </row>
    <row r="78" spans="1:16" ht="13">
      <c r="A78" s="2">
        <f t="shared" si="8"/>
        <v>64</v>
      </c>
      <c r="B78" s="131" t="s">
        <v>421</v>
      </c>
      <c r="C78" s="128">
        <v>66029688.609999999</v>
      </c>
      <c r="D78" s="128">
        <v>14102152.629999999</v>
      </c>
      <c r="E78" s="128">
        <v>335860460.97000003</v>
      </c>
      <c r="F78" s="128">
        <v>220680839.21000001</v>
      </c>
      <c r="G78" s="128">
        <v>14666573.450000001</v>
      </c>
      <c r="H78" s="128">
        <v>44643803.590000004</v>
      </c>
      <c r="I78" s="119">
        <f t="shared" si="9"/>
        <v>695983518.46000016</v>
      </c>
      <c r="J78" s="117"/>
      <c r="K78" s="31"/>
      <c r="M78" s="6"/>
      <c r="N78" s="6"/>
      <c r="O78" s="6"/>
      <c r="P78" s="6"/>
    </row>
    <row r="79" spans="1:16" ht="13">
      <c r="A79" s="2">
        <f t="shared" si="8"/>
        <v>65</v>
      </c>
      <c r="B79" s="131" t="s">
        <v>422</v>
      </c>
      <c r="C79" s="128">
        <v>113769265.90000001</v>
      </c>
      <c r="D79" s="128">
        <v>25808404.939999998</v>
      </c>
      <c r="E79" s="128">
        <v>508174885.36000001</v>
      </c>
      <c r="F79" s="128">
        <v>480943901.84999996</v>
      </c>
      <c r="G79" s="128">
        <v>44812293.789999999</v>
      </c>
      <c r="H79" s="128">
        <v>76770774.450000003</v>
      </c>
      <c r="I79" s="119">
        <f t="shared" si="9"/>
        <v>1250279526.29</v>
      </c>
      <c r="J79" s="117"/>
      <c r="K79" s="31"/>
      <c r="M79" s="6"/>
      <c r="N79" s="6"/>
      <c r="O79" s="6"/>
      <c r="P79" s="6"/>
    </row>
    <row r="80" spans="1:16" ht="13">
      <c r="A80" s="2">
        <f t="shared" si="8"/>
        <v>66</v>
      </c>
      <c r="B80" s="131" t="s">
        <v>423</v>
      </c>
      <c r="C80" s="128">
        <v>57268706.990000002</v>
      </c>
      <c r="D80" s="128">
        <v>9770357.1699999999</v>
      </c>
      <c r="E80" s="128">
        <v>187317650.85999995</v>
      </c>
      <c r="F80" s="128">
        <v>225317297.50999999</v>
      </c>
      <c r="G80" s="128">
        <v>12148050.4</v>
      </c>
      <c r="H80" s="128">
        <v>37166051.730000004</v>
      </c>
      <c r="I80" s="119">
        <f t="shared" si="9"/>
        <v>528988114.65999997</v>
      </c>
      <c r="J80" s="117"/>
      <c r="K80" s="31"/>
      <c r="M80" s="6"/>
      <c r="N80" s="6"/>
      <c r="O80" s="6"/>
      <c r="P80" s="6"/>
    </row>
    <row r="81" spans="1:16" ht="13">
      <c r="A81" s="2">
        <f t="shared" si="8"/>
        <v>67</v>
      </c>
      <c r="B81" s="252" t="s">
        <v>385</v>
      </c>
      <c r="C81" s="128">
        <v>91388769.390000001</v>
      </c>
      <c r="D81" s="128">
        <v>19440357.179999996</v>
      </c>
      <c r="E81" s="128">
        <v>429970698.74000001</v>
      </c>
      <c r="F81" s="128">
        <v>352406390.09999996</v>
      </c>
      <c r="G81" s="128">
        <v>33648297.890000001</v>
      </c>
      <c r="H81" s="128">
        <v>59617344.170000002</v>
      </c>
      <c r="I81" s="119">
        <f t="shared" si="9"/>
        <v>986471857.46999979</v>
      </c>
      <c r="J81" s="117"/>
      <c r="K81" s="31"/>
      <c r="M81" s="6"/>
      <c r="N81" s="6"/>
      <c r="O81" s="6"/>
      <c r="P81" s="6"/>
    </row>
    <row r="82" spans="1:16" ht="13">
      <c r="A82" s="2">
        <f t="shared" si="8"/>
        <v>68</v>
      </c>
      <c r="B82" s="131" t="s">
        <v>424</v>
      </c>
      <c r="C82" s="128">
        <v>110263615.84</v>
      </c>
      <c r="D82" s="128">
        <v>22318364.230000004</v>
      </c>
      <c r="E82" s="128">
        <v>561219735.47000003</v>
      </c>
      <c r="F82" s="128">
        <v>498453549.29000002</v>
      </c>
      <c r="G82" s="128">
        <v>70928396.049999997</v>
      </c>
      <c r="H82" s="128">
        <v>78656731.269999996</v>
      </c>
      <c r="I82" s="119">
        <f t="shared" si="9"/>
        <v>1341840392.1500001</v>
      </c>
      <c r="J82" s="117"/>
      <c r="K82" s="31"/>
      <c r="M82" s="6"/>
      <c r="N82" s="6"/>
      <c r="O82" s="6"/>
      <c r="P82" s="6"/>
    </row>
    <row r="83" spans="1:16" ht="13">
      <c r="A83" s="2">
        <f t="shared" si="8"/>
        <v>69</v>
      </c>
      <c r="B83" s="131" t="s">
        <v>425</v>
      </c>
      <c r="C83" s="128">
        <v>128606069.13</v>
      </c>
      <c r="D83" s="128">
        <v>14585686.850000001</v>
      </c>
      <c r="E83" s="128">
        <v>759772007</v>
      </c>
      <c r="F83" s="128">
        <v>740421900.58999991</v>
      </c>
      <c r="G83" s="128">
        <v>92105331.140000001</v>
      </c>
      <c r="H83" s="128">
        <v>86378887.330000013</v>
      </c>
      <c r="I83" s="119">
        <f t="shared" ref="I83:I87" si="10">SUM(C83:H83)</f>
        <v>1821869882.04</v>
      </c>
      <c r="J83" s="117"/>
      <c r="K83" s="31"/>
      <c r="M83" s="6"/>
      <c r="N83" s="6"/>
      <c r="O83" s="6"/>
      <c r="P83" s="6"/>
    </row>
    <row r="84" spans="1:16" ht="13">
      <c r="A84" s="2">
        <f t="shared" si="8"/>
        <v>70</v>
      </c>
      <c r="B84" s="131" t="s">
        <v>426</v>
      </c>
      <c r="C84" s="128">
        <v>123342294.48999999</v>
      </c>
      <c r="D84" s="128">
        <v>18622977.350000001</v>
      </c>
      <c r="E84" s="128">
        <v>710840967.44999993</v>
      </c>
      <c r="F84" s="128">
        <v>653819736.29999995</v>
      </c>
      <c r="G84" s="128">
        <v>85258810.799999997</v>
      </c>
      <c r="H84" s="128">
        <v>86897281.579999998</v>
      </c>
      <c r="I84" s="119">
        <f t="shared" si="10"/>
        <v>1678782067.9699998</v>
      </c>
      <c r="J84" s="117"/>
      <c r="K84" s="31"/>
      <c r="M84" s="6"/>
      <c r="N84" s="6"/>
      <c r="O84" s="6"/>
      <c r="P84" s="6"/>
    </row>
    <row r="85" spans="1:16" ht="13">
      <c r="A85" s="2">
        <f t="shared" si="8"/>
        <v>71</v>
      </c>
      <c r="B85" s="131" t="s">
        <v>427</v>
      </c>
      <c r="C85" s="128">
        <v>101458598.61</v>
      </c>
      <c r="D85" s="128">
        <v>14924854.479999997</v>
      </c>
      <c r="E85" s="128">
        <v>569324649.04000008</v>
      </c>
      <c r="F85" s="128">
        <v>551653006.38</v>
      </c>
      <c r="G85" s="128">
        <v>49405351.370000005</v>
      </c>
      <c r="H85" s="128">
        <v>69428485.019999996</v>
      </c>
      <c r="I85" s="119">
        <f t="shared" si="10"/>
        <v>1356194944.9000001</v>
      </c>
      <c r="J85" s="117"/>
      <c r="K85" s="31"/>
      <c r="M85" s="6"/>
      <c r="N85" s="6"/>
      <c r="O85" s="6"/>
      <c r="P85" s="6"/>
    </row>
    <row r="86" spans="1:16" ht="13">
      <c r="A86" s="2">
        <f t="shared" si="8"/>
        <v>72</v>
      </c>
      <c r="B86" s="131" t="s">
        <v>428</v>
      </c>
      <c r="C86" s="128">
        <v>90259055.519999996</v>
      </c>
      <c r="D86" s="128">
        <v>13350213.450000001</v>
      </c>
      <c r="E86" s="128">
        <v>401033954.73000002</v>
      </c>
      <c r="F86" s="128">
        <v>395677310.6400001</v>
      </c>
      <c r="G86" s="128">
        <v>44439616.689999998</v>
      </c>
      <c r="H86" s="128">
        <v>61306987.07</v>
      </c>
      <c r="I86" s="119">
        <f t="shared" si="10"/>
        <v>1006067138.1000003</v>
      </c>
      <c r="J86" s="117"/>
      <c r="K86" s="31"/>
      <c r="M86" s="6"/>
      <c r="N86" s="6"/>
      <c r="O86" s="6"/>
      <c r="P86" s="6"/>
    </row>
    <row r="87" spans="1:16" ht="13">
      <c r="A87" s="2">
        <f t="shared" si="8"/>
        <v>73</v>
      </c>
      <c r="B87" s="131" t="s">
        <v>429</v>
      </c>
      <c r="C87" s="128">
        <v>79376700.370000005</v>
      </c>
      <c r="D87" s="128">
        <v>12263976.369999997</v>
      </c>
      <c r="E87" s="128">
        <v>460378170.66000003</v>
      </c>
      <c r="F87" s="128">
        <v>256968417.40000004</v>
      </c>
      <c r="G87" s="128">
        <v>53291209.280000001</v>
      </c>
      <c r="H87" s="128">
        <v>55006204.879999995</v>
      </c>
      <c r="I87" s="119">
        <f t="shared" si="10"/>
        <v>917284678.96000016</v>
      </c>
      <c r="J87" s="117"/>
      <c r="K87" s="31"/>
      <c r="M87" s="6"/>
      <c r="N87" s="6"/>
      <c r="O87" s="6"/>
      <c r="P87" s="6"/>
    </row>
    <row r="88" spans="1:16" ht="13">
      <c r="A88" s="2">
        <f t="shared" si="8"/>
        <v>74</v>
      </c>
      <c r="B88" s="131" t="s">
        <v>430</v>
      </c>
      <c r="C88" s="61">
        <v>88471343.790000007</v>
      </c>
      <c r="D88" s="61">
        <v>11588904.850000001</v>
      </c>
      <c r="E88" s="61">
        <v>523937723.77999997</v>
      </c>
      <c r="F88" s="61">
        <v>342706282.88</v>
      </c>
      <c r="G88" s="61">
        <v>54736868.399999999</v>
      </c>
      <c r="H88" s="61">
        <v>56102391.359999999</v>
      </c>
      <c r="I88" s="53">
        <f>SUM(C88:H88)</f>
        <v>1077543515.0599999</v>
      </c>
      <c r="J88" s="117"/>
      <c r="K88" s="31"/>
      <c r="M88" s="6"/>
      <c r="N88" s="6"/>
      <c r="O88" s="6"/>
      <c r="P88" s="53"/>
    </row>
    <row r="89" spans="1:16" ht="13">
      <c r="A89" s="2">
        <f t="shared" si="8"/>
        <v>75</v>
      </c>
      <c r="B89" s="252" t="s">
        <v>431</v>
      </c>
      <c r="C89" s="119">
        <f t="shared" ref="C89:H89" si="11">SUM(C77:C88)</f>
        <v>1118693016.3800001</v>
      </c>
      <c r="D89" s="119">
        <f t="shared" si="11"/>
        <v>195259139.08999997</v>
      </c>
      <c r="E89" s="119">
        <f t="shared" si="11"/>
        <v>5807332481.4199991</v>
      </c>
      <c r="F89" s="119">
        <f t="shared" si="11"/>
        <v>5029859690.0600004</v>
      </c>
      <c r="G89" s="119">
        <f t="shared" si="11"/>
        <v>565101608.21000004</v>
      </c>
      <c r="H89" s="119">
        <f t="shared" si="11"/>
        <v>763922098.00000012</v>
      </c>
      <c r="I89" s="119">
        <f>SUM(I77:I88)</f>
        <v>13480168033.16</v>
      </c>
      <c r="J89" s="117"/>
      <c r="P89" s="6"/>
    </row>
    <row r="90" spans="1:16" ht="13">
      <c r="A90" s="2">
        <f t="shared" si="8"/>
        <v>76</v>
      </c>
      <c r="B90" s="117"/>
      <c r="C90" s="117"/>
      <c r="D90" s="117"/>
      <c r="E90" s="117"/>
      <c r="F90" s="117"/>
      <c r="G90" s="117"/>
      <c r="H90" s="249"/>
      <c r="I90" s="117"/>
      <c r="J90" s="117"/>
      <c r="K90" s="117"/>
      <c r="L90" s="117"/>
    </row>
    <row r="91" spans="1:16" ht="13">
      <c r="A91" s="2">
        <f t="shared" si="8"/>
        <v>77</v>
      </c>
      <c r="B91" s="117"/>
      <c r="C91" s="117"/>
      <c r="D91" s="117"/>
      <c r="E91" s="117"/>
      <c r="F91" s="117"/>
      <c r="G91" s="117"/>
      <c r="H91" s="249" t="s">
        <v>432</v>
      </c>
      <c r="I91" s="121">
        <v>13480168033</v>
      </c>
      <c r="J91" s="117"/>
      <c r="K91" s="117"/>
      <c r="L91" s="117"/>
    </row>
    <row r="92" spans="1:16">
      <c r="A92" s="117"/>
      <c r="B92" s="117"/>
      <c r="C92" s="117"/>
      <c r="D92" s="117"/>
      <c r="E92" s="117"/>
      <c r="F92" s="117"/>
      <c r="G92" s="117"/>
      <c r="H92" s="117"/>
      <c r="I92" s="117"/>
      <c r="J92" s="117"/>
      <c r="K92" s="117"/>
      <c r="L92" s="117"/>
    </row>
    <row r="93" spans="1:16" ht="13">
      <c r="A93" s="2"/>
      <c r="B93" s="1" t="s">
        <v>433</v>
      </c>
      <c r="C93" s="117"/>
      <c r="D93" s="117"/>
      <c r="E93" s="117"/>
      <c r="F93" s="117"/>
      <c r="G93" s="117"/>
      <c r="H93" s="117"/>
      <c r="I93" s="119"/>
      <c r="J93" s="117"/>
      <c r="K93" s="117"/>
      <c r="L93" s="117"/>
    </row>
    <row r="94" spans="1:16" ht="13">
      <c r="A94" s="2"/>
      <c r="B94" s="250" t="str">
        <f>"1) Enter applicable years on Column 1, Lines "&amp;A24&amp;"-"&amp;A36&amp;" (Prior Year and December of the year previous to the Prior Year)."</f>
        <v>1) Enter applicable years on Column 1, Lines 11-23 (Prior Year and December of the year previous to the Prior Year).</v>
      </c>
      <c r="C94" s="117"/>
      <c r="D94" s="117"/>
      <c r="E94" s="117"/>
      <c r="F94" s="117"/>
      <c r="G94" s="117"/>
      <c r="H94" s="117"/>
      <c r="I94" s="117"/>
      <c r="J94" s="117"/>
      <c r="K94" s="117"/>
      <c r="L94" s="117"/>
    </row>
    <row r="95" spans="1:16" ht="13">
      <c r="A95" s="2"/>
      <c r="B95" s="250" t="str">
        <f>"2) Enter Previous Annual Update True Up Adjustment (if any) on Line "&amp;A41&amp;"."</f>
        <v>2) Enter Previous Annual Update True Up Adjustment (if any) on Line 27.</v>
      </c>
      <c r="C95" s="117"/>
      <c r="D95" s="117"/>
      <c r="E95" s="117"/>
      <c r="F95" s="117"/>
      <c r="G95" s="117"/>
      <c r="H95" s="117"/>
      <c r="I95" s="117"/>
      <c r="J95" s="117"/>
      <c r="K95" s="117"/>
      <c r="L95" s="117"/>
    </row>
    <row r="96" spans="1:16" ht="13">
      <c r="A96" s="2"/>
      <c r="B96" s="582" t="s">
        <v>434</v>
      </c>
      <c r="C96" s="117"/>
      <c r="D96" s="117"/>
      <c r="E96" s="117"/>
      <c r="F96" s="117"/>
      <c r="G96" s="117"/>
      <c r="H96" s="117"/>
      <c r="I96" s="117"/>
      <c r="J96" s="117"/>
      <c r="K96" s="117"/>
      <c r="L96" s="117"/>
    </row>
    <row r="97" spans="1:12" ht="13">
      <c r="A97" s="2"/>
      <c r="B97" s="250" t="s">
        <v>435</v>
      </c>
      <c r="C97" s="117"/>
      <c r="D97" s="117"/>
      <c r="E97" s="117"/>
      <c r="F97" s="117"/>
      <c r="G97" s="117"/>
      <c r="H97" s="117"/>
      <c r="I97" s="117"/>
      <c r="J97" s="117"/>
      <c r="K97" s="117"/>
      <c r="L97" s="117"/>
    </row>
    <row r="98" spans="1:12" ht="13">
      <c r="A98" s="2"/>
      <c r="B98" s="265" t="str">
        <f>"18 C.F.R. §35.19a on lines "&amp;A25&amp;" to "&amp;A36&amp;", Column 6."</f>
        <v>18 C.F.R. §35.19a on lines 12 to 23, Column 6.</v>
      </c>
      <c r="C98" s="117"/>
      <c r="D98" s="117"/>
      <c r="E98" s="117"/>
      <c r="F98" s="117"/>
      <c r="G98" s="117"/>
      <c r="H98" s="117"/>
      <c r="I98" s="117"/>
      <c r="J98" s="117"/>
      <c r="K98" s="117"/>
      <c r="L98" s="117"/>
    </row>
    <row r="99" spans="1:12" ht="13">
      <c r="A99" s="2"/>
      <c r="B99" s="250" t="s">
        <v>436</v>
      </c>
      <c r="C99" s="117"/>
      <c r="D99" s="117"/>
      <c r="E99" s="117"/>
      <c r="F99" s="117"/>
      <c r="G99" s="117"/>
      <c r="H99" s="117"/>
      <c r="I99" s="117"/>
      <c r="J99" s="117"/>
      <c r="K99" s="117"/>
      <c r="L99" s="117"/>
    </row>
    <row r="100" spans="1:12" ht="13">
      <c r="A100" s="2"/>
      <c r="B100" s="239" t="s">
        <v>437</v>
      </c>
      <c r="C100" s="117"/>
      <c r="D100" s="117"/>
      <c r="E100" s="117"/>
      <c r="F100" s="117"/>
      <c r="G100" s="117"/>
      <c r="H100" s="117"/>
      <c r="I100" s="117"/>
      <c r="J100" s="117"/>
      <c r="K100" s="117"/>
      <c r="L100" s="117"/>
    </row>
    <row r="101" spans="1:12" ht="13">
      <c r="A101" s="2"/>
      <c r="B101" s="503" t="s">
        <v>438</v>
      </c>
      <c r="C101" s="117"/>
      <c r="D101" s="117"/>
      <c r="E101" s="117"/>
      <c r="F101" s="117"/>
      <c r="G101" s="117"/>
      <c r="H101" s="117"/>
      <c r="I101" s="117"/>
      <c r="J101" s="117"/>
      <c r="K101" s="117"/>
    </row>
    <row r="102" spans="1:12" ht="13">
      <c r="A102" s="2"/>
      <c r="B102" s="583" t="s">
        <v>439</v>
      </c>
      <c r="C102" s="117"/>
      <c r="D102" s="117"/>
      <c r="E102" s="117"/>
      <c r="F102" s="117"/>
      <c r="G102" s="117"/>
      <c r="H102" s="117"/>
      <c r="I102" s="117"/>
      <c r="J102" s="117"/>
      <c r="K102" s="117"/>
      <c r="L102" s="117"/>
    </row>
    <row r="103" spans="1:12" ht="13">
      <c r="A103" s="2"/>
      <c r="B103" s="583" t="str">
        <f>"Entering on Line "&amp;A25&amp;" (or other appropriate) ensures these One Time Adjustments are recovered from or returned to customers."</f>
        <v>Entering on Line 12 (or other appropriate) ensures these One Time Adjustments are recovered from or returned to customers.</v>
      </c>
      <c r="D103" s="117"/>
      <c r="E103" s="117"/>
      <c r="F103" s="117"/>
      <c r="G103" s="117"/>
      <c r="H103" s="117"/>
      <c r="I103" s="117"/>
      <c r="J103" s="117"/>
      <c r="K103" s="117"/>
      <c r="L103" s="117"/>
    </row>
    <row r="104" spans="1:12" ht="13">
      <c r="A104" s="2"/>
      <c r="B104" s="503" t="s">
        <v>440</v>
      </c>
      <c r="C104" s="117"/>
      <c r="D104" s="117"/>
      <c r="E104" s="117"/>
      <c r="F104" s="117"/>
      <c r="G104" s="117"/>
      <c r="H104" s="117"/>
      <c r="I104" s="117"/>
      <c r="J104" s="117"/>
      <c r="K104" s="117"/>
      <c r="L104" s="117"/>
    </row>
    <row r="105" spans="1:12" ht="13">
      <c r="A105" s="2"/>
      <c r="B105" s="503" t="s">
        <v>441</v>
      </c>
      <c r="C105" s="117"/>
      <c r="D105" s="117"/>
      <c r="E105" s="117"/>
      <c r="F105" s="117"/>
      <c r="G105" s="117"/>
      <c r="H105" s="117"/>
      <c r="I105" s="117"/>
      <c r="J105" s="117"/>
      <c r="K105" s="117"/>
      <c r="L105" s="117"/>
    </row>
    <row r="106" spans="1:12" ht="13">
      <c r="A106" s="2"/>
      <c r="B106" s="503"/>
      <c r="C106" s="251" t="s">
        <v>442</v>
      </c>
      <c r="D106" s="652"/>
      <c r="E106" s="258" t="s">
        <v>443</v>
      </c>
      <c r="F106" s="210"/>
      <c r="G106" s="210"/>
      <c r="H106" s="117"/>
      <c r="I106" s="117"/>
      <c r="J106" s="117"/>
      <c r="K106" s="117"/>
      <c r="L106" s="117"/>
    </row>
    <row r="107" spans="1:12" ht="13">
      <c r="A107" s="2"/>
      <c r="B107" s="503"/>
      <c r="C107" s="251" t="s">
        <v>444</v>
      </c>
      <c r="D107" s="652"/>
      <c r="E107" s="258" t="s">
        <v>445</v>
      </c>
      <c r="F107" s="210"/>
      <c r="G107" s="210"/>
      <c r="H107" s="117"/>
      <c r="I107" s="117"/>
      <c r="J107" s="117"/>
      <c r="K107" s="117"/>
      <c r="L107" s="117"/>
    </row>
    <row r="108" spans="1:12" ht="13">
      <c r="A108" s="2"/>
      <c r="B108" s="250" t="str">
        <f>"5) Fill in matrix of all retail revenues from Prior Year in table on lines "&amp;A77&amp;" to "&amp;A88&amp;"."</f>
        <v>5) Fill in matrix of all retail revenues from Prior Year in table on lines 63 to 74.</v>
      </c>
      <c r="C108" s="117"/>
      <c r="D108" s="117"/>
      <c r="E108" s="117"/>
      <c r="F108" s="117"/>
      <c r="G108" s="117"/>
      <c r="H108" s="117"/>
      <c r="I108" s="117"/>
      <c r="J108" s="117"/>
      <c r="K108" s="117"/>
      <c r="L108" s="117"/>
    </row>
    <row r="109" spans="1:12" ht="13">
      <c r="A109" s="2"/>
      <c r="B109" s="250" t="str">
        <f>"6) Enter Total Sales to Ultimate Consumers on line "&amp;A91&amp;" and verify that it equals the total on line "&amp;A89&amp;"."</f>
        <v>6) Enter Total Sales to Ultimate Consumers on line 77 and verify that it equals the total on line 75.</v>
      </c>
      <c r="C109" s="117"/>
      <c r="D109" s="117"/>
      <c r="E109" s="117"/>
      <c r="F109" s="117"/>
      <c r="G109" s="117"/>
      <c r="H109" s="117"/>
      <c r="I109" s="117"/>
      <c r="J109" s="117"/>
      <c r="K109" s="117"/>
      <c r="L109" s="117"/>
    </row>
    <row r="110" spans="1:12" ht="13">
      <c r="A110" s="2"/>
      <c r="B110" s="250" t="s">
        <v>446</v>
      </c>
      <c r="C110" s="117"/>
      <c r="D110" s="117"/>
      <c r="E110" s="117"/>
      <c r="F110" s="117"/>
      <c r="G110" s="117"/>
      <c r="H110" s="117"/>
      <c r="I110" s="117"/>
      <c r="J110" s="117"/>
      <c r="K110" s="117"/>
      <c r="L110" s="117"/>
    </row>
    <row r="111" spans="1:12" ht="13">
      <c r="A111" s="2"/>
      <c r="B111" s="265" t="s">
        <v>447</v>
      </c>
      <c r="C111" s="117"/>
      <c r="D111" s="117"/>
      <c r="E111" s="117"/>
      <c r="F111" s="117"/>
      <c r="G111" s="117"/>
      <c r="H111" s="117"/>
      <c r="I111" s="117"/>
      <c r="J111" s="117"/>
      <c r="K111" s="117"/>
      <c r="L111" s="117"/>
    </row>
    <row r="112" spans="1:12" ht="13">
      <c r="A112" s="2"/>
      <c r="B112" s="30" t="s">
        <v>228</v>
      </c>
      <c r="C112" s="117"/>
      <c r="D112" s="117"/>
      <c r="E112" s="117"/>
      <c r="F112" s="117"/>
      <c r="G112" s="117"/>
      <c r="H112" s="117"/>
      <c r="I112" s="117"/>
      <c r="J112" s="117"/>
      <c r="K112" s="117"/>
      <c r="L112" s="117"/>
    </row>
    <row r="113" spans="1:12" ht="13">
      <c r="A113" s="2"/>
      <c r="B113" s="250" t="s">
        <v>448</v>
      </c>
      <c r="C113" s="117"/>
      <c r="D113" s="117"/>
      <c r="E113" s="117"/>
      <c r="F113" s="117"/>
      <c r="G113" s="117"/>
      <c r="H113" s="117"/>
      <c r="I113" s="117"/>
      <c r="J113" s="117"/>
      <c r="K113" s="117"/>
      <c r="L113" s="117"/>
    </row>
    <row r="114" spans="1:12" ht="13">
      <c r="A114" s="2"/>
      <c r="B114" s="324" t="s">
        <v>449</v>
      </c>
      <c r="C114" s="117"/>
      <c r="D114" s="117"/>
      <c r="E114" s="117"/>
      <c r="F114" s="117"/>
      <c r="G114" s="117"/>
      <c r="H114" s="117"/>
      <c r="I114" s="117"/>
      <c r="J114" s="117"/>
      <c r="K114" s="117"/>
      <c r="L114" s="117"/>
    </row>
    <row r="115" spans="1:12" ht="13">
      <c r="A115" s="2"/>
      <c r="B115" s="582"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117"/>
      <c r="D115" s="117"/>
      <c r="E115" s="117"/>
      <c r="F115" s="117"/>
      <c r="G115" s="117"/>
      <c r="H115" s="117"/>
      <c r="I115" s="117"/>
      <c r="J115" s="117"/>
      <c r="K115" s="117"/>
      <c r="L115" s="117"/>
    </row>
    <row r="116" spans="1:12" ht="13">
      <c r="A116" s="2"/>
      <c r="B116" s="582" t="str">
        <f>"Only enter in the Prior Year, Lines "&amp;A25&amp;" to "&amp;A36&amp;", or portion of year formula was in effect in case of Partial Year True Up."</f>
        <v>Only enter in the Prior Year, Lines 12 to 23, or portion of year formula was in effect in case of Partial Year True Up.</v>
      </c>
      <c r="C116" s="117"/>
      <c r="D116" s="117"/>
      <c r="E116" s="117"/>
      <c r="F116" s="117"/>
      <c r="G116" s="117"/>
      <c r="H116" s="117"/>
      <c r="I116" s="117"/>
      <c r="J116" s="117"/>
      <c r="K116" s="117"/>
      <c r="L116" s="117"/>
    </row>
    <row r="117" spans="1:12" ht="13">
      <c r="A117" s="2"/>
      <c r="B117" s="582" t="s">
        <v>450</v>
      </c>
      <c r="C117" s="117"/>
      <c r="D117" s="117"/>
      <c r="E117" s="117"/>
      <c r="F117" s="117"/>
      <c r="G117" s="117"/>
      <c r="H117" s="117"/>
      <c r="I117" s="117"/>
      <c r="J117" s="117"/>
      <c r="K117" s="117"/>
      <c r="L117" s="117"/>
    </row>
    <row r="118" spans="1:12" ht="13">
      <c r="A118" s="2"/>
      <c r="B118" s="324" t="s">
        <v>451</v>
      </c>
      <c r="C118" s="117"/>
      <c r="D118" s="117"/>
      <c r="E118" s="117"/>
      <c r="F118" s="117"/>
      <c r="G118" s="117"/>
      <c r="H118" s="117"/>
      <c r="I118" s="117"/>
      <c r="J118" s="117"/>
      <c r="K118" s="117"/>
      <c r="L118" s="117"/>
    </row>
    <row r="119" spans="1:12" ht="13">
      <c r="A119" s="2"/>
      <c r="B119" s="582" t="str">
        <f>"as shown on Lines "&amp;A77&amp;" to "&amp;A88&amp;", Column 1."</f>
        <v>as shown on Lines 63 to 74, Column 1.</v>
      </c>
      <c r="C119" s="117"/>
      <c r="D119" s="117"/>
      <c r="E119" s="117"/>
      <c r="F119" s="117"/>
      <c r="G119" s="117"/>
      <c r="H119" s="117"/>
      <c r="I119" s="117"/>
      <c r="J119" s="117"/>
      <c r="K119" s="117"/>
      <c r="L119" s="117"/>
    </row>
    <row r="120" spans="1:12" ht="13">
      <c r="A120" s="2"/>
      <c r="B120" s="324" t="s">
        <v>452</v>
      </c>
      <c r="C120" s="117"/>
      <c r="D120" s="117"/>
      <c r="E120" s="117"/>
      <c r="F120" s="117"/>
      <c r="G120" s="117"/>
      <c r="H120" s="117"/>
      <c r="I120" s="117"/>
      <c r="J120" s="117"/>
      <c r="K120" s="117"/>
      <c r="L120" s="117"/>
    </row>
    <row r="121" spans="1:12" ht="13">
      <c r="A121" s="2"/>
      <c r="B121" s="324" t="s">
        <v>453</v>
      </c>
      <c r="C121" s="117"/>
      <c r="D121" s="117"/>
      <c r="E121" s="117"/>
      <c r="F121" s="117"/>
      <c r="G121" s="117"/>
      <c r="H121" s="117"/>
      <c r="I121" s="117"/>
      <c r="J121" s="117"/>
      <c r="K121" s="117"/>
      <c r="L121" s="117"/>
    </row>
    <row r="122" spans="1:12" ht="13">
      <c r="A122" s="2"/>
      <c r="B122" s="250" t="s">
        <v>454</v>
      </c>
      <c r="C122" s="117"/>
      <c r="D122" s="117"/>
      <c r="E122" s="117"/>
      <c r="F122" s="117"/>
      <c r="G122" s="117"/>
      <c r="H122" s="117"/>
      <c r="I122" s="117"/>
      <c r="J122" s="117"/>
      <c r="K122" s="117"/>
      <c r="L122" s="117"/>
    </row>
    <row r="123" spans="1:12" ht="13">
      <c r="A123" s="2"/>
      <c r="B123" s="265" t="s">
        <v>455</v>
      </c>
      <c r="C123" s="117"/>
      <c r="D123" s="117"/>
      <c r="E123" s="117"/>
      <c r="F123" s="117"/>
      <c r="G123" s="117"/>
      <c r="H123" s="117"/>
      <c r="I123" s="117"/>
      <c r="J123" s="117"/>
      <c r="K123" s="117"/>
      <c r="L123" s="117"/>
    </row>
    <row r="124" spans="1:12" ht="13">
      <c r="A124" s="2"/>
      <c r="B124" s="250" t="s">
        <v>456</v>
      </c>
      <c r="C124" s="117"/>
      <c r="D124" s="117"/>
      <c r="E124" s="117"/>
      <c r="F124" s="117"/>
      <c r="G124" s="117"/>
      <c r="H124" s="117"/>
      <c r="I124" s="117"/>
      <c r="J124" s="117"/>
      <c r="K124" s="117"/>
      <c r="L124" s="117"/>
    </row>
    <row r="125" spans="1:12" ht="13">
      <c r="A125" s="2"/>
      <c r="B125" s="502" t="s">
        <v>457</v>
      </c>
      <c r="C125" s="117"/>
      <c r="D125" s="117"/>
      <c r="E125" s="117"/>
      <c r="F125" s="117"/>
      <c r="G125" s="117"/>
      <c r="H125" s="117"/>
      <c r="I125" s="117"/>
      <c r="J125" s="117"/>
      <c r="K125" s="117"/>
      <c r="L125" s="117"/>
    </row>
    <row r="126" spans="1:12" ht="13">
      <c r="A126" s="2"/>
      <c r="B126" s="250" t="s">
        <v>458</v>
      </c>
      <c r="C126" s="117"/>
      <c r="D126" s="117"/>
      <c r="E126" s="117"/>
      <c r="F126" s="117"/>
      <c r="G126" s="117"/>
      <c r="H126" s="117"/>
      <c r="I126" s="117"/>
      <c r="J126" s="117"/>
      <c r="K126" s="117"/>
      <c r="L126" s="117"/>
    </row>
    <row r="127" spans="1:12" ht="13">
      <c r="A127" s="2"/>
      <c r="B127" s="250" t="s">
        <v>459</v>
      </c>
      <c r="C127" s="117"/>
      <c r="D127" s="117"/>
      <c r="E127" s="117"/>
      <c r="F127" s="117"/>
      <c r="G127" s="117"/>
      <c r="H127" s="117"/>
      <c r="I127" s="117"/>
      <c r="J127" s="117"/>
      <c r="K127" s="117"/>
      <c r="L127" s="117"/>
    </row>
    <row r="128" spans="1:12" ht="13">
      <c r="A128" s="2"/>
      <c r="B128" s="265" t="s">
        <v>460</v>
      </c>
      <c r="C128" s="117"/>
      <c r="D128" s="117"/>
      <c r="E128" s="117"/>
      <c r="F128" s="117"/>
      <c r="G128" s="117"/>
      <c r="H128" s="117"/>
      <c r="I128" s="117"/>
      <c r="J128" s="117"/>
      <c r="K128" s="117"/>
      <c r="L128" s="117"/>
    </row>
    <row r="129" spans="1:12" ht="13">
      <c r="A129" s="2"/>
      <c r="B129" s="265" t="s">
        <v>461</v>
      </c>
      <c r="C129" s="117"/>
      <c r="D129" s="117"/>
      <c r="E129" s="117"/>
      <c r="F129" s="117"/>
      <c r="G129" s="117"/>
      <c r="H129" s="117"/>
      <c r="I129" s="117"/>
      <c r="J129" s="117"/>
      <c r="K129" s="117"/>
      <c r="L129" s="117"/>
    </row>
    <row r="130" spans="1:12" ht="13">
      <c r="A130" s="2"/>
      <c r="B130" s="265" t="s">
        <v>462</v>
      </c>
      <c r="C130" s="117"/>
      <c r="D130" s="117"/>
      <c r="E130" s="117"/>
      <c r="F130" s="117"/>
      <c r="G130" s="117"/>
      <c r="H130" s="117"/>
      <c r="I130" s="117"/>
      <c r="J130" s="117"/>
      <c r="K130" s="117"/>
      <c r="L130" s="117"/>
    </row>
    <row r="131" spans="1:12" ht="13">
      <c r="A131" s="2"/>
      <c r="B131" s="250" t="s">
        <v>463</v>
      </c>
      <c r="C131" s="117"/>
      <c r="D131" s="117"/>
      <c r="E131" s="117"/>
      <c r="F131" s="117"/>
      <c r="G131" s="117"/>
      <c r="H131" s="117"/>
      <c r="I131" s="117"/>
      <c r="J131" s="117"/>
      <c r="K131" s="117"/>
      <c r="L131" s="117"/>
    </row>
    <row r="132" spans="1:12" ht="13">
      <c r="A132" s="2"/>
      <c r="B132" s="265" t="s">
        <v>464</v>
      </c>
      <c r="C132" s="117"/>
      <c r="D132" s="117"/>
      <c r="E132" s="117"/>
      <c r="F132" s="117"/>
      <c r="G132" s="117"/>
      <c r="H132" s="117"/>
      <c r="I132" s="117"/>
      <c r="J132" s="117"/>
      <c r="K132" s="117"/>
      <c r="L132" s="117"/>
    </row>
    <row r="133" spans="1:12" ht="13">
      <c r="A133" s="2"/>
      <c r="B133" s="265" t="s">
        <v>465</v>
      </c>
      <c r="C133" s="117"/>
      <c r="D133" s="117"/>
      <c r="E133" s="117"/>
      <c r="F133" s="117"/>
      <c r="G133" s="117"/>
      <c r="H133" s="117"/>
      <c r="I133" s="117"/>
      <c r="J133" s="117"/>
      <c r="K133" s="117"/>
      <c r="L133" s="117"/>
    </row>
    <row r="134" spans="1:12">
      <c r="A134" s="117"/>
      <c r="B134" s="265" t="s">
        <v>466</v>
      </c>
      <c r="C134" s="117"/>
      <c r="D134" s="117"/>
      <c r="E134" s="117"/>
      <c r="F134" s="117"/>
      <c r="G134" s="117"/>
      <c r="H134" s="117"/>
      <c r="I134" s="117"/>
      <c r="J134" s="117"/>
      <c r="K134" s="117"/>
      <c r="L134" s="117"/>
    </row>
    <row r="135" spans="1:12">
      <c r="A135" s="117"/>
      <c r="B135" s="265" t="s">
        <v>467</v>
      </c>
      <c r="C135" s="117"/>
      <c r="D135" s="117"/>
      <c r="E135" s="117"/>
      <c r="F135" s="117"/>
      <c r="G135" s="117"/>
      <c r="H135" s="117"/>
      <c r="I135" s="117"/>
      <c r="J135" s="117"/>
      <c r="K135" s="117"/>
      <c r="L135" s="117"/>
    </row>
    <row r="136" spans="1:12">
      <c r="A136" s="117"/>
      <c r="B136" s="250"/>
      <c r="C136" s="117"/>
      <c r="D136" s="117"/>
      <c r="E136" s="117"/>
      <c r="F136" s="117"/>
      <c r="G136" s="117"/>
      <c r="H136" s="117"/>
      <c r="I136" s="117"/>
      <c r="J136" s="117"/>
      <c r="K136" s="117"/>
      <c r="L136" s="117"/>
    </row>
    <row r="137" spans="1:12">
      <c r="A137" s="117"/>
      <c r="B137" s="265"/>
      <c r="C137" s="117"/>
      <c r="D137" s="117"/>
      <c r="E137" s="117"/>
      <c r="F137" s="117"/>
      <c r="G137" s="117"/>
      <c r="H137" s="117"/>
      <c r="I137" s="117"/>
      <c r="J137" s="117"/>
      <c r="K137" s="117"/>
      <c r="L137" s="117"/>
    </row>
    <row r="138" spans="1:12">
      <c r="A138" s="117"/>
      <c r="B138" s="265"/>
      <c r="C138" s="117"/>
      <c r="D138" s="117"/>
      <c r="E138" s="117"/>
      <c r="F138" s="117"/>
      <c r="G138" s="117"/>
      <c r="H138" s="117"/>
      <c r="I138" s="117"/>
      <c r="J138" s="117"/>
      <c r="K138" s="117"/>
      <c r="L138" s="117"/>
    </row>
    <row r="139" spans="1:12">
      <c r="A139" s="117"/>
      <c r="B139" s="265"/>
      <c r="C139" s="117"/>
      <c r="D139" s="117"/>
      <c r="E139" s="117"/>
      <c r="F139" s="117"/>
      <c r="G139" s="117"/>
      <c r="H139" s="117"/>
      <c r="I139" s="117"/>
      <c r="J139" s="117"/>
      <c r="K139" s="117"/>
      <c r="L139" s="117"/>
    </row>
    <row r="140" spans="1:12">
      <c r="A140" s="117"/>
      <c r="B140" s="250"/>
      <c r="C140" s="117"/>
      <c r="D140" s="117"/>
      <c r="E140" s="117"/>
      <c r="F140" s="117"/>
      <c r="G140" s="117"/>
      <c r="H140" s="117"/>
      <c r="I140" s="117"/>
      <c r="J140" s="117"/>
      <c r="K140" s="117"/>
      <c r="L140" s="117"/>
    </row>
    <row r="141" spans="1:12">
      <c r="A141" s="117"/>
      <c r="B141" s="265"/>
      <c r="C141" s="117"/>
      <c r="D141" s="117"/>
      <c r="E141" s="117"/>
      <c r="F141" s="117"/>
      <c r="G141" s="117"/>
      <c r="H141" s="117"/>
      <c r="I141" s="117"/>
      <c r="J141" s="117"/>
      <c r="K141" s="117"/>
      <c r="L141" s="117"/>
    </row>
    <row r="142" spans="1:12">
      <c r="A142" s="117"/>
      <c r="B142" s="265"/>
      <c r="C142" s="117"/>
      <c r="D142" s="117"/>
      <c r="E142" s="117"/>
      <c r="F142" s="117"/>
      <c r="G142" s="117"/>
      <c r="H142" s="117"/>
      <c r="I142" s="117"/>
      <c r="J142" s="117"/>
      <c r="K142" s="117"/>
      <c r="L142" s="117"/>
    </row>
    <row r="143" spans="1:12">
      <c r="A143" s="117"/>
      <c r="B143" s="265"/>
      <c r="C143" s="117"/>
      <c r="D143" s="117"/>
      <c r="E143" s="117"/>
      <c r="F143" s="117"/>
      <c r="G143" s="117"/>
      <c r="H143" s="117"/>
      <c r="I143" s="117"/>
      <c r="J143" s="117"/>
      <c r="K143" s="117"/>
      <c r="L143" s="117"/>
    </row>
    <row r="144" spans="1:12">
      <c r="A144" s="117"/>
      <c r="B144" s="265"/>
      <c r="C144" s="117"/>
      <c r="D144" s="117"/>
      <c r="E144" s="117"/>
      <c r="F144" s="117"/>
      <c r="G144" s="117"/>
      <c r="H144" s="117"/>
      <c r="I144" s="117"/>
      <c r="J144" s="117"/>
      <c r="K144" s="117"/>
      <c r="L144" s="117"/>
    </row>
    <row r="145" spans="1:12">
      <c r="A145" s="117"/>
      <c r="C145" s="117"/>
      <c r="D145" s="117"/>
      <c r="E145" s="117"/>
      <c r="F145" s="117"/>
      <c r="G145" s="117"/>
      <c r="H145" s="117"/>
      <c r="I145" s="117"/>
      <c r="J145" s="117"/>
      <c r="K145" s="117"/>
      <c r="L145" s="117"/>
    </row>
    <row r="146" spans="1:12">
      <c r="A146" s="117"/>
      <c r="B146" s="117"/>
      <c r="C146" s="117"/>
      <c r="D146" s="117"/>
      <c r="E146" s="117"/>
      <c r="F146" s="117"/>
      <c r="G146" s="117"/>
      <c r="H146" s="117"/>
      <c r="I146" s="117"/>
      <c r="J146" s="117"/>
      <c r="K146" s="117"/>
      <c r="L146" s="117"/>
    </row>
    <row r="147" spans="1:12">
      <c r="A147" s="117"/>
      <c r="B147" s="117"/>
      <c r="C147" s="117"/>
      <c r="D147" s="117"/>
      <c r="E147" s="117"/>
      <c r="F147" s="117"/>
      <c r="G147" s="117"/>
      <c r="H147" s="117"/>
      <c r="I147" s="117"/>
      <c r="J147" s="117"/>
      <c r="K147" s="117"/>
      <c r="L147" s="117"/>
    </row>
    <row r="148" spans="1:12">
      <c r="A148" s="117"/>
      <c r="B148" s="117"/>
      <c r="C148" s="117"/>
      <c r="D148" s="117"/>
      <c r="E148" s="117"/>
      <c r="F148" s="117"/>
      <c r="G148" s="117"/>
      <c r="H148" s="117"/>
      <c r="I148" s="117"/>
      <c r="J148" s="117"/>
      <c r="K148" s="117"/>
      <c r="L148" s="117"/>
    </row>
    <row r="149" spans="1:12">
      <c r="A149" s="117"/>
      <c r="B149" s="117"/>
      <c r="C149" s="117"/>
      <c r="D149" s="117"/>
      <c r="E149" s="117"/>
      <c r="F149" s="117"/>
      <c r="G149" s="117"/>
      <c r="H149" s="117"/>
      <c r="I149" s="117"/>
      <c r="J149" s="117"/>
      <c r="K149" s="117"/>
      <c r="L149" s="117"/>
    </row>
    <row r="150" spans="1:12">
      <c r="A150" s="117"/>
      <c r="B150" s="117"/>
      <c r="C150" s="117"/>
      <c r="D150" s="117"/>
      <c r="E150" s="117"/>
      <c r="F150" s="117"/>
      <c r="G150" s="117"/>
      <c r="H150" s="117"/>
      <c r="I150" s="117"/>
      <c r="J150" s="117"/>
      <c r="K150" s="117"/>
      <c r="L150" s="117"/>
    </row>
    <row r="151" spans="1:12">
      <c r="A151" s="117"/>
      <c r="B151" s="117"/>
      <c r="C151" s="117"/>
      <c r="D151" s="117"/>
      <c r="E151" s="117"/>
      <c r="F151" s="117"/>
      <c r="G151" s="117"/>
      <c r="H151" s="117"/>
      <c r="I151" s="117"/>
      <c r="J151" s="117"/>
      <c r="K151" s="117"/>
      <c r="L151" s="117"/>
    </row>
    <row r="152" spans="1:12">
      <c r="A152" s="117"/>
      <c r="B152" s="117"/>
      <c r="C152" s="117"/>
      <c r="D152" s="117"/>
      <c r="E152" s="117"/>
      <c r="F152" s="117"/>
      <c r="G152" s="117"/>
      <c r="H152" s="117"/>
      <c r="I152" s="117"/>
      <c r="J152" s="117"/>
      <c r="K152" s="117"/>
      <c r="L152" s="117"/>
    </row>
    <row r="153" spans="1:12">
      <c r="A153" s="117"/>
      <c r="B153" s="117"/>
      <c r="C153" s="117"/>
      <c r="D153" s="117"/>
      <c r="E153" s="117"/>
      <c r="F153" s="117"/>
      <c r="G153" s="117"/>
      <c r="H153" s="117"/>
      <c r="I153" s="117"/>
      <c r="J153" s="117"/>
      <c r="K153" s="117"/>
      <c r="L153" s="117"/>
    </row>
    <row r="154" spans="1:12">
      <c r="A154" s="117"/>
      <c r="B154" s="117"/>
      <c r="C154" s="117"/>
      <c r="D154" s="117"/>
      <c r="E154" s="117"/>
      <c r="F154" s="117"/>
      <c r="G154" s="117"/>
      <c r="H154" s="117"/>
      <c r="I154" s="117"/>
      <c r="J154" s="117"/>
      <c r="K154" s="117"/>
      <c r="L154" s="117"/>
    </row>
    <row r="155" spans="1:12">
      <c r="A155" s="117"/>
      <c r="B155" s="117"/>
      <c r="C155" s="117"/>
      <c r="D155" s="117"/>
      <c r="E155" s="117"/>
      <c r="F155" s="117"/>
      <c r="G155" s="117"/>
      <c r="H155" s="117"/>
      <c r="I155" s="117"/>
      <c r="J155" s="117"/>
      <c r="K155" s="117"/>
      <c r="L155" s="117"/>
    </row>
    <row r="156" spans="1:12">
      <c r="A156" s="117"/>
      <c r="B156" s="117"/>
      <c r="C156" s="117"/>
      <c r="D156" s="117"/>
      <c r="E156" s="117"/>
      <c r="F156" s="117"/>
      <c r="G156" s="117"/>
      <c r="H156" s="117"/>
      <c r="I156" s="117"/>
      <c r="J156" s="117"/>
      <c r="K156" s="117"/>
      <c r="L156" s="117"/>
    </row>
    <row r="157" spans="1:12">
      <c r="A157" s="117"/>
      <c r="B157" s="117"/>
      <c r="C157" s="117"/>
      <c r="D157" s="117"/>
      <c r="E157" s="117"/>
      <c r="F157" s="117"/>
      <c r="G157" s="117"/>
      <c r="H157" s="117"/>
      <c r="I157" s="117"/>
      <c r="J157" s="117"/>
      <c r="K157" s="117"/>
      <c r="L157" s="117"/>
    </row>
    <row r="158" spans="1:12">
      <c r="A158" s="117"/>
      <c r="B158" s="117"/>
      <c r="C158" s="117"/>
      <c r="D158" s="117"/>
      <c r="E158" s="117"/>
      <c r="F158" s="117"/>
      <c r="G158" s="117"/>
      <c r="H158" s="117"/>
      <c r="I158" s="117"/>
      <c r="J158" s="117"/>
      <c r="K158" s="117"/>
      <c r="L158" s="117"/>
    </row>
    <row r="159" spans="1:12">
      <c r="A159" s="117"/>
      <c r="B159" s="117"/>
      <c r="C159" s="117"/>
      <c r="D159" s="117"/>
      <c r="E159" s="117"/>
      <c r="F159" s="117"/>
      <c r="G159" s="117"/>
      <c r="H159" s="117"/>
      <c r="I159" s="117"/>
      <c r="J159" s="117"/>
      <c r="K159" s="117"/>
      <c r="L159" s="117"/>
    </row>
    <row r="160" spans="1:12">
      <c r="A160" s="117"/>
      <c r="B160" s="117"/>
      <c r="C160" s="117"/>
      <c r="D160" s="117"/>
      <c r="E160" s="117"/>
      <c r="F160" s="117"/>
      <c r="G160" s="117"/>
      <c r="H160" s="117"/>
      <c r="I160" s="117"/>
      <c r="J160" s="117"/>
      <c r="K160" s="117"/>
      <c r="L160" s="117"/>
    </row>
    <row r="161" spans="1:12">
      <c r="A161" s="117"/>
      <c r="B161" s="117"/>
      <c r="C161" s="117"/>
      <c r="D161" s="117"/>
      <c r="E161" s="117"/>
      <c r="F161" s="117"/>
      <c r="G161" s="117"/>
      <c r="H161" s="117"/>
      <c r="I161" s="117"/>
      <c r="J161" s="117"/>
      <c r="K161" s="117"/>
      <c r="L161" s="117"/>
    </row>
    <row r="162" spans="1:12">
      <c r="A162" s="117"/>
      <c r="B162" s="117"/>
      <c r="C162" s="117"/>
      <c r="D162" s="117"/>
      <c r="E162" s="117"/>
      <c r="F162" s="117"/>
      <c r="G162" s="117"/>
      <c r="H162" s="117"/>
      <c r="I162" s="117"/>
      <c r="J162" s="117"/>
      <c r="K162" s="117"/>
      <c r="L162" s="117"/>
    </row>
    <row r="163" spans="1:12">
      <c r="A163" s="117"/>
      <c r="B163" s="117"/>
      <c r="C163" s="117"/>
      <c r="D163" s="117"/>
      <c r="E163" s="117"/>
      <c r="F163" s="117"/>
      <c r="G163" s="117"/>
      <c r="H163" s="117"/>
      <c r="I163" s="117"/>
      <c r="J163" s="117"/>
      <c r="K163" s="117"/>
      <c r="L163" s="117"/>
    </row>
    <row r="164" spans="1:12">
      <c r="A164" s="117"/>
      <c r="B164" s="117"/>
      <c r="C164" s="117"/>
      <c r="D164" s="117"/>
      <c r="E164" s="117"/>
      <c r="F164" s="117"/>
      <c r="G164" s="117"/>
      <c r="H164" s="117"/>
      <c r="I164" s="117"/>
      <c r="J164" s="117"/>
      <c r="K164" s="117"/>
      <c r="L164" s="117"/>
    </row>
    <row r="165" spans="1:12">
      <c r="A165" s="117"/>
      <c r="B165" s="117"/>
      <c r="C165" s="117"/>
      <c r="D165" s="117"/>
      <c r="E165" s="117"/>
      <c r="F165" s="117"/>
      <c r="G165" s="117"/>
      <c r="H165" s="117"/>
      <c r="I165" s="117"/>
      <c r="J165" s="117"/>
      <c r="K165" s="117"/>
      <c r="L165" s="117"/>
    </row>
    <row r="166" spans="1:12">
      <c r="A166" s="117"/>
      <c r="B166" s="117"/>
      <c r="C166" s="117"/>
      <c r="D166" s="117"/>
      <c r="E166" s="117"/>
      <c r="F166" s="117"/>
      <c r="G166" s="117"/>
      <c r="H166" s="117"/>
      <c r="I166" s="117"/>
      <c r="J166" s="117"/>
      <c r="K166" s="117"/>
      <c r="L166" s="117"/>
    </row>
    <row r="167" spans="1:12">
      <c r="A167" s="117"/>
      <c r="B167" s="117"/>
      <c r="C167" s="117"/>
      <c r="D167" s="117"/>
      <c r="E167" s="117"/>
      <c r="F167" s="117"/>
      <c r="G167" s="117"/>
      <c r="H167" s="117"/>
      <c r="I167" s="117"/>
      <c r="J167" s="117"/>
      <c r="K167" s="117"/>
      <c r="L167" s="117"/>
    </row>
    <row r="168" spans="1:12">
      <c r="A168" s="117"/>
      <c r="B168" s="117"/>
      <c r="C168" s="117"/>
      <c r="D168" s="117"/>
      <c r="E168" s="117"/>
      <c r="F168" s="117"/>
      <c r="G168" s="117"/>
      <c r="H168" s="117"/>
      <c r="I168" s="117"/>
      <c r="J168" s="117"/>
      <c r="K168" s="117"/>
      <c r="L168" s="117"/>
    </row>
    <row r="169" spans="1:12">
      <c r="A169" s="117"/>
      <c r="B169" s="117"/>
      <c r="C169" s="117"/>
      <c r="D169" s="117"/>
      <c r="E169" s="117"/>
      <c r="F169" s="117"/>
      <c r="G169" s="117"/>
      <c r="H169" s="117"/>
      <c r="I169" s="117"/>
      <c r="J169" s="117"/>
      <c r="K169" s="117"/>
      <c r="L169" s="117"/>
    </row>
  </sheetData>
  <pageMargins left="0.7" right="0.7" top="0.75" bottom="0.75" header="0.3" footer="0.3"/>
  <pageSetup scale="72" orientation="landscape" cellComments="asDisplayed" r:id="rId1"/>
  <headerFooter>
    <oddHeader>&amp;CSchedule 3
True Up Adjustment
&amp;RTO2023 Draft Annual Update 
Attachment 1</oddHeader>
    <oddFooter>&amp;R&amp;A</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3"/>
  <sheetViews>
    <sheetView zoomScaleNormal="10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5.54296875" customWidth="1"/>
    <col min="11" max="11" width="2.54296875" customWidth="1"/>
    <col min="12" max="12" width="8.453125" customWidth="1"/>
    <col min="13" max="13" width="4.453125" customWidth="1"/>
    <col min="14" max="14" width="15.453125" customWidth="1"/>
    <col min="15" max="15" width="18.1796875" customWidth="1"/>
    <col min="16" max="16" width="3.453125" customWidth="1"/>
    <col min="17" max="17" width="14.81640625" customWidth="1"/>
  </cols>
  <sheetData>
    <row r="1" spans="1:14" ht="13">
      <c r="A1" s="1" t="s">
        <v>468</v>
      </c>
    </row>
    <row r="3" spans="1:14" ht="13">
      <c r="B3" s="47" t="s">
        <v>469</v>
      </c>
      <c r="L3" s="2"/>
    </row>
    <row r="4" spans="1:14" ht="13">
      <c r="B4" s="40"/>
      <c r="F4" s="2" t="s">
        <v>470</v>
      </c>
      <c r="G4" s="2"/>
      <c r="H4" s="2" t="s">
        <v>98</v>
      </c>
      <c r="L4" s="2"/>
      <c r="N4" s="2"/>
    </row>
    <row r="5" spans="1:14" ht="13">
      <c r="A5" s="32" t="s">
        <v>99</v>
      </c>
      <c r="B5" s="12"/>
      <c r="C5" s="30" t="s">
        <v>471</v>
      </c>
      <c r="F5" s="3" t="s">
        <v>472</v>
      </c>
      <c r="G5" s="3" t="s">
        <v>100</v>
      </c>
      <c r="H5" s="3" t="s">
        <v>101</v>
      </c>
      <c r="J5" s="3" t="s">
        <v>79</v>
      </c>
      <c r="L5" s="3"/>
      <c r="N5" s="3"/>
    </row>
    <row r="6" spans="1:14" ht="13">
      <c r="A6" s="2">
        <v>1</v>
      </c>
      <c r="C6" s="295" t="s">
        <v>104</v>
      </c>
      <c r="F6" t="s">
        <v>473</v>
      </c>
      <c r="H6" s="295" t="str">
        <f>"6-PlantInService, Line "&amp;'6-PlantInService'!A43&amp;""</f>
        <v>6-PlantInService, Line 18</v>
      </c>
      <c r="J6" s="6">
        <f>'6-PlantInService'!D43</f>
        <v>10104561105.203291</v>
      </c>
      <c r="L6" s="6"/>
      <c r="N6" s="6"/>
    </row>
    <row r="7" spans="1:14" ht="13">
      <c r="A7" s="2">
        <f>A6+1</f>
        <v>2</v>
      </c>
      <c r="C7" s="295" t="s">
        <v>474</v>
      </c>
      <c r="F7" t="s">
        <v>475</v>
      </c>
      <c r="H7" s="295" t="str">
        <f>"6-PlantInService, Line "&amp;'6-PlantInService'!A59&amp;""</f>
        <v>6-PlantInService, Line 24</v>
      </c>
      <c r="J7" s="6">
        <f>'6-PlantInService'!F59</f>
        <v>344643757.48500198</v>
      </c>
      <c r="L7" s="6"/>
      <c r="N7" s="6"/>
    </row>
    <row r="8" spans="1:14" ht="13">
      <c r="A8" s="2">
        <f>A7+1</f>
        <v>3</v>
      </c>
      <c r="C8" s="295" t="s">
        <v>106</v>
      </c>
      <c r="F8" t="s">
        <v>475</v>
      </c>
      <c r="H8" t="str">
        <f>"11-PHFU, Line "&amp;'11-PHFU'!A42&amp;""</f>
        <v>11-PHFU, Line 9</v>
      </c>
      <c r="J8" s="6">
        <f>'11-PHFU'!D42</f>
        <v>8167171.1349999998</v>
      </c>
      <c r="L8" s="6"/>
      <c r="N8" s="6"/>
    </row>
    <row r="9" spans="1:14" ht="13">
      <c r="A9" s="2">
        <f>A8+1</f>
        <v>4</v>
      </c>
      <c r="C9" s="295" t="s">
        <v>107</v>
      </c>
      <c r="F9" t="s">
        <v>475</v>
      </c>
      <c r="H9" s="251" t="str">
        <f>"12-AbandonedPlant Line "&amp;'12-AbandonedPlant'!A21&amp;""</f>
        <v>12-AbandonedPlant Line 4</v>
      </c>
      <c r="J9" s="6">
        <f>'12-AbandonedPlant'!G21</f>
        <v>0</v>
      </c>
      <c r="L9" s="6"/>
      <c r="N9" s="6"/>
    </row>
    <row r="10" spans="1:14" ht="13">
      <c r="A10" s="2"/>
      <c r="C10" s="295"/>
      <c r="J10" s="6"/>
      <c r="L10" s="6"/>
      <c r="N10" s="6"/>
    </row>
    <row r="11" spans="1:14" ht="13">
      <c r="A11" s="2"/>
      <c r="C11" s="28" t="s">
        <v>476</v>
      </c>
      <c r="J11" s="6"/>
      <c r="L11" s="6"/>
      <c r="N11" s="6"/>
    </row>
    <row r="12" spans="1:14" ht="13">
      <c r="A12" s="2">
        <f>A9+1</f>
        <v>5</v>
      </c>
      <c r="C12" s="250" t="s">
        <v>109</v>
      </c>
      <c r="F12" t="s">
        <v>473</v>
      </c>
      <c r="H12" s="295" t="str">
        <f>"13-WorkCap, Line "&amp;'13-WorkCap'!A27&amp;""</f>
        <v>13-WorkCap, Line 17</v>
      </c>
      <c r="J12" s="6">
        <f>'13-WorkCap'!F27</f>
        <v>25292500.108422782</v>
      </c>
      <c r="L12" s="6"/>
      <c r="N12" s="6"/>
    </row>
    <row r="13" spans="1:14" ht="13">
      <c r="A13" s="2">
        <f>A12+1</f>
        <v>6</v>
      </c>
      <c r="C13" s="12" t="s">
        <v>110</v>
      </c>
      <c r="F13" t="s">
        <v>473</v>
      </c>
      <c r="H13" s="295" t="str">
        <f>"13-WorkCap, Line "&amp;'13-WorkCap'!A51&amp;""</f>
        <v>13-WorkCap, Line 33</v>
      </c>
      <c r="J13" s="6">
        <f>'13-WorkCap'!F51</f>
        <v>15339247.874588801</v>
      </c>
      <c r="L13" s="6"/>
      <c r="N13" s="6"/>
    </row>
    <row r="14" spans="1:14" ht="13">
      <c r="A14" s="2">
        <f>A13+1</f>
        <v>7</v>
      </c>
      <c r="C14" s="250" t="s">
        <v>111</v>
      </c>
      <c r="F14" s="251" t="s">
        <v>477</v>
      </c>
      <c r="H14" t="str">
        <f>"1-Base TRR Line "&amp;'1-BaseTRR'!A17&amp;""</f>
        <v>1-Base TRR Line 7</v>
      </c>
      <c r="J14" s="53">
        <f>'1-BaseTRR'!K17</f>
        <v>30083546.710815236</v>
      </c>
      <c r="L14" s="53"/>
      <c r="N14" s="6"/>
    </row>
    <row r="15" spans="1:14" ht="13">
      <c r="A15" s="2">
        <f>A14+1</f>
        <v>8</v>
      </c>
      <c r="C15" s="250" t="s">
        <v>112</v>
      </c>
      <c r="H15" t="str">
        <f>"Line "&amp;A12&amp;" + Line "&amp;A13&amp;" + Line "&amp;A14&amp;""</f>
        <v>Line 5 + Line 6 + Line 7</v>
      </c>
      <c r="J15" s="6">
        <f>SUM(J12:J14)</f>
        <v>70715294.693826824</v>
      </c>
      <c r="L15" s="6"/>
      <c r="N15" s="6"/>
    </row>
    <row r="16" spans="1:14" ht="13">
      <c r="A16" s="2"/>
      <c r="C16" s="250"/>
      <c r="J16" s="6"/>
      <c r="L16" s="6"/>
      <c r="N16" s="6"/>
    </row>
    <row r="17" spans="1:14" ht="13">
      <c r="A17" s="2"/>
      <c r="C17" s="44" t="s">
        <v>478</v>
      </c>
      <c r="J17" s="6"/>
      <c r="L17" s="6"/>
      <c r="N17" s="6"/>
    </row>
    <row r="18" spans="1:14" ht="13">
      <c r="A18" s="2">
        <f>A15+1</f>
        <v>9</v>
      </c>
      <c r="C18" s="250" t="s">
        <v>479</v>
      </c>
      <c r="F18" t="s">
        <v>473</v>
      </c>
      <c r="G18" t="s">
        <v>115</v>
      </c>
      <c r="H18" s="295" t="str">
        <f>"8-AccDep, Line "&amp;'8-AccDep'!A25&amp;", Col. 12"</f>
        <v>8-AccDep, Line 14, Col. 12</v>
      </c>
      <c r="J18" s="6">
        <f>-'8-AccDep'!N25</f>
        <v>-2133338227.4523842</v>
      </c>
      <c r="L18" s="6"/>
      <c r="N18" s="6"/>
    </row>
    <row r="19" spans="1:14" ht="13">
      <c r="A19" s="2">
        <f>A18+1</f>
        <v>10</v>
      </c>
      <c r="C19" s="250" t="s">
        <v>480</v>
      </c>
      <c r="F19" t="s">
        <v>475</v>
      </c>
      <c r="G19" t="s">
        <v>115</v>
      </c>
      <c r="H19" s="295" t="str">
        <f>"8-AccDep, Line "&amp;'8-AccDep'!A35&amp;", Col. 5"</f>
        <v>8-AccDep, Line 17, Col. 5</v>
      </c>
      <c r="J19" s="6">
        <f>-'8-AccDep'!G35</f>
        <v>0</v>
      </c>
      <c r="L19" s="6"/>
      <c r="N19" s="6"/>
    </row>
    <row r="20" spans="1:14" ht="13">
      <c r="A20" s="2">
        <f>A19+1</f>
        <v>11</v>
      </c>
      <c r="C20" s="250" t="s">
        <v>481</v>
      </c>
      <c r="D20" s="15"/>
      <c r="F20" t="s">
        <v>475</v>
      </c>
      <c r="G20" t="s">
        <v>115</v>
      </c>
      <c r="H20" s="295" t="str">
        <f>"8-AccDep, Line "&amp;'8-AccDep'!A53&amp;""</f>
        <v>8-AccDep, Line 23</v>
      </c>
      <c r="J20" s="53">
        <f>-'8-AccDep'!F53</f>
        <v>-121685256.4392336</v>
      </c>
      <c r="L20" s="6"/>
      <c r="N20" s="6"/>
    </row>
    <row r="21" spans="1:14" ht="13">
      <c r="A21" s="2">
        <f>A20+1</f>
        <v>12</v>
      </c>
      <c r="C21" s="45" t="s">
        <v>118</v>
      </c>
      <c r="D21" s="15"/>
      <c r="H21" t="str">
        <f>"Line "&amp;A18&amp;" + Line "&amp;A19&amp;" + Line "&amp;A20&amp;""</f>
        <v>Line 9 + Line 10 + Line 11</v>
      </c>
      <c r="J21" s="6">
        <f>SUM(J18:J20)</f>
        <v>-2255023483.8916178</v>
      </c>
      <c r="L21" s="6"/>
      <c r="N21" s="6"/>
    </row>
    <row r="22" spans="1:14" ht="13">
      <c r="A22" s="2"/>
      <c r="C22" s="251"/>
      <c r="J22" s="6"/>
      <c r="L22" s="6"/>
      <c r="N22" s="6"/>
    </row>
    <row r="23" spans="1:14" ht="13">
      <c r="A23" s="2">
        <f>A21+1</f>
        <v>13</v>
      </c>
      <c r="C23" s="38" t="s">
        <v>482</v>
      </c>
      <c r="F23" s="295" t="s">
        <v>475</v>
      </c>
      <c r="H23" s="295" t="str">
        <f>"9-ADIT-1, Line "&amp;'9-ADIT-1'!A24&amp;""</f>
        <v>9-ADIT-1, Line 15</v>
      </c>
      <c r="J23" s="6">
        <f>'9-ADIT-1'!D24</f>
        <v>-1489334840.996069</v>
      </c>
      <c r="L23" s="6"/>
      <c r="N23" s="6"/>
    </row>
    <row r="24" spans="1:14" ht="13">
      <c r="A24" s="2">
        <f>A23+1</f>
        <v>14</v>
      </c>
      <c r="C24" s="295" t="s">
        <v>120</v>
      </c>
      <c r="F24" t="s">
        <v>473</v>
      </c>
      <c r="H24" s="295" t="str">
        <f>"14-IncentivePlant, L "&amp;'14-IncentivePlant'!A38&amp;", C2"</f>
        <v>14-IncentivePlant, L 13, C2</v>
      </c>
      <c r="J24" s="6">
        <f>'14-IncentivePlant'!F38</f>
        <v>643095443.11000001</v>
      </c>
      <c r="L24" s="6"/>
      <c r="N24" s="6"/>
    </row>
    <row r="25" spans="1:14" ht="13">
      <c r="A25" s="2">
        <f>A24+1</f>
        <v>15</v>
      </c>
      <c r="C25" s="38" t="s">
        <v>122</v>
      </c>
      <c r="F25" t="s">
        <v>475</v>
      </c>
      <c r="G25" t="s">
        <v>115</v>
      </c>
      <c r="H25" s="295" t="str">
        <f>"22-NUCs, Line "&amp;'22-NUCs'!A15&amp;""</f>
        <v>22-NUCs, Line 7</v>
      </c>
      <c r="J25" s="6">
        <f>-'22-NUCs'!E15</f>
        <v>-26617620.484999999</v>
      </c>
      <c r="L25" s="6"/>
      <c r="N25" s="6"/>
    </row>
    <row r="26" spans="1:14" ht="13">
      <c r="A26" s="2">
        <f t="shared" ref="A26:A27" si="0">A25+1</f>
        <v>16</v>
      </c>
      <c r="C26" s="295" t="s">
        <v>72</v>
      </c>
      <c r="H26" s="251" t="str">
        <f>"34-UnfundedReserves, Line "&amp;'34-UnfundedReserves'!A10&amp;""</f>
        <v>34-UnfundedReserves, Line 7</v>
      </c>
      <c r="J26" s="6">
        <f>'34-UnfundedReserves'!K10</f>
        <v>-176736728.09715599</v>
      </c>
      <c r="L26" s="6"/>
      <c r="N26" s="6"/>
    </row>
    <row r="27" spans="1:14" ht="13">
      <c r="A27" s="2">
        <f t="shared" si="0"/>
        <v>17</v>
      </c>
      <c r="C27" s="38" t="s">
        <v>121</v>
      </c>
      <c r="F27" t="s">
        <v>475</v>
      </c>
      <c r="H27" s="295" t="str">
        <f>"23-RegAssets, Line "&amp;'23-RegAssets'!A18&amp;""</f>
        <v>23-RegAssets, Line 15</v>
      </c>
      <c r="J27" s="6">
        <f>'23-RegAssets'!E18</f>
        <v>0</v>
      </c>
      <c r="L27" s="6"/>
      <c r="N27" s="6"/>
    </row>
    <row r="28" spans="1:14" ht="13">
      <c r="A28" s="2"/>
      <c r="C28" s="38"/>
      <c r="L28" s="6"/>
      <c r="N28" s="6"/>
    </row>
    <row r="29" spans="1:14" ht="13">
      <c r="A29" s="2">
        <f>A27+1</f>
        <v>18</v>
      </c>
      <c r="C29" t="s">
        <v>123</v>
      </c>
      <c r="H29" t="str">
        <f>"L"&amp;A6&amp;"+L"&amp;A7&amp;"+L"&amp;A8&amp;"+L"&amp;A9&amp;"+L"&amp;A15&amp;"+L"&amp;A21&amp;"+"</f>
        <v>L1+L2+L3+L4+L8+L12+</v>
      </c>
      <c r="J29" s="6">
        <f>J6+ J7+J8+J9+J15+J21+J23+J24+J25+J26+J27</f>
        <v>7223470098.1572781</v>
      </c>
      <c r="L29" s="6"/>
      <c r="N29" s="6"/>
    </row>
    <row r="30" spans="1:14" ht="13">
      <c r="A30" s="2"/>
      <c r="H30" t="str">
        <f>"L"&amp;A23&amp;"+L"&amp;A24&amp;"+L"&amp;A25&amp;"+L"&amp;A26&amp;"+L"&amp;A27&amp;""</f>
        <v>L13+L14+L15+L16+L17</v>
      </c>
      <c r="J30" s="6"/>
      <c r="L30" s="6"/>
      <c r="N30" s="6"/>
    </row>
    <row r="31" spans="1:14" ht="13">
      <c r="A31" s="2"/>
      <c r="B31" s="1" t="s">
        <v>483</v>
      </c>
      <c r="J31" s="6"/>
      <c r="L31" s="6"/>
      <c r="N31" s="6"/>
    </row>
    <row r="32" spans="1:14" ht="13">
      <c r="A32" s="32" t="s">
        <v>99</v>
      </c>
      <c r="C32" s="1"/>
      <c r="J32" s="6"/>
      <c r="L32" s="6"/>
      <c r="N32" s="6"/>
    </row>
    <row r="33" spans="1:17" ht="13">
      <c r="A33" s="2">
        <f>A29+1</f>
        <v>19</v>
      </c>
      <c r="B33" s="251"/>
      <c r="C33" s="251" t="s">
        <v>171</v>
      </c>
      <c r="D33" s="251"/>
      <c r="E33" s="251"/>
      <c r="F33" s="251"/>
      <c r="G33" s="251" t="s">
        <v>484</v>
      </c>
      <c r="H33" s="251" t="str">
        <f>"Instruction 1, Line "&amp;B99&amp;""</f>
        <v>Instruction 1, Line j</v>
      </c>
      <c r="I33" s="251"/>
      <c r="J33" s="215">
        <f>E99</f>
        <v>7.0841071502043135E-2</v>
      </c>
      <c r="L33" s="7"/>
      <c r="M33" s="7"/>
      <c r="N33" s="7"/>
    </row>
    <row r="34" spans="1:17" ht="13">
      <c r="A34" s="2">
        <f>A33+1</f>
        <v>20</v>
      </c>
      <c r="C34" s="251" t="s">
        <v>174</v>
      </c>
      <c r="D34" s="251"/>
      <c r="E34" s="251"/>
      <c r="F34" s="251"/>
      <c r="G34" s="251"/>
      <c r="H34" t="str">
        <f>"Line "&amp;A29&amp;" * Line "&amp;A33&amp;""</f>
        <v>Line 18 * Line 19</v>
      </c>
      <c r="J34" s="253">
        <f>J29*J33</f>
        <v>511718361.71643025</v>
      </c>
      <c r="L34" s="6"/>
      <c r="N34" s="6"/>
    </row>
    <row r="35" spans="1:17" ht="13">
      <c r="A35" s="2"/>
      <c r="B35" s="12"/>
      <c r="L35" s="6"/>
      <c r="N35" s="6"/>
    </row>
    <row r="36" spans="1:17" ht="13">
      <c r="A36" s="2"/>
      <c r="B36" s="1" t="s">
        <v>485</v>
      </c>
      <c r="L36" s="6"/>
      <c r="N36" s="6"/>
    </row>
    <row r="37" spans="1:17" ht="13">
      <c r="A37" s="2"/>
      <c r="B37" s="12"/>
      <c r="L37" s="6"/>
      <c r="N37" s="6"/>
    </row>
    <row r="38" spans="1:17" ht="13">
      <c r="A38" s="2">
        <f>A34+1</f>
        <v>21</v>
      </c>
      <c r="C38" s="251" t="s">
        <v>188</v>
      </c>
      <c r="J38" s="6">
        <f>(((J29*J42) + J45) *(J43/(1-J43)))+(J44/(1-J43))</f>
        <v>125015139.08180034</v>
      </c>
      <c r="L38" s="6"/>
      <c r="N38" s="6"/>
    </row>
    <row r="39" spans="1:17" ht="13">
      <c r="A39" s="2"/>
      <c r="J39" s="251"/>
      <c r="L39" s="6"/>
      <c r="N39" s="6"/>
    </row>
    <row r="40" spans="1:17" ht="13">
      <c r="A40" s="2"/>
      <c r="D40" t="s">
        <v>189</v>
      </c>
      <c r="L40" s="6"/>
      <c r="N40" s="6"/>
    </row>
    <row r="41" spans="1:17" ht="13">
      <c r="A41" s="2">
        <f>A38+1</f>
        <v>22</v>
      </c>
      <c r="D41" s="12" t="s">
        <v>190</v>
      </c>
      <c r="H41" t="str">
        <f>"Line "&amp;A29&amp;""</f>
        <v>Line 18</v>
      </c>
      <c r="J41" s="6">
        <f>J29</f>
        <v>7223470098.1572781</v>
      </c>
      <c r="L41" s="6"/>
      <c r="N41" s="6"/>
    </row>
    <row r="42" spans="1:17" ht="13">
      <c r="A42" s="2">
        <f>A41+1</f>
        <v>23</v>
      </c>
      <c r="D42" s="250" t="s">
        <v>486</v>
      </c>
      <c r="G42" s="251" t="s">
        <v>487</v>
      </c>
      <c r="H42" s="251" t="str">
        <f>"Instruction 1, Line "&amp;B104&amp;""</f>
        <v>Instruction 1, Line k</v>
      </c>
      <c r="J42" s="215">
        <f>E104</f>
        <v>5.1770508276703368E-2</v>
      </c>
      <c r="L42" s="7"/>
      <c r="M42" s="7"/>
      <c r="N42" s="7"/>
    </row>
    <row r="43" spans="1:17" ht="13">
      <c r="A43" s="2">
        <f>A42+1</f>
        <v>24</v>
      </c>
      <c r="D43" s="12" t="s">
        <v>192</v>
      </c>
      <c r="H43" t="str">
        <f>"1-Base TRR L "&amp;'1-BaseTRR'!A104&amp;""</f>
        <v>1-Base TRR L 59</v>
      </c>
      <c r="J43" s="7">
        <f>'1-BaseTRR'!K104</f>
        <v>0.27983599999999997</v>
      </c>
      <c r="L43" s="7"/>
      <c r="M43" s="7"/>
      <c r="N43" s="7"/>
    </row>
    <row r="44" spans="1:17" ht="13">
      <c r="A44" s="2">
        <f>A43+1</f>
        <v>25</v>
      </c>
      <c r="D44" s="12" t="s">
        <v>193</v>
      </c>
      <c r="H44" t="str">
        <f>"1-Base TRR L "&amp;'1-BaseTRR'!A110&amp;""</f>
        <v>1-Base TRR L 63</v>
      </c>
      <c r="J44" s="6">
        <f>'1-BaseTRR'!K110</f>
        <v>-15332112.995571591</v>
      </c>
      <c r="L44" s="6"/>
      <c r="N44" s="6"/>
    </row>
    <row r="45" spans="1:17" ht="13">
      <c r="A45" s="2">
        <f>A44+1</f>
        <v>26</v>
      </c>
      <c r="D45" s="12" t="s">
        <v>194</v>
      </c>
      <c r="H45" t="str">
        <f>"1-Base TRR L "&amp;'1-BaseTRR'!A114&amp;""</f>
        <v>1-Base TRR L 65</v>
      </c>
      <c r="J45" s="253">
        <f>'1-BaseTRR'!K121</f>
        <v>2556084</v>
      </c>
      <c r="L45" s="6"/>
      <c r="N45" s="6"/>
    </row>
    <row r="46" spans="1:17" ht="13">
      <c r="A46" s="2"/>
      <c r="B46" s="12"/>
      <c r="L46" s="6"/>
      <c r="N46" s="2"/>
      <c r="O46" s="2"/>
    </row>
    <row r="47" spans="1:17" ht="13">
      <c r="A47" s="2"/>
      <c r="B47" s="1" t="s">
        <v>488</v>
      </c>
      <c r="L47" s="6"/>
      <c r="N47" s="48"/>
      <c r="O47" s="48"/>
      <c r="Q47" s="30"/>
    </row>
    <row r="48" spans="1:17" ht="13">
      <c r="A48" s="2">
        <f>A45+1</f>
        <v>27</v>
      </c>
      <c r="B48" s="12"/>
      <c r="C48" t="s">
        <v>199</v>
      </c>
      <c r="H48" t="str">
        <f>"1-Base TRR L "&amp;'1-BaseTRR'!A126&amp;""</f>
        <v>1-Base TRR L 66</v>
      </c>
      <c r="J48" s="6">
        <f>'1-BaseTRR'!K126</f>
        <v>99507852.091650277</v>
      </c>
      <c r="L48" s="6"/>
      <c r="N48" s="6"/>
      <c r="O48" s="6"/>
      <c r="Q48" s="251"/>
    </row>
    <row r="49" spans="1:17" ht="13">
      <c r="A49" s="2">
        <f t="shared" ref="A49:A59" si="1">A48+1</f>
        <v>28</v>
      </c>
      <c r="B49" s="12"/>
      <c r="C49" s="251" t="s">
        <v>200</v>
      </c>
      <c r="H49" t="str">
        <f>"1-Base TRR L "&amp;'1-BaseTRR'!A127&amp;""</f>
        <v>1-Base TRR L 67</v>
      </c>
      <c r="J49" s="6">
        <f>'1-BaseTRR'!K127</f>
        <v>141160521.59487161</v>
      </c>
      <c r="L49" s="6"/>
      <c r="N49" s="6"/>
      <c r="O49" s="6"/>
      <c r="Q49" s="251"/>
    </row>
    <row r="50" spans="1:17" ht="13">
      <c r="A50" s="2">
        <f>A49+1</f>
        <v>29</v>
      </c>
      <c r="B50" s="12"/>
      <c r="C50" t="s">
        <v>201</v>
      </c>
      <c r="H50" t="str">
        <f>"1-Base TRR L "&amp;'1-BaseTRR'!A128&amp;""</f>
        <v>1-Base TRR L 68</v>
      </c>
      <c r="J50" s="6">
        <f>'1-BaseTRR'!K128</f>
        <v>1565253.42</v>
      </c>
      <c r="L50" s="6"/>
      <c r="N50" s="6"/>
      <c r="O50" s="6"/>
    </row>
    <row r="51" spans="1:17" ht="13">
      <c r="A51" s="2">
        <f t="shared" si="1"/>
        <v>30</v>
      </c>
      <c r="B51" s="12"/>
      <c r="C51" s="251" t="s">
        <v>202</v>
      </c>
      <c r="H51" t="str">
        <f>"1-Base TRR L "&amp;'1-BaseTRR'!A129&amp;""</f>
        <v>1-Base TRR L 69</v>
      </c>
      <c r="J51" s="6">
        <f>'1-BaseTRR'!K129</f>
        <v>295867458.50317699</v>
      </c>
      <c r="L51" s="6"/>
      <c r="N51" s="6"/>
      <c r="O51" s="6"/>
    </row>
    <row r="52" spans="1:17" ht="13">
      <c r="A52" s="2">
        <f t="shared" si="1"/>
        <v>31</v>
      </c>
      <c r="B52" s="12"/>
      <c r="C52" s="251" t="s">
        <v>203</v>
      </c>
      <c r="H52" t="str">
        <f>"1-Base TRR L "&amp;'1-BaseTRR'!A130&amp;""</f>
        <v>1-Base TRR L 70</v>
      </c>
      <c r="J52" s="6">
        <f>'1-BaseTRR'!K130</f>
        <v>0</v>
      </c>
      <c r="L52" s="6"/>
      <c r="N52" s="6"/>
      <c r="O52" s="6"/>
    </row>
    <row r="53" spans="1:17" ht="13">
      <c r="A53" s="2">
        <f t="shared" si="1"/>
        <v>32</v>
      </c>
      <c r="B53" s="12"/>
      <c r="C53" s="251" t="s">
        <v>143</v>
      </c>
      <c r="H53" t="str">
        <f>"1-Base TRR L "&amp;'1-BaseTRR'!A131&amp;""</f>
        <v>1-Base TRR L 71</v>
      </c>
      <c r="J53" s="6">
        <f>'1-BaseTRR'!K131</f>
        <v>75917125.973308787</v>
      </c>
      <c r="L53" s="6"/>
      <c r="N53" s="6"/>
      <c r="O53" s="6"/>
    </row>
    <row r="54" spans="1:17" ht="13">
      <c r="A54" s="2">
        <f t="shared" si="1"/>
        <v>33</v>
      </c>
      <c r="B54" s="12"/>
      <c r="C54" t="s">
        <v>204</v>
      </c>
      <c r="G54" s="251"/>
      <c r="H54" t="str">
        <f>"1-Base TRR L "&amp;'1-BaseTRR'!A132&amp;""</f>
        <v>1-Base TRR L 72</v>
      </c>
      <c r="J54" s="6">
        <f>'1-BaseTRR'!K132</f>
        <v>-51757940.573729523</v>
      </c>
      <c r="L54" s="6"/>
      <c r="N54" s="6"/>
      <c r="O54" s="6"/>
    </row>
    <row r="55" spans="1:17" ht="13">
      <c r="A55" s="2">
        <f t="shared" si="1"/>
        <v>34</v>
      </c>
      <c r="B55" s="12"/>
      <c r="C55" t="s">
        <v>205</v>
      </c>
      <c r="H55" t="str">
        <f>"Line "&amp;A34&amp;""</f>
        <v>Line 20</v>
      </c>
      <c r="J55" s="6">
        <f>J34</f>
        <v>511718361.71643025</v>
      </c>
      <c r="L55" s="6"/>
      <c r="N55" s="6"/>
      <c r="O55" s="6"/>
    </row>
    <row r="56" spans="1:17" ht="13">
      <c r="A56" s="2">
        <f t="shared" si="1"/>
        <v>35</v>
      </c>
      <c r="B56" s="12"/>
      <c r="C56" t="s">
        <v>206</v>
      </c>
      <c r="H56" t="str">
        <f>"Line "&amp;A38&amp;""</f>
        <v>Line 21</v>
      </c>
      <c r="J56" s="253">
        <f>J38</f>
        <v>125015139.08180034</v>
      </c>
      <c r="L56" s="6"/>
      <c r="N56" s="6"/>
      <c r="O56" s="6"/>
    </row>
    <row r="57" spans="1:17" ht="13">
      <c r="A57" s="2">
        <f t="shared" si="1"/>
        <v>36</v>
      </c>
      <c r="B57" s="12"/>
      <c r="C57" s="251" t="s">
        <v>489</v>
      </c>
      <c r="H57" t="str">
        <f>"1-Base TRR L "&amp;'1-BaseTRR'!A135&amp;""</f>
        <v>1-Base TRR L 75</v>
      </c>
      <c r="J57" s="253">
        <f>'1-BaseTRR'!K135</f>
        <v>0</v>
      </c>
      <c r="L57" s="6"/>
      <c r="N57" s="6"/>
      <c r="O57" s="6"/>
    </row>
    <row r="58" spans="1:17" ht="13">
      <c r="A58" s="2">
        <f t="shared" si="1"/>
        <v>37</v>
      </c>
      <c r="B58" s="12"/>
      <c r="C58" s="308" t="s">
        <v>209</v>
      </c>
      <c r="D58" s="308"/>
      <c r="H58" t="str">
        <f>"1-Base TRR L "&amp;'1-BaseTRR'!A136&amp;""</f>
        <v>1-Base TRR L 76</v>
      </c>
      <c r="J58" s="53">
        <f>'1-BaseTRR'!K136</f>
        <v>0</v>
      </c>
      <c r="L58" s="6"/>
      <c r="N58" s="6"/>
      <c r="O58" s="6"/>
    </row>
    <row r="59" spans="1:17" ht="13">
      <c r="A59" s="2">
        <f t="shared" si="1"/>
        <v>38</v>
      </c>
      <c r="B59" s="12"/>
      <c r="C59" s="251" t="s">
        <v>490</v>
      </c>
      <c r="H59" t="str">
        <f>"Sum Line "&amp;A48&amp;" to Line "&amp;A58&amp;""</f>
        <v>Sum Line 27 to Line 37</v>
      </c>
      <c r="J59" s="6">
        <f>SUM(J48:J58)</f>
        <v>1198993771.8075089</v>
      </c>
      <c r="L59" s="6"/>
      <c r="N59" s="6"/>
      <c r="O59" s="6"/>
    </row>
    <row r="60" spans="1:17" ht="13">
      <c r="A60" s="2"/>
      <c r="B60" s="12"/>
      <c r="J60" s="6"/>
      <c r="L60" s="6"/>
      <c r="N60" s="6"/>
      <c r="O60" s="6"/>
    </row>
    <row r="61" spans="1:17" ht="12.75" customHeight="1">
      <c r="A61" s="2">
        <f>A59+1</f>
        <v>39</v>
      </c>
      <c r="B61" s="12"/>
      <c r="C61" s="251" t="s">
        <v>491</v>
      </c>
      <c r="H61" t="str">
        <f>"15-IncentiveAdder L "&amp;'15-IncentiveAdder'!A59&amp;""</f>
        <v>15-IncentiveAdder L 20</v>
      </c>
      <c r="J61" s="6">
        <f>'15-IncentiveAdder'!G59</f>
        <v>25205736.434238996</v>
      </c>
      <c r="L61" s="6"/>
      <c r="N61" s="6"/>
      <c r="O61" s="6"/>
    </row>
    <row r="62" spans="1:17" ht="12.75" customHeight="1">
      <c r="A62" s="2" t="s">
        <v>492</v>
      </c>
      <c r="B62" s="12"/>
      <c r="C62" s="251" t="s">
        <v>493</v>
      </c>
      <c r="H62" s="251" t="s">
        <v>494</v>
      </c>
      <c r="J62" s="6">
        <f>-J61</f>
        <v>-25205736.434238996</v>
      </c>
      <c r="L62" s="6"/>
      <c r="N62" s="6"/>
      <c r="O62" s="6"/>
    </row>
    <row r="63" spans="1:17" ht="13">
      <c r="A63" s="2"/>
      <c r="B63" s="12"/>
      <c r="C63" s="251"/>
      <c r="J63" s="6"/>
      <c r="L63" s="6"/>
      <c r="N63" s="6"/>
      <c r="O63" s="6"/>
    </row>
    <row r="64" spans="1:17" ht="13">
      <c r="A64" s="2">
        <f>A61+1</f>
        <v>40</v>
      </c>
      <c r="B64" s="12"/>
      <c r="C64" s="251" t="s">
        <v>495</v>
      </c>
      <c r="H64" t="str">
        <f>"Sum of Lines "&amp;A59&amp;" to "&amp;A62&amp;""</f>
        <v>Sum of Lines 38 to 39a</v>
      </c>
      <c r="J64" s="6">
        <f>J59+J61+J62</f>
        <v>1198993771.8075089</v>
      </c>
      <c r="L64" s="6"/>
      <c r="N64" s="6"/>
      <c r="O64" s="6"/>
    </row>
    <row r="65" spans="1:19" ht="13">
      <c r="A65" s="2"/>
      <c r="B65" s="12"/>
      <c r="C65" s="251"/>
      <c r="J65" s="6"/>
    </row>
    <row r="66" spans="1:19" ht="13">
      <c r="A66" s="2"/>
      <c r="B66" s="47" t="s">
        <v>496</v>
      </c>
      <c r="C66" s="251"/>
      <c r="J66" s="6"/>
      <c r="N66" s="2"/>
      <c r="O66" s="2"/>
    </row>
    <row r="67" spans="1:19" ht="13">
      <c r="A67" s="32" t="s">
        <v>99</v>
      </c>
      <c r="B67" s="38"/>
      <c r="G67" s="30" t="s">
        <v>497</v>
      </c>
      <c r="N67" s="48"/>
      <c r="O67" s="48"/>
      <c r="Q67" s="30"/>
    </row>
    <row r="68" spans="1:19" ht="13">
      <c r="A68" s="2">
        <f>A64+1</f>
        <v>41</v>
      </c>
      <c r="B68" s="38"/>
      <c r="D68" s="249" t="s">
        <v>498</v>
      </c>
      <c r="E68" s="6">
        <f>J64</f>
        <v>1198993771.8075089</v>
      </c>
      <c r="G68" t="str">
        <f>"Line "&amp;A64&amp;""</f>
        <v>Line 40</v>
      </c>
      <c r="J68" s="189"/>
      <c r="L68" s="6"/>
      <c r="N68" s="6"/>
      <c r="O68" s="6"/>
      <c r="Q68" s="251"/>
    </row>
    <row r="69" spans="1:19" ht="13">
      <c r="A69" s="2">
        <f>A68+1</f>
        <v>42</v>
      </c>
      <c r="B69" s="38"/>
      <c r="D69" s="249" t="s">
        <v>499</v>
      </c>
      <c r="E69" s="501">
        <f>'28-FFU'!D22</f>
        <v>9.3645816374923023E-3</v>
      </c>
      <c r="G69" t="str">
        <f>"28-FFU, L "&amp;'28-FFU'!A22&amp;""</f>
        <v>28-FFU, L 5</v>
      </c>
      <c r="J69" s="2"/>
      <c r="L69" s="7"/>
      <c r="N69" s="7"/>
      <c r="O69" s="7"/>
      <c r="Q69" s="251"/>
    </row>
    <row r="70" spans="1:19" ht="13">
      <c r="A70" s="2">
        <f>A69+1</f>
        <v>43</v>
      </c>
      <c r="B70" s="38"/>
      <c r="D70" s="25" t="s">
        <v>500</v>
      </c>
      <c r="E70" s="6">
        <f>E68*E69</f>
        <v>11228075.058936235</v>
      </c>
      <c r="G70" t="str">
        <f>"Line "&amp;A68&amp;" * Line "&amp;A69&amp;""</f>
        <v>Line 41 * Line 42</v>
      </c>
      <c r="J70" s="6"/>
      <c r="L70" s="6"/>
      <c r="N70" s="6"/>
      <c r="O70" s="6"/>
      <c r="Q70" s="251"/>
    </row>
    <row r="71" spans="1:19" ht="13">
      <c r="A71" s="2">
        <f>A70+1</f>
        <v>44</v>
      </c>
      <c r="B71" s="38"/>
      <c r="D71" s="249" t="s">
        <v>501</v>
      </c>
      <c r="E71" s="501">
        <f>'28-FFU'!E22</f>
        <v>9.9696572646551899E-3</v>
      </c>
      <c r="G71" t="str">
        <f>"28-FFU, L "&amp;'28-FFU'!A22&amp;""</f>
        <v>28-FFU, L 5</v>
      </c>
      <c r="J71" s="53"/>
      <c r="L71" s="215"/>
      <c r="N71" s="7"/>
      <c r="O71" s="7"/>
      <c r="Q71" s="251"/>
    </row>
    <row r="72" spans="1:19" ht="13">
      <c r="A72" s="2">
        <f>A71+1</f>
        <v>45</v>
      </c>
      <c r="B72" s="38"/>
      <c r="D72" s="249" t="s">
        <v>325</v>
      </c>
      <c r="E72" s="6">
        <f>E68*E71</f>
        <v>11953556.967377059</v>
      </c>
      <c r="G72" t="str">
        <f>"Line "&amp;A68&amp;" * Line "&amp;A71&amp;""</f>
        <v>Line 41 * Line 44</v>
      </c>
      <c r="J72" s="6"/>
      <c r="L72" s="6"/>
      <c r="N72" s="6"/>
      <c r="O72" s="6"/>
      <c r="Q72" s="251"/>
    </row>
    <row r="73" spans="1:19" ht="13">
      <c r="A73" s="2" t="s">
        <v>502</v>
      </c>
      <c r="B73" s="1047"/>
      <c r="C73" s="251"/>
      <c r="D73" s="249" t="s">
        <v>503</v>
      </c>
      <c r="E73" s="53">
        <f>-'35-Other Formula Revenue'!D113</f>
        <v>0</v>
      </c>
      <c r="F73" s="251"/>
      <c r="G73" s="251" t="str">
        <f>"Negative of 35-Other Formula Revenue, L "&amp;'35-Other Formula Revenue'!A113&amp;""</f>
        <v>Negative of 35-Other Formula Revenue, L 80</v>
      </c>
      <c r="H73" s="251"/>
      <c r="I73" s="622"/>
      <c r="J73" s="907"/>
      <c r="L73" s="6"/>
      <c r="O73" s="6"/>
      <c r="Q73" s="251"/>
    </row>
    <row r="74" spans="1:19" ht="13">
      <c r="A74" s="2">
        <f>A72+1</f>
        <v>46</v>
      </c>
      <c r="B74" s="38"/>
      <c r="D74" s="249" t="s">
        <v>334</v>
      </c>
      <c r="E74" s="253">
        <f>E68+E70+E72+E73</f>
        <v>1222175403.833822</v>
      </c>
      <c r="F74" s="251"/>
      <c r="G74" s="251" t="str">
        <f>"L "&amp;A68&amp;" + L "&amp;A70&amp;" + L "&amp;A72&amp;"+ L "&amp;A73&amp;""</f>
        <v>L 41 + L 43 + L 45+ L 45a</v>
      </c>
      <c r="H74" s="251"/>
      <c r="L74" s="6"/>
      <c r="N74" s="6"/>
      <c r="O74" s="6"/>
      <c r="Q74" s="251"/>
    </row>
    <row r="75" spans="1:19" ht="13">
      <c r="B75" s="47" t="s">
        <v>433</v>
      </c>
      <c r="D75" s="25"/>
      <c r="E75" s="6"/>
      <c r="H75" s="323"/>
      <c r="L75" s="6"/>
      <c r="M75" s="251"/>
    </row>
    <row r="76" spans="1:19" ht="13">
      <c r="A76" s="2"/>
      <c r="B76" s="251" t="s">
        <v>504</v>
      </c>
      <c r="C76" s="47"/>
      <c r="D76" s="25"/>
      <c r="E76" s="6"/>
      <c r="L76" s="856"/>
      <c r="M76" s="251"/>
    </row>
    <row r="77" spans="1:19" ht="13">
      <c r="A77" s="2"/>
      <c r="B77" s="251" t="s">
        <v>505</v>
      </c>
      <c r="C77" s="47"/>
      <c r="D77" s="25"/>
      <c r="E77" s="6"/>
      <c r="L77" s="856"/>
      <c r="M77" s="251"/>
      <c r="O77" s="30"/>
      <c r="P77" s="30"/>
      <c r="Q77" s="30"/>
    </row>
    <row r="78" spans="1:19" ht="13">
      <c r="A78" s="2"/>
      <c r="B78" s="295" t="s">
        <v>506</v>
      </c>
      <c r="C78" s="251"/>
      <c r="D78" s="25"/>
      <c r="E78" s="6"/>
      <c r="L78" s="53"/>
      <c r="M78" s="28"/>
      <c r="N78" s="28"/>
      <c r="O78" s="28"/>
    </row>
    <row r="79" spans="1:19" ht="13">
      <c r="A79" s="2"/>
      <c r="B79" s="295" t="s">
        <v>507</v>
      </c>
      <c r="D79" s="25"/>
      <c r="E79" s="6"/>
      <c r="L79" s="6"/>
      <c r="M79" s="251"/>
      <c r="O79" s="30"/>
      <c r="Q79" s="30"/>
      <c r="S79" s="30"/>
    </row>
    <row r="80" spans="1:19" ht="13">
      <c r="A80" s="2"/>
      <c r="O80" s="249"/>
      <c r="Q80" s="253"/>
    </row>
    <row r="81" spans="1:19" ht="13">
      <c r="A81" s="2"/>
      <c r="B81" s="251" t="s">
        <v>508</v>
      </c>
      <c r="O81" s="249"/>
      <c r="Q81" s="6"/>
      <c r="S81" s="251"/>
    </row>
    <row r="82" spans="1:19" ht="13">
      <c r="A82" s="2"/>
      <c r="B82" s="251"/>
      <c r="C82" s="251" t="s">
        <v>509</v>
      </c>
      <c r="O82" s="249"/>
      <c r="Q82" s="6"/>
      <c r="S82" s="251"/>
    </row>
    <row r="83" spans="1:19" ht="13">
      <c r="A83" s="2"/>
      <c r="B83" s="251"/>
      <c r="J83" s="2" t="s">
        <v>510</v>
      </c>
      <c r="O83" s="249"/>
      <c r="Q83" s="6"/>
      <c r="S83" s="251"/>
    </row>
    <row r="84" spans="1:19" ht="13">
      <c r="A84" s="2"/>
      <c r="E84" s="3" t="s">
        <v>511</v>
      </c>
      <c r="F84" s="30" t="s">
        <v>497</v>
      </c>
      <c r="G84" s="3" t="s">
        <v>512</v>
      </c>
      <c r="H84" s="3" t="s">
        <v>513</v>
      </c>
      <c r="J84" s="3" t="s">
        <v>514</v>
      </c>
      <c r="O84" s="249"/>
      <c r="Q84" s="6"/>
      <c r="S84" s="251"/>
    </row>
    <row r="85" spans="1:19" ht="13">
      <c r="B85" s="4" t="s">
        <v>515</v>
      </c>
      <c r="C85" s="251" t="s">
        <v>516</v>
      </c>
      <c r="E85" s="853">
        <v>0.10299999999999999</v>
      </c>
      <c r="F85" s="251" t="s">
        <v>517</v>
      </c>
      <c r="G85" s="648">
        <v>44197</v>
      </c>
      <c r="H85" s="648">
        <v>44561</v>
      </c>
      <c r="I85" s="251"/>
      <c r="J85" s="387">
        <v>365</v>
      </c>
      <c r="K85" s="251"/>
      <c r="O85" s="249"/>
      <c r="Q85" s="6"/>
      <c r="S85" s="251"/>
    </row>
    <row r="86" spans="1:19" ht="13">
      <c r="B86" s="4" t="s">
        <v>518</v>
      </c>
      <c r="C86" s="251" t="s">
        <v>519</v>
      </c>
      <c r="E86" s="853"/>
      <c r="F86" s="251" t="s">
        <v>520</v>
      </c>
      <c r="G86" s="648"/>
      <c r="H86" s="648"/>
      <c r="I86" s="251"/>
      <c r="J86" s="387"/>
      <c r="K86" s="251"/>
      <c r="L86" s="251"/>
      <c r="O86" s="249"/>
      <c r="Q86" s="53"/>
      <c r="S86" s="251"/>
    </row>
    <row r="87" spans="1:19" ht="13">
      <c r="B87" s="4" t="s">
        <v>521</v>
      </c>
      <c r="C87" s="251"/>
      <c r="E87" s="505"/>
      <c r="F87" s="251"/>
      <c r="G87" s="257"/>
      <c r="H87" s="257"/>
      <c r="I87" s="249" t="s">
        <v>522</v>
      </c>
      <c r="J87" s="252">
        <f>SUM(J85:J86)</f>
        <v>365</v>
      </c>
      <c r="K87" s="251"/>
      <c r="L87" s="251"/>
      <c r="O87" s="249"/>
      <c r="Q87" s="6"/>
      <c r="S87" s="261"/>
    </row>
    <row r="88" spans="1:19" ht="13">
      <c r="B88" s="4" t="s">
        <v>523</v>
      </c>
      <c r="C88" s="251" t="s">
        <v>524</v>
      </c>
      <c r="E88" s="26">
        <f>((E85*J85) + (E86* J86)) / J87</f>
        <v>0.10299999999999999</v>
      </c>
      <c r="F88" s="251" t="s">
        <v>525</v>
      </c>
      <c r="H88" s="251"/>
      <c r="I88" s="251"/>
      <c r="J88" s="251"/>
      <c r="K88" s="251"/>
      <c r="L88" s="251"/>
    </row>
    <row r="89" spans="1:19" ht="13">
      <c r="A89" s="2"/>
      <c r="B89" s="251"/>
      <c r="H89" s="251"/>
      <c r="I89" s="251"/>
      <c r="J89" s="251"/>
      <c r="K89" s="251"/>
      <c r="L89" s="251"/>
    </row>
    <row r="90" spans="1:19" ht="13">
      <c r="A90" s="2"/>
      <c r="B90" s="251" t="s">
        <v>526</v>
      </c>
      <c r="H90" s="251"/>
      <c r="I90" s="251"/>
      <c r="J90" s="251"/>
      <c r="K90" s="251"/>
      <c r="L90" s="251"/>
    </row>
    <row r="91" spans="1:19" ht="13">
      <c r="A91" s="2"/>
      <c r="B91" s="251"/>
      <c r="E91" s="30" t="s">
        <v>497</v>
      </c>
      <c r="H91" s="251"/>
      <c r="I91" s="251"/>
      <c r="J91" s="251"/>
      <c r="K91" s="251"/>
      <c r="L91" s="251"/>
    </row>
    <row r="92" spans="1:19" ht="13">
      <c r="B92" s="4" t="s">
        <v>527</v>
      </c>
      <c r="C92" s="251" t="s">
        <v>528</v>
      </c>
      <c r="E92" s="210" t="s">
        <v>529</v>
      </c>
      <c r="F92" s="55"/>
      <c r="G92" s="55"/>
      <c r="H92" s="258"/>
      <c r="I92" s="258"/>
      <c r="J92" s="258"/>
      <c r="K92" s="251"/>
      <c r="L92" s="251"/>
    </row>
    <row r="93" spans="1:19" ht="13">
      <c r="B93" s="4" t="s">
        <v>530</v>
      </c>
      <c r="C93" s="251" t="s">
        <v>531</v>
      </c>
      <c r="E93" s="210" t="s">
        <v>532</v>
      </c>
      <c r="F93" s="55"/>
      <c r="G93" s="55"/>
      <c r="H93" s="258"/>
      <c r="I93" s="258"/>
      <c r="J93" s="258"/>
      <c r="K93" s="251"/>
      <c r="L93" s="251"/>
    </row>
    <row r="94" spans="1:19">
      <c r="C94" s="251"/>
      <c r="E94" s="257"/>
      <c r="I94" s="251"/>
      <c r="J94" s="251"/>
      <c r="K94" s="251"/>
      <c r="L94" s="251"/>
    </row>
    <row r="95" spans="1:19" ht="13">
      <c r="E95" s="3" t="s">
        <v>511</v>
      </c>
      <c r="F95" s="30" t="s">
        <v>497</v>
      </c>
      <c r="H95" s="251"/>
      <c r="I95" s="251"/>
      <c r="L95" s="251"/>
    </row>
    <row r="96" spans="1:19" ht="13">
      <c r="B96" s="4" t="s">
        <v>533</v>
      </c>
      <c r="C96" s="251" t="s">
        <v>534</v>
      </c>
      <c r="D96" s="251"/>
      <c r="E96" s="854">
        <f>'1-BaseTRR'!K90</f>
        <v>1.907056322533977E-2</v>
      </c>
      <c r="F96" t="str">
        <f>"1-Base TRR L "&amp;'1-BaseTRR'!A90&amp;""</f>
        <v>1-Base TRR L 51</v>
      </c>
      <c r="H96" s="251"/>
      <c r="I96" s="251"/>
    </row>
    <row r="97" spans="1:10" ht="13">
      <c r="B97" s="4" t="s">
        <v>535</v>
      </c>
      <c r="C97" s="251" t="s">
        <v>536</v>
      </c>
      <c r="E97" s="854">
        <f>'1-BaseTRR'!K91</f>
        <v>2.8455082767033695E-3</v>
      </c>
      <c r="F97" t="str">
        <f>"1-Base TRR L "&amp;'1-BaseTRR'!A91&amp;""</f>
        <v>1-Base TRR L 52</v>
      </c>
      <c r="H97" s="251"/>
      <c r="I97" s="251"/>
    </row>
    <row r="98" spans="1:10" ht="13">
      <c r="B98" s="4" t="s">
        <v>537</v>
      </c>
      <c r="C98" s="251" t="s">
        <v>538</v>
      </c>
      <c r="E98" s="855">
        <f>('1-BaseTRR'!K82) * E88</f>
        <v>4.8924999999999996E-2</v>
      </c>
      <c r="F98" t="str">
        <f>"1-Base TRR L "&amp;'1-BaseTRR'!A82&amp;" * Line d"</f>
        <v>1-Base TRR L 47 * Line d</v>
      </c>
      <c r="G98" s="251"/>
      <c r="H98" s="251"/>
    </row>
    <row r="99" spans="1:10" ht="13">
      <c r="B99" s="2" t="s">
        <v>539</v>
      </c>
      <c r="C99" s="250" t="s">
        <v>171</v>
      </c>
      <c r="E99" s="960">
        <f>SUM(E96:E98)</f>
        <v>7.0841071502043135E-2</v>
      </c>
      <c r="F99" s="6" t="str">
        <f>"Sum of Lines "&amp;B96&amp;" to "&amp;B98&amp;""</f>
        <v>Sum of Lines g to i</v>
      </c>
      <c r="G99" s="252"/>
      <c r="J99" s="46"/>
    </row>
    <row r="100" spans="1:10" ht="13">
      <c r="A100" s="2"/>
      <c r="C100" s="14"/>
      <c r="D100" s="17"/>
      <c r="E100" s="6"/>
      <c r="F100" s="6"/>
      <c r="G100" s="252"/>
      <c r="H100" s="6"/>
      <c r="J100" s="46"/>
    </row>
    <row r="101" spans="1:10" ht="13">
      <c r="A101" s="2"/>
      <c r="B101" s="251" t="s">
        <v>540</v>
      </c>
    </row>
    <row r="102" spans="1:10" ht="13">
      <c r="A102" s="2"/>
    </row>
    <row r="103" spans="1:10" ht="13">
      <c r="A103" s="2"/>
      <c r="E103" s="3" t="s">
        <v>511</v>
      </c>
      <c r="F103" s="30" t="s">
        <v>497</v>
      </c>
    </row>
    <row r="104" spans="1:10" ht="13">
      <c r="B104" s="4" t="s">
        <v>541</v>
      </c>
      <c r="E104" s="854">
        <f>E97+E98</f>
        <v>5.1770508276703368E-2</v>
      </c>
      <c r="F104" s="6" t="str">
        <f>"Sum of Lines "&amp;B97&amp;" to "&amp;B98&amp;""</f>
        <v>Sum of Lines h to i</v>
      </c>
    </row>
    <row r="105" spans="1:10" ht="13">
      <c r="A105" s="2"/>
      <c r="E105" s="7"/>
      <c r="F105" s="6"/>
    </row>
    <row r="106" spans="1:10" ht="13">
      <c r="A106" s="2"/>
      <c r="B106" s="32" t="s">
        <v>228</v>
      </c>
      <c r="E106" s="252"/>
      <c r="F106" s="252"/>
      <c r="G106" s="252"/>
      <c r="H106" s="6"/>
    </row>
    <row r="107" spans="1:10" ht="13">
      <c r="A107" s="2"/>
      <c r="B107" s="251" t="s">
        <v>542</v>
      </c>
    </row>
    <row r="108" spans="1:10" ht="13">
      <c r="A108" s="2"/>
      <c r="B108" s="250" t="s">
        <v>543</v>
      </c>
      <c r="D108" s="2"/>
      <c r="E108" s="2"/>
      <c r="F108" s="2"/>
      <c r="G108" s="2"/>
      <c r="H108" s="2"/>
    </row>
    <row r="109" spans="1:10" ht="13">
      <c r="A109" s="2"/>
      <c r="B109" s="295"/>
      <c r="D109" s="2"/>
      <c r="E109" s="2"/>
      <c r="F109" s="2"/>
      <c r="G109" s="2"/>
      <c r="H109" s="2"/>
    </row>
    <row r="110" spans="1:10" ht="13">
      <c r="A110" s="2"/>
      <c r="C110" s="18"/>
      <c r="D110" s="18"/>
      <c r="E110" s="3"/>
      <c r="F110" s="3"/>
      <c r="G110" s="3"/>
      <c r="H110" s="3"/>
    </row>
    <row r="111" spans="1:10" ht="13">
      <c r="A111" s="2"/>
    </row>
    <row r="112" spans="1:10" ht="13">
      <c r="A112" s="2"/>
    </row>
    <row r="113" spans="1:10" ht="13">
      <c r="A113" s="2"/>
    </row>
    <row r="114" spans="1:10" ht="13">
      <c r="A114" s="2"/>
      <c r="C114" s="14"/>
      <c r="E114" s="6"/>
      <c r="F114" s="6"/>
      <c r="H114" s="6"/>
      <c r="J114" s="46"/>
    </row>
    <row r="115" spans="1:10" ht="13">
      <c r="A115" s="2"/>
      <c r="C115" s="14"/>
      <c r="E115" s="6"/>
      <c r="F115" s="6"/>
      <c r="H115" s="6"/>
      <c r="J115" s="46"/>
    </row>
    <row r="116" spans="1:10" ht="13">
      <c r="A116" s="32"/>
      <c r="C116" s="14"/>
      <c r="E116" s="6"/>
      <c r="F116" s="6"/>
      <c r="H116" s="6"/>
      <c r="J116" s="46"/>
    </row>
    <row r="117" spans="1:10" ht="13">
      <c r="A117" s="2"/>
      <c r="D117" s="22"/>
      <c r="E117" s="6"/>
      <c r="F117" s="6"/>
      <c r="G117" s="251"/>
      <c r="H117" s="6"/>
      <c r="J117" s="46"/>
    </row>
    <row r="118" spans="1:10" ht="13">
      <c r="A118" s="2"/>
      <c r="C118" s="14"/>
      <c r="D118" s="249"/>
      <c r="E118" s="53"/>
      <c r="F118" s="6"/>
      <c r="G118" s="251"/>
      <c r="H118" s="6"/>
      <c r="J118" s="46"/>
    </row>
    <row r="119" spans="1:10" ht="13">
      <c r="A119" s="2"/>
      <c r="C119" s="14"/>
      <c r="D119" s="249"/>
      <c r="E119" s="6"/>
      <c r="F119" s="6"/>
      <c r="G119" s="251"/>
      <c r="H119" s="6"/>
      <c r="J119" s="46"/>
    </row>
    <row r="120" spans="1:10" ht="13">
      <c r="A120" s="2"/>
    </row>
    <row r="121" spans="1:10" ht="13">
      <c r="A121" s="2"/>
      <c r="B121" s="1"/>
    </row>
    <row r="122" spans="1:10" ht="13">
      <c r="A122" s="2"/>
    </row>
    <row r="123" spans="1:10" ht="13">
      <c r="A123" s="2"/>
    </row>
    <row r="124" spans="1:10" ht="13">
      <c r="A124" s="2"/>
      <c r="F124" s="2"/>
    </row>
    <row r="125" spans="1:10" ht="13">
      <c r="A125" s="2"/>
      <c r="F125" s="2"/>
    </row>
    <row r="126" spans="1:10" ht="13">
      <c r="A126" s="2"/>
      <c r="D126" s="2"/>
      <c r="E126" s="2"/>
      <c r="F126" s="2"/>
      <c r="H126" s="2"/>
    </row>
    <row r="127" spans="1:10" ht="13">
      <c r="A127" s="2"/>
      <c r="D127" s="2"/>
      <c r="E127" s="2"/>
      <c r="F127" s="2"/>
      <c r="G127" s="2"/>
      <c r="H127" s="4"/>
    </row>
    <row r="128" spans="1:10" ht="13">
      <c r="A128" s="32"/>
      <c r="C128" s="18"/>
      <c r="D128" s="18"/>
      <c r="E128" s="3"/>
      <c r="F128" s="48"/>
      <c r="G128" s="3"/>
      <c r="H128" s="4"/>
    </row>
    <row r="129" spans="1:8" ht="13">
      <c r="A129" s="2"/>
      <c r="C129" s="14"/>
      <c r="D129" s="17"/>
      <c r="E129" s="6"/>
      <c r="F129" s="6"/>
      <c r="G129" s="26"/>
      <c r="H129" s="6"/>
    </row>
    <row r="130" spans="1:8" ht="13">
      <c r="A130" s="2"/>
      <c r="C130" s="14"/>
      <c r="D130" s="17"/>
      <c r="E130" s="6"/>
      <c r="F130" s="6"/>
      <c r="G130" s="26"/>
      <c r="H130" s="6"/>
    </row>
    <row r="131" spans="1:8" ht="13">
      <c r="A131" s="2"/>
      <c r="C131" s="14"/>
      <c r="D131" s="17"/>
      <c r="E131" s="6"/>
      <c r="F131" s="6"/>
      <c r="G131" s="26"/>
      <c r="H131" s="6"/>
    </row>
    <row r="132" spans="1:8" ht="13">
      <c r="A132" s="2"/>
      <c r="C132" s="14"/>
      <c r="D132" s="17"/>
      <c r="E132" s="6"/>
      <c r="F132" s="6"/>
      <c r="G132" s="26"/>
      <c r="H132" s="6"/>
    </row>
    <row r="133" spans="1:8" ht="13">
      <c r="A133" s="2"/>
      <c r="C133" s="14"/>
      <c r="D133" s="17"/>
      <c r="E133" s="6"/>
      <c r="F133" s="6"/>
      <c r="G133" s="26"/>
      <c r="H133" s="6"/>
    </row>
    <row r="134" spans="1:8" ht="13">
      <c r="A134" s="2"/>
      <c r="C134" s="14"/>
      <c r="D134" s="17"/>
      <c r="E134" s="6"/>
      <c r="F134" s="6"/>
      <c r="G134" s="26"/>
      <c r="H134" s="6"/>
    </row>
    <row r="135" spans="1:8" ht="13">
      <c r="A135" s="2"/>
      <c r="C135" s="14"/>
      <c r="D135" s="17"/>
      <c r="E135" s="6"/>
      <c r="F135" s="6"/>
      <c r="G135" s="26"/>
      <c r="H135" s="6"/>
    </row>
    <row r="136" spans="1:8" ht="13">
      <c r="A136" s="2"/>
      <c r="C136" s="14"/>
      <c r="D136" s="17"/>
      <c r="E136" s="6"/>
      <c r="F136" s="6"/>
      <c r="G136" s="26"/>
      <c r="H136" s="6"/>
    </row>
    <row r="137" spans="1:8" ht="13">
      <c r="A137" s="2"/>
      <c r="C137" s="14"/>
      <c r="D137" s="17"/>
      <c r="E137" s="6"/>
      <c r="F137" s="6"/>
      <c r="G137" s="26"/>
      <c r="H137" s="6"/>
    </row>
    <row r="138" spans="1:8" ht="13">
      <c r="A138" s="2"/>
      <c r="C138" s="14"/>
      <c r="D138" s="17"/>
      <c r="E138" s="6"/>
      <c r="F138" s="6"/>
      <c r="G138" s="26"/>
      <c r="H138" s="6"/>
    </row>
    <row r="139" spans="1:8" ht="13">
      <c r="A139" s="2"/>
      <c r="C139" s="14"/>
      <c r="D139" s="17"/>
      <c r="E139" s="6"/>
      <c r="F139" s="6"/>
      <c r="G139" s="26"/>
      <c r="H139" s="6"/>
    </row>
    <row r="140" spans="1:8" ht="13">
      <c r="A140" s="2"/>
      <c r="C140" s="14"/>
      <c r="D140" s="17"/>
      <c r="E140" s="6"/>
      <c r="F140" s="6"/>
      <c r="G140" s="26"/>
      <c r="H140" s="53"/>
    </row>
    <row r="141" spans="1:8" ht="13">
      <c r="A141" s="2"/>
      <c r="H141" s="6"/>
    </row>
    <row r="142" spans="1:8" ht="13">
      <c r="A142" s="2"/>
      <c r="C142" s="14"/>
      <c r="D142" s="17"/>
      <c r="F142" s="41"/>
      <c r="G142" s="26"/>
      <c r="H142" s="41"/>
    </row>
    <row r="143" spans="1:8" ht="13">
      <c r="A143" s="2"/>
      <c r="B143" s="1"/>
      <c r="C143" s="14"/>
      <c r="D143" s="17"/>
      <c r="F143" s="41"/>
      <c r="G143" s="26"/>
      <c r="H143" s="41"/>
    </row>
    <row r="144" spans="1:8" ht="13">
      <c r="A144" s="32"/>
      <c r="B144" s="1"/>
      <c r="C144" s="14"/>
      <c r="D144" s="17"/>
      <c r="F144" s="41"/>
      <c r="G144" s="26"/>
      <c r="H144" s="41"/>
    </row>
    <row r="145" spans="1:8" ht="13">
      <c r="A145" s="2"/>
      <c r="C145" s="14"/>
      <c r="D145" s="49"/>
      <c r="E145" s="6"/>
      <c r="F145" s="268"/>
      <c r="G145" s="26"/>
      <c r="H145" s="41"/>
    </row>
    <row r="146" spans="1:8" ht="13">
      <c r="A146" s="2"/>
      <c r="C146" s="14"/>
      <c r="D146" s="25"/>
      <c r="E146" s="6"/>
      <c r="F146" s="268"/>
      <c r="G146" s="26"/>
      <c r="H146" s="41"/>
    </row>
    <row r="147" spans="1:8" ht="13">
      <c r="A147" s="2"/>
      <c r="C147" s="14"/>
      <c r="D147" s="25"/>
      <c r="E147" s="53"/>
      <c r="F147" s="268"/>
      <c r="G147" s="26"/>
      <c r="H147" s="41"/>
    </row>
    <row r="148" spans="1:8" ht="13">
      <c r="A148" s="2"/>
      <c r="C148" s="14"/>
      <c r="D148" s="49"/>
      <c r="E148" s="6"/>
      <c r="F148" s="41"/>
      <c r="G148" s="26"/>
      <c r="H148" s="41"/>
    </row>
    <row r="149" spans="1:8" ht="13">
      <c r="A149" s="2"/>
      <c r="C149" s="14"/>
      <c r="D149" s="17"/>
      <c r="F149" s="41"/>
      <c r="G149" s="26"/>
      <c r="H149" s="41"/>
    </row>
    <row r="150" spans="1:8" ht="13">
      <c r="A150" s="2"/>
    </row>
    <row r="151" spans="1:8" ht="13">
      <c r="A151" s="2"/>
    </row>
    <row r="152" spans="1:8" ht="13">
      <c r="A152" s="2"/>
    </row>
    <row r="153" spans="1:8" ht="13">
      <c r="A153" s="2"/>
      <c r="B153" s="1"/>
    </row>
    <row r="154" spans="1:8" ht="13">
      <c r="A154" s="2"/>
      <c r="B154" s="251"/>
    </row>
    <row r="155" spans="1:8" ht="13">
      <c r="A155" s="2"/>
      <c r="B155" s="251"/>
    </row>
    <row r="156" spans="1:8" ht="13">
      <c r="A156" s="2"/>
      <c r="B156" s="251"/>
    </row>
    <row r="157" spans="1:8" ht="13">
      <c r="A157" s="2"/>
    </row>
    <row r="158" spans="1:8" ht="13">
      <c r="A158" s="2"/>
      <c r="B158" s="1"/>
    </row>
    <row r="159" spans="1:8" ht="13">
      <c r="A159" s="2"/>
    </row>
    <row r="160" spans="1:8" ht="13">
      <c r="A160" s="32"/>
      <c r="C160" s="18"/>
      <c r="D160" s="3"/>
    </row>
    <row r="161" spans="1:6" ht="13">
      <c r="A161" s="2"/>
      <c r="C161" s="14"/>
      <c r="D161" s="81"/>
      <c r="F161" s="7"/>
    </row>
    <row r="162" spans="1:6" ht="13">
      <c r="A162" s="2"/>
      <c r="C162" s="14"/>
      <c r="D162" s="81"/>
      <c r="F162" s="7"/>
    </row>
    <row r="163" spans="1:6" ht="13">
      <c r="A163" s="2"/>
      <c r="C163" s="14"/>
      <c r="D163" s="81"/>
      <c r="F163" s="7"/>
    </row>
    <row r="164" spans="1:6" ht="13">
      <c r="A164" s="2"/>
      <c r="C164" s="14"/>
      <c r="D164" s="81"/>
      <c r="F164" s="7"/>
    </row>
    <row r="165" spans="1:6" ht="13">
      <c r="A165" s="2"/>
      <c r="C165" s="14"/>
      <c r="D165" s="81"/>
      <c r="F165" s="7"/>
    </row>
    <row r="166" spans="1:6" ht="13">
      <c r="A166" s="2"/>
      <c r="C166" s="14"/>
      <c r="D166" s="81"/>
      <c r="F166" s="7"/>
    </row>
    <row r="167" spans="1:6" ht="13">
      <c r="A167" s="2"/>
      <c r="C167" s="14"/>
      <c r="D167" s="81"/>
      <c r="F167" s="7"/>
    </row>
    <row r="168" spans="1:6" ht="13">
      <c r="A168" s="2"/>
      <c r="C168" s="14"/>
      <c r="D168" s="81"/>
      <c r="F168" s="7"/>
    </row>
    <row r="169" spans="1:6" ht="13">
      <c r="A169" s="2"/>
      <c r="C169" s="14"/>
      <c r="D169" s="81"/>
      <c r="F169" s="7"/>
    </row>
    <row r="170" spans="1:6" ht="13">
      <c r="A170" s="2"/>
      <c r="C170" s="14"/>
      <c r="D170" s="81"/>
      <c r="F170" s="7"/>
    </row>
    <row r="171" spans="1:6" ht="13">
      <c r="A171" s="2"/>
      <c r="C171" s="14"/>
      <c r="D171" s="81"/>
      <c r="F171" s="7"/>
    </row>
    <row r="172" spans="1:6" ht="13">
      <c r="A172" s="2"/>
      <c r="C172" s="14"/>
      <c r="D172" s="82"/>
      <c r="F172" s="29"/>
    </row>
    <row r="173" spans="1:6" ht="13">
      <c r="A173" s="2"/>
      <c r="C173" s="22"/>
      <c r="D173" s="81"/>
    </row>
  </sheetData>
  <phoneticPr fontId="23" type="noConversion"/>
  <pageMargins left="0.75" right="0.75" top="1" bottom="1" header="0.5" footer="0.5"/>
  <pageSetup scale="80" orientation="landscape" cellComments="asDisplayed" r:id="rId1"/>
  <headerFooter alignWithMargins="0">
    <oddHeader>&amp;CSchedule 4
True Up TRR
&amp;RTO2023 Draft Annual Update 
Attachment 1</oddHeader>
    <oddFooter>&amp;R&amp;A</oddFooter>
  </headerFooter>
  <rowBreaks count="4" manualBreakCount="4">
    <brk id="45" max="16383" man="1"/>
    <brk id="74" max="16383" man="1"/>
    <brk id="120" max="9" man="1"/>
    <brk id="15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zoomScalePageLayoutView="80" workbookViewId="0">
      <selection activeCell="J32" sqref="J32"/>
    </sheetView>
  </sheetViews>
  <sheetFormatPr defaultColWidth="8.54296875" defaultRowHeight="12.5"/>
  <cols>
    <col min="1" max="1" width="4.54296875" customWidth="1"/>
    <col min="2" max="2" width="3.54296875" customWidth="1"/>
    <col min="4" max="4" width="13.54296875" customWidth="1"/>
    <col min="6" max="7" width="10.54296875" customWidth="1"/>
    <col min="9" max="9" width="27.54296875" customWidth="1"/>
    <col min="10" max="10" width="30.54296875" customWidth="1"/>
    <col min="11" max="11" width="2.54296875" customWidth="1"/>
    <col min="12" max="12" width="16.54296875" customWidth="1"/>
    <col min="13" max="13" width="1.54296875" customWidth="1"/>
    <col min="14" max="14" width="4.54296875" customWidth="1"/>
    <col min="15" max="28" width="14.54296875" customWidth="1"/>
  </cols>
  <sheetData>
    <row r="1" spans="1:28" ht="13">
      <c r="A1" s="1" t="s">
        <v>544</v>
      </c>
      <c r="J1" s="55" t="s">
        <v>96</v>
      </c>
    </row>
    <row r="2" spans="1:28" ht="13">
      <c r="B2" s="1"/>
      <c r="I2" s="2"/>
      <c r="J2" s="2" t="s">
        <v>98</v>
      </c>
      <c r="L2" s="132">
        <v>2021</v>
      </c>
    </row>
    <row r="3" spans="1:28" ht="13">
      <c r="I3" s="3" t="s">
        <v>100</v>
      </c>
      <c r="J3" s="3" t="s">
        <v>101</v>
      </c>
      <c r="L3" s="3" t="s">
        <v>102</v>
      </c>
    </row>
    <row r="5" spans="1:28" ht="13">
      <c r="A5" s="9" t="s">
        <v>145</v>
      </c>
      <c r="B5" s="64"/>
      <c r="C5" s="10"/>
      <c r="D5" s="10"/>
      <c r="E5" s="10"/>
      <c r="F5" s="10"/>
      <c r="G5" s="10"/>
      <c r="H5" s="10"/>
      <c r="I5" s="8"/>
      <c r="J5" s="8"/>
      <c r="K5" s="8"/>
      <c r="L5" s="8"/>
      <c r="N5" s="65"/>
      <c r="O5" s="66"/>
      <c r="P5" s="66"/>
      <c r="Q5" s="66"/>
      <c r="R5" s="66"/>
      <c r="S5" s="66"/>
      <c r="T5" s="66"/>
    </row>
    <row r="6" spans="1:28" ht="13">
      <c r="B6" s="1"/>
      <c r="C6" s="251"/>
      <c r="D6" s="251"/>
      <c r="E6" s="251"/>
      <c r="F6" s="251"/>
      <c r="G6" s="251"/>
      <c r="H6" s="251"/>
      <c r="I6" s="251"/>
      <c r="J6" s="251"/>
      <c r="K6" s="251"/>
      <c r="L6" s="251"/>
      <c r="O6" s="48"/>
      <c r="P6" s="48"/>
      <c r="Q6" s="48"/>
      <c r="R6" s="48"/>
      <c r="S6" s="48"/>
      <c r="T6" s="48"/>
      <c r="U6" s="48"/>
      <c r="V6" s="48"/>
      <c r="W6" s="48"/>
      <c r="X6" s="48"/>
      <c r="Y6" s="48"/>
      <c r="Z6" s="48"/>
      <c r="AA6" s="48"/>
      <c r="AB6" s="48"/>
    </row>
    <row r="7" spans="1:28" ht="13">
      <c r="A7" s="32" t="s">
        <v>99</v>
      </c>
      <c r="B7" s="1"/>
      <c r="C7" s="28" t="s">
        <v>545</v>
      </c>
      <c r="D7" s="251"/>
      <c r="E7" s="251"/>
      <c r="F7" s="251"/>
      <c r="G7" s="251"/>
      <c r="H7" s="251"/>
      <c r="I7" s="251"/>
      <c r="J7" s="251"/>
      <c r="K7" s="251"/>
      <c r="L7" s="251"/>
      <c r="N7" s="32"/>
      <c r="O7" s="25"/>
      <c r="P7" s="262"/>
      <c r="Q7" s="257"/>
      <c r="R7" s="257"/>
      <c r="S7" s="257"/>
      <c r="T7" s="257"/>
      <c r="U7" s="257"/>
      <c r="V7" s="257"/>
      <c r="W7" s="257"/>
      <c r="X7" s="257"/>
      <c r="Y7" s="257"/>
      <c r="Z7" s="257"/>
      <c r="AA7" s="257"/>
      <c r="AB7" s="257"/>
    </row>
    <row r="8" spans="1:28" ht="13">
      <c r="A8" s="2">
        <v>1</v>
      </c>
      <c r="B8" s="1"/>
      <c r="C8" s="251" t="s">
        <v>546</v>
      </c>
      <c r="D8" s="251"/>
      <c r="E8" s="251"/>
      <c r="F8" s="251"/>
      <c r="G8" s="251"/>
      <c r="H8" s="251"/>
      <c r="I8" s="251" t="s">
        <v>547</v>
      </c>
      <c r="J8" s="250" t="str">
        <f>"5-ROR-2, Line "&amp;'5-ROR-2'!A8&amp;""</f>
        <v>5-ROR-2, Line 1</v>
      </c>
      <c r="K8" s="251"/>
      <c r="L8" s="253">
        <f>'5-ROR-2'!C8</f>
        <v>19854097802.142311</v>
      </c>
      <c r="N8" s="2"/>
      <c r="O8" s="253"/>
      <c r="P8" s="253"/>
      <c r="Q8" s="253"/>
      <c r="R8" s="253"/>
      <c r="S8" s="253"/>
      <c r="T8" s="253"/>
      <c r="U8" s="253"/>
      <c r="V8" s="253"/>
      <c r="W8" s="253"/>
      <c r="X8" s="253"/>
      <c r="Y8" s="253"/>
      <c r="Z8" s="253"/>
      <c r="AA8" s="253"/>
      <c r="AB8" s="253"/>
    </row>
    <row r="9" spans="1:28" ht="13">
      <c r="A9" s="2">
        <f>A8+1</f>
        <v>2</v>
      </c>
      <c r="B9" s="1"/>
      <c r="C9" s="251" t="s">
        <v>548</v>
      </c>
      <c r="D9" s="251"/>
      <c r="E9" s="251"/>
      <c r="F9" s="251"/>
      <c r="G9" s="251"/>
      <c r="H9" s="251"/>
      <c r="I9" s="251" t="s">
        <v>547</v>
      </c>
      <c r="J9" s="250" t="str">
        <f>"5-ROR-2, Line "&amp;'5-ROR-2'!A10&amp;""</f>
        <v>5-ROR-2, Line 2</v>
      </c>
      <c r="K9" s="251"/>
      <c r="L9" s="253">
        <f>'5-ROR-2'!C10</f>
        <v>-521992307.69230771</v>
      </c>
      <c r="N9" s="2"/>
      <c r="O9" s="253"/>
      <c r="P9" s="253"/>
      <c r="Q9" s="253"/>
      <c r="R9" s="253"/>
      <c r="S9" s="253"/>
      <c r="T9" s="253"/>
      <c r="U9" s="253"/>
      <c r="V9" s="253"/>
      <c r="W9" s="253"/>
      <c r="X9" s="253"/>
      <c r="Y9" s="253"/>
      <c r="Z9" s="253"/>
      <c r="AA9" s="253"/>
      <c r="AB9" s="253"/>
    </row>
    <row r="10" spans="1:28" ht="13">
      <c r="A10" s="2" t="s">
        <v>549</v>
      </c>
      <c r="B10" s="1"/>
      <c r="C10" s="251" t="s">
        <v>550</v>
      </c>
      <c r="D10" s="622"/>
      <c r="E10" s="622"/>
      <c r="F10" s="622"/>
      <c r="G10" s="622"/>
      <c r="H10" s="622"/>
      <c r="I10" s="251" t="s">
        <v>547</v>
      </c>
      <c r="J10" s="250" t="str">
        <f>"5-ROR-2, Line "&amp;'5-ROR-2'!A12&amp;""</f>
        <v>5-ROR-2, Line 2a</v>
      </c>
      <c r="K10" s="251"/>
      <c r="L10" s="253">
        <f>'5-ROR-2'!C12</f>
        <v>0</v>
      </c>
      <c r="N10" s="2"/>
      <c r="O10" s="253"/>
      <c r="P10" s="253"/>
      <c r="Q10" s="253"/>
      <c r="R10" s="253"/>
      <c r="S10" s="253"/>
      <c r="T10" s="253"/>
      <c r="U10" s="253"/>
      <c r="V10" s="253"/>
      <c r="W10" s="253"/>
      <c r="X10" s="253"/>
      <c r="Y10" s="253"/>
      <c r="Z10" s="253"/>
      <c r="AA10" s="253"/>
      <c r="AB10" s="253"/>
    </row>
    <row r="11" spans="1:28" ht="13">
      <c r="A11" s="2">
        <f>A9+1</f>
        <v>3</v>
      </c>
      <c r="B11" s="1"/>
      <c r="C11" s="251" t="s">
        <v>551</v>
      </c>
      <c r="D11" s="251"/>
      <c r="E11" s="251"/>
      <c r="F11" s="251"/>
      <c r="G11" s="251"/>
      <c r="H11" s="251"/>
      <c r="I11" s="251" t="s">
        <v>547</v>
      </c>
      <c r="J11" s="250" t="str">
        <f>"5-ROR-2, Line "&amp;'5-ROR-2'!A14&amp;""</f>
        <v>5-ROR-2, Line 3</v>
      </c>
      <c r="K11" s="251"/>
      <c r="L11" s="253">
        <f>'5-ROR-2'!C14</f>
        <v>306306708.80615389</v>
      </c>
      <c r="N11" s="2"/>
      <c r="O11" s="253"/>
      <c r="P11" s="253"/>
      <c r="Q11" s="253"/>
      <c r="R11" s="253"/>
      <c r="S11" s="253"/>
      <c r="T11" s="253"/>
      <c r="U11" s="253"/>
      <c r="V11" s="253"/>
      <c r="W11" s="253"/>
      <c r="X11" s="253"/>
      <c r="Y11" s="253"/>
      <c r="Z11" s="253"/>
      <c r="AA11" s="253"/>
      <c r="AB11" s="253"/>
    </row>
    <row r="12" spans="1:28" ht="13">
      <c r="A12" s="2">
        <v>4</v>
      </c>
      <c r="B12" s="1"/>
      <c r="C12" s="250" t="s">
        <v>147</v>
      </c>
      <c r="D12" s="251"/>
      <c r="E12" s="251"/>
      <c r="F12" s="251"/>
      <c r="G12" s="251"/>
      <c r="H12" s="251"/>
      <c r="J12" s="250" t="str">
        <f>"L"&amp;A8&amp;" + L"&amp;A9&amp;" + L"&amp;A10&amp;" + L"&amp;A11&amp;""</f>
        <v>L1 + L2 + L2a + L3</v>
      </c>
      <c r="K12" s="251"/>
      <c r="L12" s="961">
        <f>SUM(L8:L11)</f>
        <v>19638412203.256157</v>
      </c>
    </row>
    <row r="13" spans="1:28" ht="13">
      <c r="B13" s="1"/>
      <c r="C13" s="251"/>
      <c r="D13" s="251"/>
      <c r="E13" s="251"/>
      <c r="F13" s="251"/>
      <c r="G13" s="251" t="s">
        <v>129</v>
      </c>
      <c r="H13" s="251"/>
      <c r="I13" s="251"/>
      <c r="J13" s="250"/>
      <c r="K13" s="251"/>
      <c r="L13" s="251"/>
    </row>
    <row r="14" spans="1:28" ht="13">
      <c r="A14" s="2"/>
      <c r="B14" s="1"/>
      <c r="C14" s="28" t="s">
        <v>552</v>
      </c>
      <c r="D14" s="251"/>
      <c r="E14" s="251"/>
      <c r="F14" s="251"/>
      <c r="G14" s="251"/>
      <c r="H14" s="251"/>
      <c r="I14" s="251"/>
      <c r="J14" s="250"/>
      <c r="K14" s="251"/>
      <c r="L14" s="251"/>
    </row>
    <row r="15" spans="1:28" ht="13">
      <c r="A15" s="2">
        <f>A12+1</f>
        <v>5</v>
      </c>
      <c r="B15" s="1"/>
      <c r="C15" s="251" t="s">
        <v>553</v>
      </c>
      <c r="D15" s="251"/>
      <c r="E15" s="251"/>
      <c r="F15" s="251"/>
      <c r="G15" s="251"/>
      <c r="H15" s="251"/>
      <c r="I15" s="251"/>
      <c r="J15" s="250" t="s">
        <v>554</v>
      </c>
      <c r="K15" s="251"/>
      <c r="L15" s="559">
        <v>756804713</v>
      </c>
    </row>
    <row r="16" spans="1:28" ht="13">
      <c r="A16" s="2">
        <f>A15+1</f>
        <v>6</v>
      </c>
      <c r="B16" s="1"/>
      <c r="C16" s="251" t="s">
        <v>555</v>
      </c>
      <c r="D16" s="251"/>
      <c r="E16" s="251"/>
      <c r="F16" s="251"/>
      <c r="G16" s="251"/>
      <c r="H16" s="251"/>
      <c r="I16" s="251"/>
      <c r="J16" s="250" t="s">
        <v>556</v>
      </c>
      <c r="K16" s="251"/>
      <c r="L16" s="559">
        <v>23526218</v>
      </c>
    </row>
    <row r="17" spans="1:28" ht="13">
      <c r="A17" s="2">
        <f t="shared" ref="A17:A19" si="0">A16+1</f>
        <v>7</v>
      </c>
      <c r="B17" s="1"/>
      <c r="C17" s="251" t="s">
        <v>557</v>
      </c>
      <c r="D17" s="251"/>
      <c r="E17" s="251"/>
      <c r="F17" s="251"/>
      <c r="G17" s="251"/>
      <c r="H17" s="251"/>
      <c r="I17" s="251"/>
      <c r="J17" s="250" t="s">
        <v>558</v>
      </c>
      <c r="K17" s="251"/>
      <c r="L17" s="559">
        <v>12221222</v>
      </c>
    </row>
    <row r="18" spans="1:28" ht="13">
      <c r="A18" s="2">
        <f t="shared" si="0"/>
        <v>8</v>
      </c>
      <c r="B18" s="1"/>
      <c r="C18" s="251" t="s">
        <v>559</v>
      </c>
      <c r="D18" s="251"/>
      <c r="E18" s="251"/>
      <c r="F18" s="251"/>
      <c r="G18" s="251"/>
      <c r="H18" s="251"/>
      <c r="I18" s="251" t="s">
        <v>560</v>
      </c>
      <c r="J18" s="250" t="s">
        <v>561</v>
      </c>
      <c r="K18" s="251"/>
      <c r="L18" s="559">
        <v>-6860879</v>
      </c>
    </row>
    <row r="19" spans="1:28" ht="13">
      <c r="A19" s="2">
        <f t="shared" si="0"/>
        <v>9</v>
      </c>
      <c r="B19" s="1"/>
      <c r="C19" s="251" t="s">
        <v>562</v>
      </c>
      <c r="D19" s="251"/>
      <c r="E19" s="251"/>
      <c r="F19" s="251"/>
      <c r="G19" s="251"/>
      <c r="H19" s="251"/>
      <c r="I19" s="251" t="s">
        <v>560</v>
      </c>
      <c r="J19" s="250" t="s">
        <v>563</v>
      </c>
      <c r="K19" s="251"/>
      <c r="L19" s="559">
        <v>0</v>
      </c>
    </row>
    <row r="20" spans="1:28" ht="13">
      <c r="A20" s="2">
        <v>10</v>
      </c>
      <c r="B20" s="1"/>
      <c r="C20" s="251" t="s">
        <v>564</v>
      </c>
      <c r="D20" s="251"/>
      <c r="E20" s="251"/>
      <c r="F20" s="251"/>
      <c r="G20" s="251"/>
      <c r="H20" s="251"/>
      <c r="I20" s="251"/>
      <c r="J20" s="250" t="s">
        <v>565</v>
      </c>
      <c r="K20" s="251"/>
      <c r="L20" s="559">
        <v>0</v>
      </c>
    </row>
    <row r="21" spans="1:28" ht="13">
      <c r="A21" s="2">
        <v>11</v>
      </c>
      <c r="B21" s="1"/>
      <c r="C21" s="250" t="s">
        <v>148</v>
      </c>
      <c r="D21" s="251"/>
      <c r="E21" s="251"/>
      <c r="F21" s="251"/>
      <c r="G21" s="251"/>
      <c r="H21" s="251"/>
      <c r="J21" s="250" t="str">
        <f>"Sum of Lines "&amp;A15&amp;" to "&amp;A20&amp;""</f>
        <v>Sum of Lines 5 to 10</v>
      </c>
      <c r="K21" s="251"/>
      <c r="L21" s="961">
        <f>SUM(L15:L20)</f>
        <v>785691274</v>
      </c>
    </row>
    <row r="22" spans="1:28" ht="13">
      <c r="B22" s="1"/>
      <c r="C22" s="251"/>
      <c r="D22" s="251"/>
      <c r="E22" s="251"/>
      <c r="F22" s="251"/>
      <c r="G22" s="251"/>
      <c r="H22" s="251"/>
      <c r="I22" s="251"/>
      <c r="J22" s="250"/>
      <c r="K22" s="251"/>
      <c r="L22" s="251"/>
    </row>
    <row r="23" spans="1:28" ht="13">
      <c r="A23" s="2">
        <f>A21+1</f>
        <v>12</v>
      </c>
      <c r="B23" s="1"/>
      <c r="C23" s="251" t="s">
        <v>566</v>
      </c>
      <c r="D23" s="251"/>
      <c r="E23" s="251"/>
      <c r="F23" s="251"/>
      <c r="G23" s="251"/>
      <c r="H23" s="251"/>
      <c r="J23" s="250" t="str">
        <f>"Line "&amp;A21&amp;" / Line "&amp;A12&amp;""</f>
        <v>Line 11 / Line 4</v>
      </c>
      <c r="K23" s="251"/>
      <c r="L23" s="215">
        <f>L21/L12</f>
        <v>4.0007881791468254E-2</v>
      </c>
    </row>
    <row r="24" spans="1:28" ht="13">
      <c r="A24" s="2"/>
      <c r="B24" s="1"/>
      <c r="C24" s="251"/>
      <c r="D24" s="251"/>
      <c r="E24" s="251"/>
      <c r="F24" s="251"/>
      <c r="G24" s="251"/>
      <c r="H24" s="251"/>
      <c r="J24" s="250"/>
      <c r="K24" s="251"/>
      <c r="L24" s="215"/>
    </row>
    <row r="25" spans="1:28" ht="13">
      <c r="B25" s="1"/>
      <c r="C25" s="28" t="s">
        <v>567</v>
      </c>
      <c r="D25" s="251"/>
      <c r="E25" s="251"/>
      <c r="F25" s="251"/>
      <c r="G25" s="251"/>
      <c r="H25" s="251"/>
      <c r="I25" s="251"/>
      <c r="J25" s="250"/>
      <c r="K25" s="251"/>
      <c r="L25" s="251"/>
    </row>
    <row r="26" spans="1:28" ht="13">
      <c r="A26" s="2">
        <f>A23+1</f>
        <v>13</v>
      </c>
      <c r="B26" s="1"/>
      <c r="C26" s="251" t="s">
        <v>568</v>
      </c>
      <c r="D26" s="251"/>
      <c r="E26" s="251"/>
      <c r="F26" s="251"/>
      <c r="G26" s="251"/>
      <c r="H26" s="251"/>
      <c r="I26" s="251" t="s">
        <v>547</v>
      </c>
      <c r="J26" s="250" t="str">
        <f>"5-ROR-2, Line "&amp;'5-ROR-2'!A16&amp;""</f>
        <v>5-ROR-2, Line 4</v>
      </c>
      <c r="K26" s="251"/>
      <c r="L26" s="253">
        <f>'5-ROR-2'!C16</f>
        <v>1945050000</v>
      </c>
      <c r="N26" s="2"/>
      <c r="O26" s="253"/>
      <c r="P26" s="253"/>
      <c r="Q26" s="253"/>
      <c r="R26" s="253"/>
      <c r="S26" s="253"/>
      <c r="T26" s="253"/>
      <c r="U26" s="253"/>
      <c r="V26" s="253"/>
      <c r="W26" s="253"/>
      <c r="X26" s="253"/>
      <c r="Y26" s="253"/>
      <c r="Z26" s="253"/>
      <c r="AA26" s="253"/>
      <c r="AB26" s="253"/>
    </row>
    <row r="27" spans="1:28" ht="13">
      <c r="A27" s="2">
        <f t="shared" ref="A27:A28" si="1">A26+1</f>
        <v>14</v>
      </c>
      <c r="B27" s="1"/>
      <c r="C27" s="251" t="s">
        <v>569</v>
      </c>
      <c r="D27" s="251"/>
      <c r="E27" s="251"/>
      <c r="F27" s="251"/>
      <c r="G27" s="251"/>
      <c r="H27" s="251"/>
      <c r="I27" s="251" t="s">
        <v>547</v>
      </c>
      <c r="J27" s="250" t="str">
        <f>"5-ROR-2, Line "&amp;'5-ROR-2'!A18&amp;""</f>
        <v>5-ROR-2, Line 5</v>
      </c>
      <c r="K27" s="251"/>
      <c r="L27" s="253">
        <f>'5-ROR-2'!C18</f>
        <v>-22804617.899999969</v>
      </c>
      <c r="N27" s="2"/>
      <c r="O27" s="253"/>
      <c r="P27" s="253"/>
      <c r="Q27" s="253"/>
      <c r="R27" s="253"/>
      <c r="S27" s="253"/>
      <c r="T27" s="253"/>
      <c r="U27" s="253"/>
      <c r="V27" s="253"/>
      <c r="W27" s="253"/>
      <c r="X27" s="253"/>
      <c r="Y27" s="253"/>
      <c r="Z27" s="253"/>
      <c r="AA27" s="253"/>
      <c r="AB27" s="253"/>
    </row>
    <row r="28" spans="1:28" ht="13">
      <c r="A28" s="2">
        <f t="shared" si="1"/>
        <v>15</v>
      </c>
      <c r="B28" s="1"/>
      <c r="C28" s="251" t="s">
        <v>570</v>
      </c>
      <c r="D28" s="251"/>
      <c r="E28" s="251"/>
      <c r="F28" s="251"/>
      <c r="G28" s="251"/>
      <c r="H28" s="251"/>
      <c r="I28" s="251" t="s">
        <v>547</v>
      </c>
      <c r="J28" s="250" t="str">
        <f>"5-ROR-2, Line "&amp;'5-ROR-2'!A20&amp;""</f>
        <v>5-ROR-2, Line 6</v>
      </c>
      <c r="K28" s="251"/>
      <c r="L28" s="705">
        <f>'5-ROR-2'!C20</f>
        <v>-28107301.832562488</v>
      </c>
      <c r="N28" s="2"/>
      <c r="O28" s="253"/>
      <c r="P28" s="253"/>
      <c r="Q28" s="253"/>
      <c r="R28" s="253"/>
      <c r="S28" s="253"/>
      <c r="T28" s="253"/>
      <c r="U28" s="253"/>
      <c r="V28" s="253"/>
      <c r="W28" s="253"/>
      <c r="X28" s="253"/>
      <c r="Y28" s="253"/>
      <c r="Z28" s="253"/>
      <c r="AA28" s="253"/>
      <c r="AB28" s="253"/>
    </row>
    <row r="29" spans="1:28" ht="13">
      <c r="A29" s="2">
        <f>A28+1</f>
        <v>16</v>
      </c>
      <c r="B29" s="1"/>
      <c r="C29" s="250" t="s">
        <v>151</v>
      </c>
      <c r="D29" s="251"/>
      <c r="E29" s="251"/>
      <c r="F29" s="251"/>
      <c r="G29" s="251"/>
      <c r="H29" s="251"/>
      <c r="I29" s="251"/>
      <c r="J29" s="250" t="str">
        <f>"Sum of Lines "&amp;A26&amp;" to "&amp;A28&amp;""</f>
        <v>Sum of Lines 13 to 15</v>
      </c>
      <c r="K29" s="251"/>
      <c r="L29" s="253">
        <f>SUM(L26:L28)</f>
        <v>1894138080.2674377</v>
      </c>
    </row>
    <row r="30" spans="1:28" ht="13">
      <c r="A30" s="2"/>
      <c r="B30" s="1"/>
      <c r="C30" s="251"/>
      <c r="D30" s="251"/>
      <c r="E30" s="251"/>
      <c r="F30" s="251"/>
      <c r="G30" s="251"/>
      <c r="H30" s="251"/>
      <c r="I30" s="251"/>
      <c r="J30" s="250"/>
      <c r="K30" s="251"/>
      <c r="L30" s="253"/>
    </row>
    <row r="31" spans="1:28" ht="13">
      <c r="A31" s="2"/>
      <c r="B31" s="1"/>
      <c r="C31" s="28" t="s">
        <v>571</v>
      </c>
      <c r="D31" s="251"/>
      <c r="E31" s="251"/>
      <c r="F31" s="251"/>
      <c r="G31" s="251"/>
      <c r="H31" s="251"/>
      <c r="I31" s="251"/>
      <c r="J31" s="250"/>
      <c r="K31" s="251"/>
      <c r="L31" s="253"/>
    </row>
    <row r="32" spans="1:28" ht="13">
      <c r="A32" s="2">
        <f>A29+1</f>
        <v>17</v>
      </c>
      <c r="B32" s="1"/>
      <c r="C32" s="251" t="s">
        <v>572</v>
      </c>
      <c r="D32" s="251"/>
      <c r="E32" s="251"/>
      <c r="F32" s="251"/>
      <c r="G32" s="251"/>
      <c r="H32" s="251"/>
      <c r="I32" s="251" t="s">
        <v>573</v>
      </c>
      <c r="J32" s="250" t="s">
        <v>574</v>
      </c>
      <c r="K32" s="251"/>
      <c r="L32" s="559">
        <v>106476109</v>
      </c>
    </row>
    <row r="33" spans="1:28" ht="13">
      <c r="A33" s="2">
        <f>A32+1</f>
        <v>18</v>
      </c>
      <c r="B33" s="1"/>
      <c r="C33" s="251" t="s">
        <v>575</v>
      </c>
      <c r="D33" s="251"/>
      <c r="E33" s="251"/>
      <c r="F33" s="251"/>
      <c r="G33" s="251"/>
      <c r="H33" s="251"/>
      <c r="I33" s="251"/>
      <c r="J33" s="250" t="s">
        <v>576</v>
      </c>
      <c r="K33" s="251"/>
      <c r="L33" s="253">
        <f>'5-ROR-2'!H65</f>
        <v>1819324.5717344894</v>
      </c>
    </row>
    <row r="34" spans="1:28" ht="13">
      <c r="A34" s="2">
        <f>A33+1</f>
        <v>19</v>
      </c>
      <c r="B34" s="1"/>
      <c r="C34" s="251" t="s">
        <v>577</v>
      </c>
      <c r="D34" s="251"/>
      <c r="E34" s="251"/>
      <c r="F34" s="251"/>
      <c r="G34" s="251"/>
      <c r="H34" s="251"/>
      <c r="I34" s="251"/>
      <c r="J34" s="250" t="s">
        <v>346</v>
      </c>
      <c r="K34" s="251"/>
      <c r="L34" s="253">
        <f>'5-ROR-2'!I50</f>
        <v>3225420.9666666673</v>
      </c>
    </row>
    <row r="35" spans="1:28" ht="13">
      <c r="A35" s="2">
        <f t="shared" ref="A35" si="2">A34+1</f>
        <v>20</v>
      </c>
      <c r="B35" s="1"/>
      <c r="C35" s="250" t="s">
        <v>572</v>
      </c>
      <c r="D35" s="251"/>
      <c r="E35" s="251"/>
      <c r="F35" s="251"/>
      <c r="G35" s="251"/>
      <c r="H35" s="251"/>
      <c r="J35" s="250" t="str">
        <f>"Sum of Lines "&amp;A32&amp;" to "&amp;A34&amp;""</f>
        <v>Sum of Lines 17 to 19</v>
      </c>
      <c r="K35" s="251"/>
      <c r="L35" s="961">
        <f>SUM(L32:L34)</f>
        <v>111520854.53840116</v>
      </c>
    </row>
    <row r="36" spans="1:28" ht="13">
      <c r="B36" s="1"/>
      <c r="C36" s="251"/>
      <c r="D36" s="251"/>
      <c r="E36" s="251"/>
      <c r="F36" s="251"/>
      <c r="G36" s="251"/>
      <c r="H36" s="251"/>
      <c r="I36" s="251"/>
      <c r="J36" s="250"/>
      <c r="K36" s="251"/>
      <c r="L36" s="253"/>
    </row>
    <row r="37" spans="1:28" ht="13">
      <c r="A37" s="2">
        <f>A35+1</f>
        <v>21</v>
      </c>
      <c r="B37" s="1"/>
      <c r="C37" s="251" t="s">
        <v>153</v>
      </c>
      <c r="D37" s="251"/>
      <c r="E37" s="251"/>
      <c r="F37" s="251"/>
      <c r="G37" s="251"/>
      <c r="H37" s="251"/>
      <c r="J37" s="250" t="str">
        <f>"Line "&amp;A35&amp;" / Line "&amp;A29&amp;""</f>
        <v>Line 20 / Line 16</v>
      </c>
      <c r="K37" s="251"/>
      <c r="L37" s="215">
        <f>L35/L29</f>
        <v>5.8876834640616736E-2</v>
      </c>
    </row>
    <row r="38" spans="1:28" ht="13">
      <c r="B38" s="1"/>
      <c r="C38" s="251"/>
      <c r="D38" s="251"/>
      <c r="E38" s="251"/>
      <c r="F38" s="251"/>
      <c r="G38" s="251"/>
      <c r="H38" s="251"/>
      <c r="I38" s="251"/>
      <c r="J38" s="250"/>
      <c r="K38" s="251"/>
      <c r="L38" s="251"/>
    </row>
    <row r="39" spans="1:28" ht="13">
      <c r="B39" s="1"/>
      <c r="C39" s="28" t="s">
        <v>578</v>
      </c>
      <c r="D39" s="251"/>
      <c r="E39" s="251"/>
      <c r="F39" s="251"/>
      <c r="G39" s="251"/>
      <c r="H39" s="251"/>
      <c r="I39" s="637"/>
      <c r="J39" s="250"/>
      <c r="K39" s="251"/>
      <c r="L39" s="251"/>
    </row>
    <row r="40" spans="1:28" ht="13">
      <c r="A40" s="2">
        <f>A37+1</f>
        <v>22</v>
      </c>
      <c r="B40" s="1"/>
      <c r="C40" s="251" t="s">
        <v>579</v>
      </c>
      <c r="D40" s="251"/>
      <c r="E40" s="251"/>
      <c r="F40" s="251"/>
      <c r="G40" s="251"/>
      <c r="H40" s="251"/>
      <c r="I40" s="251" t="s">
        <v>547</v>
      </c>
      <c r="J40" s="250" t="str">
        <f>"5-ROR-2, Line "&amp;'5-ROR-2'!A22&amp;""</f>
        <v>5-ROR-2, Line 7</v>
      </c>
      <c r="K40" s="251"/>
      <c r="L40" s="253">
        <f>'5-ROR-2'!C22</f>
        <v>19536165665.489231</v>
      </c>
      <c r="N40" s="2"/>
      <c r="O40" s="253"/>
      <c r="P40" s="253"/>
      <c r="Q40" s="253"/>
      <c r="R40" s="253"/>
      <c r="S40" s="253"/>
      <c r="T40" s="253"/>
      <c r="U40" s="253"/>
      <c r="V40" s="253"/>
      <c r="W40" s="253"/>
      <c r="X40" s="253"/>
      <c r="Y40" s="253"/>
      <c r="Z40" s="253"/>
      <c r="AA40" s="253"/>
      <c r="AB40" s="253"/>
    </row>
    <row r="41" spans="1:28" ht="13">
      <c r="A41" s="2">
        <f>A40+1</f>
        <v>23</v>
      </c>
      <c r="B41" s="1"/>
      <c r="C41" s="251" t="s">
        <v>580</v>
      </c>
      <c r="D41" s="251"/>
      <c r="E41" s="251"/>
      <c r="F41" s="251"/>
      <c r="G41" s="251"/>
      <c r="H41" s="251"/>
      <c r="I41" s="251" t="str">
        <f>"Same as L "&amp;A26&amp;", but negative"</f>
        <v>Same as L 13, but negative</v>
      </c>
      <c r="J41" s="250" t="str">
        <f>"5-ROR-2, Line "&amp;'5-ROR-2'!A16&amp;""</f>
        <v>5-ROR-2, Line 4</v>
      </c>
      <c r="K41" s="251"/>
      <c r="L41" s="253">
        <f>-'5-ROR-2'!C16</f>
        <v>-1945050000</v>
      </c>
      <c r="N41" s="2"/>
      <c r="O41" s="253"/>
      <c r="P41" s="253"/>
      <c r="Q41" s="253"/>
      <c r="R41" s="253"/>
      <c r="S41" s="253"/>
      <c r="T41" s="253"/>
      <c r="U41" s="253"/>
      <c r="V41" s="253"/>
      <c r="W41" s="253"/>
      <c r="X41" s="253"/>
      <c r="Y41" s="253"/>
      <c r="Z41" s="253"/>
      <c r="AA41" s="253"/>
      <c r="AB41" s="253"/>
    </row>
    <row r="42" spans="1:28" ht="13">
      <c r="A42" s="2">
        <f t="shared" ref="A42:A44" si="3">A41+1</f>
        <v>24</v>
      </c>
      <c r="B42" s="1"/>
      <c r="C42" s="251" t="s">
        <v>581</v>
      </c>
      <c r="D42" s="251"/>
      <c r="E42" s="251"/>
      <c r="F42" s="251"/>
      <c r="G42" s="251"/>
      <c r="H42" s="251"/>
      <c r="I42" s="251" t="str">
        <f>"Same as L "&amp;A28&amp;", but reverse sign"</f>
        <v>Same as L 15, but reverse sign</v>
      </c>
      <c r="J42" s="250" t="s">
        <v>347</v>
      </c>
      <c r="K42" s="251"/>
      <c r="L42" s="253">
        <f>-L28</f>
        <v>28107301.832562488</v>
      </c>
      <c r="N42" s="2"/>
      <c r="O42" s="253"/>
      <c r="P42" s="253"/>
      <c r="Q42" s="253"/>
      <c r="R42" s="253"/>
      <c r="S42" s="253"/>
      <c r="T42" s="253"/>
      <c r="U42" s="253"/>
      <c r="V42" s="253"/>
      <c r="W42" s="253"/>
      <c r="X42" s="253"/>
      <c r="Y42" s="253"/>
      <c r="Z42" s="253"/>
      <c r="AA42" s="253"/>
      <c r="AB42" s="253"/>
    </row>
    <row r="43" spans="1:28" ht="13">
      <c r="A43" s="2">
        <f t="shared" si="3"/>
        <v>25</v>
      </c>
      <c r="B43" s="1"/>
      <c r="C43" s="251" t="s">
        <v>582</v>
      </c>
      <c r="D43" s="251"/>
      <c r="E43" s="251"/>
      <c r="F43" s="251"/>
      <c r="G43" s="251"/>
      <c r="H43" s="251"/>
      <c r="I43" s="251" t="s">
        <v>547</v>
      </c>
      <c r="J43" s="250" t="str">
        <f>"5-ROR-2, Line "&amp;'5-ROR-2'!A24&amp;""</f>
        <v>5-ROR-2, Line 8</v>
      </c>
      <c r="K43" s="251"/>
      <c r="L43" s="253">
        <f>'5-ROR-2'!C24</f>
        <v>2608140.0307692299</v>
      </c>
      <c r="N43" s="2"/>
      <c r="O43" s="253"/>
      <c r="P43" s="253"/>
      <c r="Q43" s="253"/>
      <c r="R43" s="253"/>
      <c r="S43" s="253"/>
      <c r="T43" s="253"/>
      <c r="U43" s="253"/>
      <c r="V43" s="253"/>
      <c r="W43" s="253"/>
      <c r="X43" s="253"/>
      <c r="Y43" s="253"/>
      <c r="Z43" s="253"/>
      <c r="AA43" s="253"/>
      <c r="AB43" s="253"/>
    </row>
    <row r="44" spans="1:28" ht="13">
      <c r="A44" s="2">
        <f t="shared" si="3"/>
        <v>26</v>
      </c>
      <c r="B44" s="1"/>
      <c r="C44" s="251" t="s">
        <v>583</v>
      </c>
      <c r="D44" s="251"/>
      <c r="E44" s="251"/>
      <c r="F44" s="251"/>
      <c r="G44" s="251"/>
      <c r="H44" s="251"/>
      <c r="I44" s="251" t="s">
        <v>547</v>
      </c>
      <c r="J44" s="250" t="str">
        <f>"5-ROR-2, Line "&amp;'5-ROR-2'!A26&amp;""</f>
        <v>5-ROR-2, Line 9</v>
      </c>
      <c r="K44" s="251"/>
      <c r="L44" s="253">
        <f>'5-ROR-2'!C26</f>
        <v>37511126.68923077</v>
      </c>
      <c r="N44" s="2"/>
      <c r="O44" s="253"/>
      <c r="P44" s="253"/>
      <c r="Q44" s="253"/>
      <c r="R44" s="253"/>
      <c r="S44" s="253"/>
      <c r="T44" s="253"/>
      <c r="U44" s="253"/>
      <c r="V44" s="253"/>
      <c r="W44" s="253"/>
      <c r="X44" s="253"/>
      <c r="Y44" s="253"/>
      <c r="Z44" s="253"/>
      <c r="AA44" s="253"/>
      <c r="AB44" s="253"/>
    </row>
    <row r="45" spans="1:28" ht="13">
      <c r="A45" s="2">
        <f>A44+1</f>
        <v>27</v>
      </c>
      <c r="B45" s="1"/>
      <c r="C45" s="251" t="s">
        <v>155</v>
      </c>
      <c r="D45" s="251"/>
      <c r="E45" s="251"/>
      <c r="F45" s="251"/>
      <c r="G45" s="251"/>
      <c r="H45" s="251"/>
      <c r="I45" s="251"/>
      <c r="J45" s="250" t="str">
        <f>"Sum of Lines "&amp;A40&amp;" to "&amp;A44&amp;""</f>
        <v>Sum of Lines 22 to 26</v>
      </c>
      <c r="K45" s="251"/>
      <c r="L45" s="961">
        <f>SUM(L40:L44)</f>
        <v>17659342234.041794</v>
      </c>
    </row>
    <row r="46" spans="1:28" ht="13">
      <c r="A46" s="2"/>
      <c r="B46" s="1"/>
      <c r="C46" s="251"/>
      <c r="D46" s="251"/>
      <c r="E46" s="251"/>
      <c r="F46" s="251"/>
      <c r="G46" s="251"/>
      <c r="H46" s="251"/>
      <c r="I46" s="251"/>
      <c r="J46" s="250"/>
      <c r="K46" s="251"/>
      <c r="L46" s="253"/>
    </row>
    <row r="47" spans="1:28" ht="13">
      <c r="B47" s="30" t="s">
        <v>228</v>
      </c>
      <c r="C47" s="251"/>
      <c r="D47" s="251"/>
      <c r="E47" s="251"/>
      <c r="F47" s="251"/>
      <c r="G47" s="251"/>
      <c r="H47" s="251"/>
      <c r="I47" s="251"/>
      <c r="J47" s="251"/>
      <c r="K47" s="251"/>
      <c r="L47" s="251"/>
    </row>
    <row r="48" spans="1:28">
      <c r="B48" s="251" t="s">
        <v>584</v>
      </c>
      <c r="J48" s="251"/>
    </row>
    <row r="49" spans="2:2">
      <c r="B49" s="251" t="s">
        <v>585</v>
      </c>
    </row>
    <row r="50" spans="2:2">
      <c r="B50" s="261" t="str">
        <f>"3) Negative of Line "&amp;A28&amp;""&amp;", charge to common equity reversed for ratemaking."</f>
        <v>3) Negative of Line 15, charge to common equity reversed for ratemaking.</v>
      </c>
    </row>
    <row r="51" spans="2:2">
      <c r="B51" s="251"/>
    </row>
    <row r="52" spans="2:2">
      <c r="B52" s="250"/>
    </row>
    <row r="53" spans="2:2">
      <c r="B53" s="251"/>
    </row>
    <row r="54" spans="2:2">
      <c r="B54" s="250"/>
    </row>
  </sheetData>
  <pageMargins left="0.7" right="0.7" top="0.75" bottom="0.75" header="0.3" footer="0.3"/>
  <pageSetup scale="55" orientation="landscape" r:id="rId1"/>
  <headerFooter>
    <oddHeader>&amp;CSchedule 5 ROR-1
Return and Capitalization&amp;RTO2023 Draft Annual Update 
Attachment 1</oddHead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9"/>
  <sheetViews>
    <sheetView zoomScaleNormal="100" zoomScalePageLayoutView="80" workbookViewId="0"/>
  </sheetViews>
  <sheetFormatPr defaultColWidth="8.54296875" defaultRowHeight="12.5"/>
  <cols>
    <col min="1" max="1" width="4.54296875" customWidth="1"/>
    <col min="2" max="2" width="6.453125" customWidth="1"/>
    <col min="3" max="3" width="15.54296875" customWidth="1"/>
    <col min="4" max="4" width="16.453125" customWidth="1"/>
    <col min="5" max="15" width="14.54296875" customWidth="1"/>
    <col min="16" max="16" width="15.453125" bestFit="1" customWidth="1"/>
  </cols>
  <sheetData>
    <row r="1" spans="1:17" ht="13">
      <c r="A1" s="1" t="s">
        <v>586</v>
      </c>
      <c r="B1" s="1"/>
    </row>
    <row r="2" spans="1:17" ht="13">
      <c r="A2" s="2" t="s">
        <v>587</v>
      </c>
      <c r="B2" s="560">
        <v>2021</v>
      </c>
      <c r="D2" s="39" t="s">
        <v>195</v>
      </c>
      <c r="E2" s="258" t="s">
        <v>588</v>
      </c>
      <c r="F2" s="202"/>
    </row>
    <row r="3" spans="1:17" ht="13">
      <c r="C3" s="48" t="s">
        <v>336</v>
      </c>
      <c r="D3" s="48" t="s">
        <v>337</v>
      </c>
      <c r="E3" s="48" t="s">
        <v>338</v>
      </c>
      <c r="F3" s="48" t="s">
        <v>339</v>
      </c>
      <c r="G3" s="48" t="s">
        <v>340</v>
      </c>
      <c r="H3" s="48" t="s">
        <v>341</v>
      </c>
      <c r="I3" s="48" t="s">
        <v>342</v>
      </c>
      <c r="J3" s="48" t="s">
        <v>343</v>
      </c>
      <c r="K3" s="48" t="s">
        <v>344</v>
      </c>
      <c r="L3" s="48" t="s">
        <v>589</v>
      </c>
      <c r="M3" s="48" t="s">
        <v>590</v>
      </c>
      <c r="N3" s="48" t="s">
        <v>591</v>
      </c>
      <c r="O3" s="48" t="s">
        <v>592</v>
      </c>
      <c r="P3" s="48" t="s">
        <v>593</v>
      </c>
    </row>
    <row r="4" spans="1:17" ht="13">
      <c r="A4" s="3" t="s">
        <v>99</v>
      </c>
      <c r="B4" s="3" t="s">
        <v>250</v>
      </c>
      <c r="C4" s="25" t="s">
        <v>473</v>
      </c>
      <c r="D4" s="262" t="s">
        <v>379</v>
      </c>
      <c r="E4" s="257" t="s">
        <v>381</v>
      </c>
      <c r="F4" s="257" t="s">
        <v>382</v>
      </c>
      <c r="G4" s="257" t="s">
        <v>383</v>
      </c>
      <c r="H4" s="257" t="s">
        <v>384</v>
      </c>
      <c r="I4" s="257" t="s">
        <v>385</v>
      </c>
      <c r="J4" s="257" t="s">
        <v>594</v>
      </c>
      <c r="K4" s="257" t="s">
        <v>387</v>
      </c>
      <c r="L4" s="257" t="s">
        <v>388</v>
      </c>
      <c r="M4" s="257" t="s">
        <v>389</v>
      </c>
      <c r="N4" s="257" t="s">
        <v>390</v>
      </c>
      <c r="O4" s="257" t="s">
        <v>391</v>
      </c>
      <c r="P4" s="257" t="s">
        <v>379</v>
      </c>
    </row>
    <row r="5" spans="1:17" ht="13">
      <c r="A5" s="3"/>
      <c r="B5" s="3"/>
      <c r="C5" s="257" t="s">
        <v>595</v>
      </c>
      <c r="D5" s="262"/>
      <c r="E5" s="257"/>
      <c r="F5" s="257"/>
      <c r="G5" s="257"/>
      <c r="H5" s="257"/>
      <c r="I5" s="257"/>
      <c r="J5" s="257"/>
      <c r="K5" s="257"/>
      <c r="L5" s="257"/>
      <c r="M5" s="257"/>
      <c r="N5" s="257"/>
      <c r="O5" s="257"/>
      <c r="P5" s="257"/>
    </row>
    <row r="6" spans="1:17" ht="13">
      <c r="A6" s="32"/>
      <c r="B6" s="32"/>
      <c r="C6" s="25"/>
      <c r="D6" s="262"/>
      <c r="E6" s="257"/>
      <c r="F6" s="257"/>
      <c r="G6" s="257"/>
      <c r="H6" s="257"/>
      <c r="I6" s="257"/>
      <c r="J6" s="257"/>
      <c r="K6" s="257"/>
      <c r="L6" s="257"/>
      <c r="M6" s="257"/>
      <c r="N6" s="257"/>
      <c r="O6" s="257"/>
      <c r="P6" s="257"/>
    </row>
    <row r="7" spans="1:17" ht="13">
      <c r="B7" s="1" t="s">
        <v>596</v>
      </c>
      <c r="D7" s="262"/>
      <c r="E7" s="257"/>
      <c r="F7" s="257"/>
      <c r="G7" s="257"/>
      <c r="H7" s="257"/>
      <c r="I7" s="257"/>
      <c r="J7" s="257"/>
      <c r="K7" s="257"/>
      <c r="L7" s="257"/>
      <c r="M7" s="257"/>
      <c r="N7" s="257"/>
      <c r="O7" s="257"/>
      <c r="P7" s="257"/>
    </row>
    <row r="8" spans="1:17" ht="13">
      <c r="A8" s="2">
        <v>1</v>
      </c>
      <c r="B8" s="2"/>
      <c r="C8" s="253">
        <f>SUM(D8:P8)/13</f>
        <v>19854097802.142311</v>
      </c>
      <c r="D8" s="559">
        <v>17594757143</v>
      </c>
      <c r="E8" s="559">
        <v>18494757142.810001</v>
      </c>
      <c r="F8" s="559">
        <v>18455471428.52</v>
      </c>
      <c r="G8" s="559">
        <v>18005471428.52</v>
      </c>
      <c r="H8" s="559">
        <v>19855471428.52</v>
      </c>
      <c r="I8" s="559">
        <v>19855471428.52</v>
      </c>
      <c r="J8" s="559">
        <v>20255471428.52</v>
      </c>
      <c r="K8" s="559">
        <v>20255471428.52</v>
      </c>
      <c r="L8" s="559">
        <v>21066185714.23</v>
      </c>
      <c r="M8" s="559">
        <v>21066185714.23</v>
      </c>
      <c r="N8" s="559">
        <v>21066185714.23</v>
      </c>
      <c r="O8" s="559">
        <v>21066185714.23</v>
      </c>
      <c r="P8" s="559">
        <v>21066185714</v>
      </c>
      <c r="Q8" s="251"/>
    </row>
    <row r="9" spans="1:17" ht="13">
      <c r="A9" s="2"/>
      <c r="B9" s="1" t="s">
        <v>597</v>
      </c>
      <c r="C9" s="6"/>
      <c r="D9" s="253"/>
      <c r="E9" s="253"/>
      <c r="F9" s="253"/>
      <c r="G9" s="253"/>
      <c r="H9" s="253"/>
      <c r="I9" s="253"/>
      <c r="J9" s="253"/>
      <c r="K9" s="253"/>
      <c r="L9" s="253"/>
      <c r="M9" s="253"/>
      <c r="N9" s="253"/>
      <c r="O9" s="253"/>
      <c r="P9" s="253"/>
    </row>
    <row r="10" spans="1:17" ht="13">
      <c r="A10" s="2">
        <f>A8+1</f>
        <v>2</v>
      </c>
      <c r="B10" s="2"/>
      <c r="C10" s="253">
        <f t="shared" ref="C10:C14" si="0">SUM(D10:P10)/13</f>
        <v>-521992307.69230771</v>
      </c>
      <c r="D10" s="559">
        <v>-616900000</v>
      </c>
      <c r="E10" s="559">
        <v>-616900000</v>
      </c>
      <c r="F10" s="559">
        <v>-616900000</v>
      </c>
      <c r="G10" s="559">
        <v>-616900000</v>
      </c>
      <c r="H10" s="559">
        <v>-616900000</v>
      </c>
      <c r="I10" s="559">
        <v>-616900000</v>
      </c>
      <c r="J10" s="559">
        <v>-616900000</v>
      </c>
      <c r="K10" s="559">
        <v>-616900000</v>
      </c>
      <c r="L10" s="559">
        <v>-616900000</v>
      </c>
      <c r="M10" s="559">
        <v>-616900000</v>
      </c>
      <c r="N10" s="559">
        <v>-616900000</v>
      </c>
      <c r="O10" s="559">
        <v>0</v>
      </c>
      <c r="P10" s="559">
        <v>0</v>
      </c>
      <c r="Q10" s="251"/>
    </row>
    <row r="11" spans="1:17" ht="13">
      <c r="A11" s="2"/>
      <c r="B11" s="1" t="s">
        <v>598</v>
      </c>
      <c r="D11" s="253"/>
      <c r="E11" s="253"/>
      <c r="F11" s="253"/>
      <c r="G11" s="253"/>
      <c r="H11" s="253"/>
      <c r="I11" s="253"/>
      <c r="J11" s="253"/>
      <c r="K11" s="253"/>
      <c r="L11" s="253"/>
      <c r="M11" s="253"/>
      <c r="N11" s="253"/>
      <c r="O11" s="253"/>
      <c r="P11" s="253"/>
    </row>
    <row r="12" spans="1:17" ht="13">
      <c r="A12" s="2" t="s">
        <v>549</v>
      </c>
      <c r="B12" s="1"/>
      <c r="C12" s="253">
        <f>SUM(D12:P12)/13</f>
        <v>0</v>
      </c>
      <c r="D12" s="271">
        <v>0</v>
      </c>
      <c r="E12" s="271">
        <v>0</v>
      </c>
      <c r="F12" s="271">
        <v>0</v>
      </c>
      <c r="G12" s="271">
        <v>0</v>
      </c>
      <c r="H12" s="271">
        <v>0</v>
      </c>
      <c r="I12" s="271">
        <v>0</v>
      </c>
      <c r="J12" s="271">
        <v>0</v>
      </c>
      <c r="K12" s="271">
        <v>0</v>
      </c>
      <c r="L12" s="271">
        <v>0</v>
      </c>
      <c r="M12" s="271">
        <v>0</v>
      </c>
      <c r="N12" s="271">
        <v>0</v>
      </c>
      <c r="O12" s="271">
        <v>0</v>
      </c>
      <c r="P12" s="271">
        <v>0</v>
      </c>
      <c r="Q12" s="251"/>
    </row>
    <row r="13" spans="1:17" ht="13">
      <c r="A13" s="2"/>
      <c r="B13" s="1" t="s">
        <v>599</v>
      </c>
      <c r="D13" s="253"/>
      <c r="E13" s="253"/>
      <c r="F13" s="253"/>
      <c r="G13" s="253"/>
      <c r="H13" s="253"/>
      <c r="I13" s="253"/>
      <c r="J13" s="253"/>
      <c r="K13" s="253"/>
      <c r="L13" s="253"/>
      <c r="M13" s="253"/>
      <c r="N13" s="253"/>
      <c r="O13" s="253"/>
      <c r="P13" s="253"/>
    </row>
    <row r="14" spans="1:17" ht="13">
      <c r="A14" s="2">
        <f>A10+1</f>
        <v>3</v>
      </c>
      <c r="B14" s="2"/>
      <c r="C14" s="253">
        <f t="shared" si="0"/>
        <v>306306708.80615389</v>
      </c>
      <c r="D14" s="559">
        <v>306345473</v>
      </c>
      <c r="E14" s="559">
        <v>306339108.52999997</v>
      </c>
      <c r="F14" s="559">
        <v>306332717.33999997</v>
      </c>
      <c r="G14" s="559">
        <v>306326299.19999999</v>
      </c>
      <c r="H14" s="559">
        <v>306319881.06</v>
      </c>
      <c r="I14" s="559">
        <v>306313408.68000001</v>
      </c>
      <c r="J14" s="559">
        <v>306306909.00999999</v>
      </c>
      <c r="K14" s="559">
        <v>306300381.93000001</v>
      </c>
      <c r="L14" s="559">
        <v>306293827.32999998</v>
      </c>
      <c r="M14" s="559">
        <v>306287245.08999997</v>
      </c>
      <c r="N14" s="559">
        <v>306280635.08999997</v>
      </c>
      <c r="O14" s="559">
        <v>306273997.22000003</v>
      </c>
      <c r="P14" s="559">
        <v>306267331</v>
      </c>
      <c r="Q14" s="251"/>
    </row>
    <row r="15" spans="1:17" ht="13">
      <c r="B15" s="1" t="s">
        <v>600</v>
      </c>
    </row>
    <row r="16" spans="1:17" ht="13">
      <c r="A16" s="2">
        <v>4</v>
      </c>
      <c r="B16" s="2"/>
      <c r="C16" s="253">
        <f t="shared" ref="C16:C22" si="1">SUM(D16:P16)/13</f>
        <v>1945050000</v>
      </c>
      <c r="D16" s="559">
        <v>1945050000</v>
      </c>
      <c r="E16" s="559">
        <v>1945050000</v>
      </c>
      <c r="F16" s="559">
        <v>1945050000</v>
      </c>
      <c r="G16" s="559">
        <v>1945050000</v>
      </c>
      <c r="H16" s="559">
        <v>1945050000</v>
      </c>
      <c r="I16" s="559">
        <v>1945050000</v>
      </c>
      <c r="J16" s="559">
        <v>1945050000</v>
      </c>
      <c r="K16" s="559">
        <v>1945050000</v>
      </c>
      <c r="L16" s="559">
        <v>1945050000</v>
      </c>
      <c r="M16" s="559">
        <v>1945050000</v>
      </c>
      <c r="N16" s="559">
        <v>1945050000</v>
      </c>
      <c r="O16" s="559">
        <v>1945050000</v>
      </c>
      <c r="P16" s="559">
        <v>1945050000</v>
      </c>
      <c r="Q16" s="251"/>
    </row>
    <row r="17" spans="1:17" ht="13">
      <c r="A17" s="2"/>
      <c r="B17" s="1" t="s">
        <v>601</v>
      </c>
      <c r="D17" s="253"/>
      <c r="E17" s="253"/>
      <c r="F17" s="253"/>
      <c r="G17" s="253"/>
      <c r="H17" s="253"/>
      <c r="I17" s="253"/>
      <c r="J17" s="253"/>
      <c r="K17" s="253"/>
      <c r="L17" s="253"/>
      <c r="M17" s="253"/>
      <c r="N17" s="253"/>
      <c r="O17" s="253"/>
      <c r="P17" s="253"/>
    </row>
    <row r="18" spans="1:17" ht="13">
      <c r="A18" s="2">
        <f>A16+1</f>
        <v>5</v>
      </c>
      <c r="B18" s="2"/>
      <c r="C18" s="253">
        <f t="shared" si="1"/>
        <v>-22804617.899999969</v>
      </c>
      <c r="D18" s="271">
        <v>-24417328.383333299</v>
      </c>
      <c r="E18" s="271">
        <v>-24148543.302777745</v>
      </c>
      <c r="F18" s="271">
        <v>-23879758.22222219</v>
      </c>
      <c r="G18" s="271">
        <v>-23610973.141666632</v>
      </c>
      <c r="H18" s="271">
        <v>-23342188.061111074</v>
      </c>
      <c r="I18" s="271">
        <v>-23073402.980555519</v>
      </c>
      <c r="J18" s="271">
        <v>-22804617.899999961</v>
      </c>
      <c r="K18" s="271">
        <v>-22535832.819444411</v>
      </c>
      <c r="L18" s="271">
        <v>-22267047.738888852</v>
      </c>
      <c r="M18" s="271">
        <v>-21998262.658333298</v>
      </c>
      <c r="N18" s="271">
        <v>-21729477.57777774</v>
      </c>
      <c r="O18" s="271">
        <v>-21460692.497222181</v>
      </c>
      <c r="P18" s="271">
        <v>-21191907.416666627</v>
      </c>
    </row>
    <row r="19" spans="1:17" ht="13">
      <c r="A19" s="2"/>
      <c r="B19" s="1" t="s">
        <v>602</v>
      </c>
      <c r="D19" s="253"/>
      <c r="E19" s="253"/>
      <c r="F19" s="253"/>
      <c r="G19" s="253"/>
      <c r="H19" s="253"/>
      <c r="I19" s="253"/>
      <c r="J19" s="253"/>
      <c r="K19" s="253"/>
      <c r="L19" s="253"/>
      <c r="M19" s="253"/>
      <c r="N19" s="253"/>
      <c r="O19" s="253"/>
      <c r="P19" s="253"/>
    </row>
    <row r="20" spans="1:17" ht="13">
      <c r="A20" s="2">
        <f>A18+1</f>
        <v>6</v>
      </c>
      <c r="B20" s="2"/>
      <c r="C20" s="253">
        <f t="shared" si="1"/>
        <v>-28107301.832562488</v>
      </c>
      <c r="D20" s="559">
        <v>-29016964.118429739</v>
      </c>
      <c r="E20" s="271">
        <v>-28865353.737451863</v>
      </c>
      <c r="F20" s="271">
        <v>-28713743.35647399</v>
      </c>
      <c r="G20" s="271">
        <v>-28562132.975496117</v>
      </c>
      <c r="H20" s="271">
        <v>-28410522.594518244</v>
      </c>
      <c r="I20" s="271">
        <v>-28258912.213540368</v>
      </c>
      <c r="J20" s="271">
        <v>-28107301.832562491</v>
      </c>
      <c r="K20" s="271">
        <v>-27955691.451584619</v>
      </c>
      <c r="L20" s="271">
        <v>-27804081.070606746</v>
      </c>
      <c r="M20" s="271">
        <v>-27652470.689628873</v>
      </c>
      <c r="N20" s="271">
        <v>-27500860.308650997</v>
      </c>
      <c r="O20" s="271">
        <v>-27349249.92767312</v>
      </c>
      <c r="P20" s="271">
        <v>-27197639.546695247</v>
      </c>
    </row>
    <row r="21" spans="1:17" ht="13">
      <c r="B21" s="1" t="s">
        <v>603</v>
      </c>
    </row>
    <row r="22" spans="1:17" ht="13">
      <c r="A22" s="2">
        <v>7</v>
      </c>
      <c r="B22" s="2"/>
      <c r="C22" s="253">
        <f t="shared" si="1"/>
        <v>19536165665.489231</v>
      </c>
      <c r="D22" s="559">
        <v>18650477069</v>
      </c>
      <c r="E22" s="271">
        <v>18754294992.560001</v>
      </c>
      <c r="F22" s="271">
        <v>18819726943.939999</v>
      </c>
      <c r="G22" s="271">
        <v>19522017672.959999</v>
      </c>
      <c r="H22" s="271">
        <v>19621934634.200001</v>
      </c>
      <c r="I22" s="271">
        <v>19732734296.459999</v>
      </c>
      <c r="J22" s="271">
        <v>19887440768.599998</v>
      </c>
      <c r="K22" s="271">
        <v>20041513721.59</v>
      </c>
      <c r="L22" s="271">
        <v>20126205820.599998</v>
      </c>
      <c r="M22" s="271">
        <v>19367396264.200001</v>
      </c>
      <c r="N22" s="271">
        <v>19571648556.18</v>
      </c>
      <c r="O22" s="271">
        <v>20048584610.07</v>
      </c>
      <c r="P22" s="271">
        <v>19826178301</v>
      </c>
      <c r="Q22" s="251"/>
    </row>
    <row r="23" spans="1:17" ht="13">
      <c r="A23" s="2"/>
      <c r="B23" s="1" t="s">
        <v>604</v>
      </c>
      <c r="D23" s="253"/>
      <c r="E23" s="253"/>
      <c r="F23" s="253"/>
      <c r="G23" s="253"/>
      <c r="H23" s="253"/>
      <c r="I23" s="253"/>
      <c r="J23" s="253"/>
      <c r="K23" s="253"/>
      <c r="L23" s="253"/>
      <c r="M23" s="253"/>
      <c r="N23" s="253"/>
      <c r="O23" s="253"/>
      <c r="P23" s="253"/>
    </row>
    <row r="24" spans="1:17" ht="13">
      <c r="A24" s="2">
        <v>8</v>
      </c>
      <c r="B24" s="2"/>
      <c r="C24" s="253">
        <f t="shared" ref="C24:C26" si="2">SUM(D24:P24)/13</f>
        <v>2608140.0307692299</v>
      </c>
      <c r="D24" s="559">
        <v>2605695</v>
      </c>
      <c r="E24" s="559">
        <v>2605754.88</v>
      </c>
      <c r="F24" s="559">
        <v>2605754.88</v>
      </c>
      <c r="G24" s="559">
        <v>2605754.88</v>
      </c>
      <c r="H24" s="559">
        <v>2605754.88</v>
      </c>
      <c r="I24" s="559">
        <v>2606257.38</v>
      </c>
      <c r="J24" s="559">
        <v>2607266.1399999997</v>
      </c>
      <c r="K24" s="559">
        <v>2607266.1399999997</v>
      </c>
      <c r="L24" s="559">
        <v>2609618.13</v>
      </c>
      <c r="M24" s="559">
        <v>2610877.06</v>
      </c>
      <c r="N24" s="559">
        <v>2610877.06</v>
      </c>
      <c r="O24" s="559">
        <v>2612471.9699999997</v>
      </c>
      <c r="P24" s="559">
        <v>2612472</v>
      </c>
      <c r="Q24" s="251"/>
    </row>
    <row r="25" spans="1:17" ht="13">
      <c r="A25" s="2"/>
      <c r="B25" s="1" t="s">
        <v>605</v>
      </c>
      <c r="D25" s="253"/>
      <c r="E25" s="253"/>
      <c r="F25" s="253"/>
      <c r="G25" s="253"/>
      <c r="H25" s="253"/>
      <c r="I25" s="253"/>
      <c r="J25" s="253"/>
      <c r="K25" s="253"/>
      <c r="L25" s="253"/>
      <c r="M25" s="253"/>
      <c r="N25" s="253"/>
      <c r="O25" s="253"/>
      <c r="P25" s="253"/>
    </row>
    <row r="26" spans="1:17" ht="13">
      <c r="A26" s="2">
        <f>A24+1</f>
        <v>9</v>
      </c>
      <c r="B26" s="2"/>
      <c r="C26" s="253">
        <f t="shared" si="2"/>
        <v>37511126.68923077</v>
      </c>
      <c r="D26" s="559">
        <v>40791862</v>
      </c>
      <c r="E26" s="559">
        <v>40125778.369999997</v>
      </c>
      <c r="F26" s="559">
        <v>39459695.039999999</v>
      </c>
      <c r="G26" s="559">
        <v>39352793.990000002</v>
      </c>
      <c r="H26" s="559">
        <v>38686710.659999996</v>
      </c>
      <c r="I26" s="559">
        <v>38020627.329999998</v>
      </c>
      <c r="J26" s="559">
        <v>37913726.270000003</v>
      </c>
      <c r="K26" s="559">
        <v>37247642.939999998</v>
      </c>
      <c r="L26" s="559">
        <v>36581559.609999999</v>
      </c>
      <c r="M26" s="559">
        <v>36474658.579999998</v>
      </c>
      <c r="N26" s="559">
        <v>35808575.25</v>
      </c>
      <c r="O26" s="559">
        <v>35142491.920000002</v>
      </c>
      <c r="P26" s="559">
        <v>32038525</v>
      </c>
      <c r="Q26" s="251"/>
    </row>
    <row r="27" spans="1:17" ht="13">
      <c r="A27" s="2"/>
      <c r="B27" s="2"/>
      <c r="C27" s="253"/>
      <c r="D27" s="253"/>
      <c r="E27" s="253"/>
      <c r="F27" s="253"/>
      <c r="G27" s="253"/>
      <c r="H27" s="253"/>
      <c r="I27" s="253"/>
      <c r="J27" s="253"/>
      <c r="K27" s="253"/>
      <c r="L27" s="253"/>
      <c r="M27" s="253"/>
      <c r="N27" s="253"/>
      <c r="O27" s="253"/>
      <c r="P27" s="253"/>
    </row>
    <row r="28" spans="1:17" ht="13">
      <c r="A28" s="2"/>
      <c r="B28" s="30" t="s">
        <v>433</v>
      </c>
      <c r="C28" s="253"/>
      <c r="D28" s="253"/>
      <c r="E28" s="253"/>
      <c r="F28" s="253"/>
      <c r="G28" s="253"/>
      <c r="H28" s="253"/>
      <c r="I28" s="253"/>
      <c r="J28" s="253"/>
      <c r="K28" s="253"/>
      <c r="L28" s="253"/>
      <c r="M28" s="253"/>
      <c r="N28" s="253"/>
      <c r="O28" s="253"/>
      <c r="P28" s="253"/>
    </row>
    <row r="29" spans="1:17" ht="13">
      <c r="A29" s="2"/>
      <c r="B29" s="251" t="s">
        <v>606</v>
      </c>
      <c r="C29" s="253"/>
      <c r="D29" s="253"/>
      <c r="E29" s="253"/>
      <c r="F29" s="253"/>
      <c r="G29" s="253"/>
      <c r="H29" s="253"/>
      <c r="I29" s="253"/>
      <c r="J29" s="253"/>
      <c r="K29" s="253"/>
      <c r="L29" s="253"/>
      <c r="M29" s="253"/>
      <c r="N29" s="253"/>
      <c r="O29" s="253"/>
      <c r="P29" s="253"/>
    </row>
    <row r="30" spans="1:17" ht="13">
      <c r="A30" s="2"/>
      <c r="B30" s="250" t="s">
        <v>607</v>
      </c>
      <c r="C30" s="253"/>
      <c r="D30" s="253"/>
      <c r="E30" s="253"/>
      <c r="F30" s="253"/>
      <c r="G30" s="253"/>
      <c r="H30" s="253"/>
      <c r="I30" s="253"/>
      <c r="J30" s="253"/>
      <c r="K30" s="253"/>
      <c r="L30" s="253"/>
      <c r="M30" s="253"/>
      <c r="N30" s="253"/>
      <c r="O30" s="253"/>
      <c r="P30" s="253"/>
    </row>
    <row r="31" spans="1:17">
      <c r="B31" s="251" t="s">
        <v>608</v>
      </c>
    </row>
    <row r="32" spans="1:17">
      <c r="B32" s="250"/>
    </row>
    <row r="33" spans="2:13" ht="13">
      <c r="B33" s="30" t="s">
        <v>228</v>
      </c>
    </row>
    <row r="34" spans="2:13">
      <c r="B34" s="251" t="s">
        <v>609</v>
      </c>
    </row>
    <row r="35" spans="2:13">
      <c r="B35" s="251" t="s">
        <v>610</v>
      </c>
    </row>
    <row r="36" spans="2:13">
      <c r="B36" s="251" t="s">
        <v>611</v>
      </c>
    </row>
    <row r="37" spans="2:13">
      <c r="B37" s="251" t="s">
        <v>612</v>
      </c>
    </row>
    <row r="38" spans="2:13">
      <c r="B38" s="251" t="s">
        <v>613</v>
      </c>
    </row>
    <row r="39" spans="2:13">
      <c r="B39" s="251" t="s">
        <v>614</v>
      </c>
    </row>
    <row r="40" spans="2:13">
      <c r="B40" s="250" t="s">
        <v>615</v>
      </c>
    </row>
    <row r="41" spans="2:13" ht="13">
      <c r="H41" s="2" t="s">
        <v>616</v>
      </c>
    </row>
    <row r="42" spans="2:13" ht="13">
      <c r="C42" s="2"/>
      <c r="E42" s="2" t="s">
        <v>617</v>
      </c>
      <c r="F42" s="2" t="s">
        <v>618</v>
      </c>
      <c r="G42" s="2" t="s">
        <v>618</v>
      </c>
      <c r="H42" s="2" t="s">
        <v>619</v>
      </c>
      <c r="I42" s="2" t="s">
        <v>620</v>
      </c>
    </row>
    <row r="43" spans="2:13" ht="13">
      <c r="C43" s="3" t="s">
        <v>621</v>
      </c>
      <c r="E43" s="3" t="s">
        <v>79</v>
      </c>
      <c r="F43" s="3" t="s">
        <v>622</v>
      </c>
      <c r="G43" s="3" t="s">
        <v>623</v>
      </c>
      <c r="H43" s="48" t="s">
        <v>624</v>
      </c>
      <c r="I43" s="3" t="s">
        <v>616</v>
      </c>
      <c r="J43" s="3" t="s">
        <v>100</v>
      </c>
    </row>
    <row r="44" spans="2:13">
      <c r="C44" s="812" t="s">
        <v>3007</v>
      </c>
      <c r="D44" s="285"/>
      <c r="E44" s="60">
        <v>350000000</v>
      </c>
      <c r="F44" s="706">
        <v>40925</v>
      </c>
      <c r="G44" s="60">
        <v>5957289</v>
      </c>
      <c r="H44" s="591">
        <v>10</v>
      </c>
      <c r="I44" s="281">
        <v>595728.9</v>
      </c>
      <c r="J44" s="55"/>
      <c r="K44" s="55"/>
      <c r="L44" s="55"/>
      <c r="M44" s="55"/>
    </row>
    <row r="45" spans="2:13">
      <c r="C45" s="812" t="s">
        <v>3008</v>
      </c>
      <c r="D45" s="285"/>
      <c r="E45" s="60">
        <v>220010000</v>
      </c>
      <c r="F45" s="706">
        <v>41303</v>
      </c>
      <c r="G45" s="60">
        <v>7134904</v>
      </c>
      <c r="H45" s="591">
        <v>30</v>
      </c>
      <c r="I45" s="281">
        <v>237830.13333333333</v>
      </c>
      <c r="J45" s="258"/>
      <c r="K45" s="55"/>
      <c r="L45" s="55"/>
      <c r="M45" s="55"/>
    </row>
    <row r="46" spans="2:13">
      <c r="C46" s="813" t="s">
        <v>3009</v>
      </c>
      <c r="D46" s="285"/>
      <c r="E46" s="60">
        <v>275010000</v>
      </c>
      <c r="F46" s="706">
        <v>41704</v>
      </c>
      <c r="G46" s="60">
        <v>6272358</v>
      </c>
      <c r="H46" s="591">
        <v>10</v>
      </c>
      <c r="I46" s="281">
        <v>627235.80000000005</v>
      </c>
      <c r="J46" s="55"/>
      <c r="K46" s="55"/>
      <c r="L46" s="55"/>
      <c r="M46" s="55"/>
    </row>
    <row r="47" spans="2:13">
      <c r="C47" s="814" t="s">
        <v>3010</v>
      </c>
      <c r="D47" s="707"/>
      <c r="E47" s="60">
        <v>325010000</v>
      </c>
      <c r="F47" s="706">
        <v>42240</v>
      </c>
      <c r="G47" s="60">
        <v>6419578</v>
      </c>
      <c r="H47" s="591">
        <v>10</v>
      </c>
      <c r="I47" s="281">
        <v>641957.80000000005</v>
      </c>
      <c r="J47" s="55"/>
      <c r="K47" s="55"/>
      <c r="L47" s="55"/>
      <c r="M47" s="55"/>
    </row>
    <row r="48" spans="2:13">
      <c r="C48" s="814" t="s">
        <v>3011</v>
      </c>
      <c r="D48" s="707"/>
      <c r="E48" s="60">
        <v>300010000</v>
      </c>
      <c r="F48" s="706">
        <v>42437</v>
      </c>
      <c r="G48" s="60">
        <v>6959810</v>
      </c>
      <c r="H48" s="591">
        <v>10</v>
      </c>
      <c r="I48" s="281">
        <v>695981</v>
      </c>
      <c r="J48" s="258"/>
      <c r="K48" s="55"/>
      <c r="L48" s="55"/>
      <c r="M48" s="55"/>
    </row>
    <row r="49" spans="2:14">
      <c r="C49" s="815" t="s">
        <v>3012</v>
      </c>
      <c r="D49" s="707"/>
      <c r="E49" s="60">
        <v>475010000</v>
      </c>
      <c r="F49" s="706">
        <v>42912</v>
      </c>
      <c r="G49" s="271">
        <v>12800620</v>
      </c>
      <c r="H49" s="591">
        <v>30</v>
      </c>
      <c r="I49" s="271">
        <v>426687.33333333331</v>
      </c>
      <c r="J49" s="283"/>
      <c r="K49" s="55"/>
      <c r="L49" s="55"/>
      <c r="M49" s="55"/>
    </row>
    <row r="50" spans="2:14">
      <c r="C50" s="261"/>
      <c r="D50" s="261"/>
      <c r="I50" s="6">
        <f>SUM(I44:I49)</f>
        <v>3225420.9666666673</v>
      </c>
      <c r="J50" s="251" t="s">
        <v>625</v>
      </c>
    </row>
    <row r="51" spans="2:14">
      <c r="B51" s="251" t="s">
        <v>626</v>
      </c>
    </row>
    <row r="52" spans="2:14">
      <c r="B52" s="250" t="s">
        <v>627</v>
      </c>
      <c r="I52" s="41"/>
    </row>
    <row r="53" spans="2:14" ht="13">
      <c r="G53" s="2" t="s">
        <v>616</v>
      </c>
    </row>
    <row r="54" spans="2:14" ht="13">
      <c r="C54" s="2"/>
      <c r="E54" s="2" t="s">
        <v>628</v>
      </c>
      <c r="F54" s="2" t="s">
        <v>616</v>
      </c>
      <c r="G54" s="2" t="s">
        <v>619</v>
      </c>
      <c r="H54" s="2" t="s">
        <v>620</v>
      </c>
      <c r="I54" s="2"/>
    </row>
    <row r="55" spans="2:14" ht="13">
      <c r="C55" s="3" t="s">
        <v>629</v>
      </c>
      <c r="E55" s="3" t="s">
        <v>622</v>
      </c>
      <c r="F55" s="3" t="s">
        <v>79</v>
      </c>
      <c r="G55" s="48" t="s">
        <v>624</v>
      </c>
      <c r="H55" s="3" t="s">
        <v>616</v>
      </c>
      <c r="I55" s="3" t="s">
        <v>100</v>
      </c>
    </row>
    <row r="56" spans="2:14" ht="13">
      <c r="C56" s="813" t="s">
        <v>3013</v>
      </c>
      <c r="D56" s="810"/>
      <c r="E56" s="706">
        <v>41333</v>
      </c>
      <c r="F56" s="60">
        <v>2586350.9805555502</v>
      </c>
      <c r="G56" s="591">
        <v>30</v>
      </c>
      <c r="H56" s="1094">
        <f t="shared" ref="H56:H61" si="3">F56/G56</f>
        <v>86211.699351851668</v>
      </c>
      <c r="I56" s="811"/>
      <c r="J56" s="55"/>
      <c r="K56" s="55"/>
      <c r="L56" s="55"/>
      <c r="M56" s="55"/>
      <c r="N56" s="55"/>
    </row>
    <row r="57" spans="2:14" ht="13">
      <c r="C57" s="813" t="s">
        <v>3014</v>
      </c>
      <c r="D57" s="810"/>
      <c r="E57" s="706">
        <v>41333</v>
      </c>
      <c r="F57" s="60">
        <v>2886865.9722222402</v>
      </c>
      <c r="G57" s="591">
        <v>30</v>
      </c>
      <c r="H57" s="1094">
        <f t="shared" si="3"/>
        <v>96228.865740741341</v>
      </c>
      <c r="I57" s="811"/>
      <c r="J57" s="55"/>
      <c r="K57" s="55"/>
      <c r="L57" s="55"/>
      <c r="M57" s="55"/>
      <c r="N57" s="55"/>
    </row>
    <row r="58" spans="2:14" ht="13">
      <c r="C58" s="813" t="s">
        <v>3015</v>
      </c>
      <c r="D58" s="810"/>
      <c r="E58" s="706">
        <v>42460</v>
      </c>
      <c r="F58" s="60">
        <v>2147802.5000000112</v>
      </c>
      <c r="G58" s="591">
        <v>10</v>
      </c>
      <c r="H58" s="1094">
        <f t="shared" si="3"/>
        <v>214780.25000000111</v>
      </c>
      <c r="I58" s="811"/>
      <c r="J58" s="811"/>
      <c r="K58" s="811"/>
      <c r="L58" s="55"/>
      <c r="M58" s="55"/>
      <c r="N58" s="55"/>
    </row>
    <row r="59" spans="2:14" ht="13">
      <c r="C59" s="813" t="s">
        <v>3016</v>
      </c>
      <c r="D59" s="810"/>
      <c r="E59" s="706">
        <v>42935</v>
      </c>
      <c r="F59" s="60">
        <v>12749183.344444489</v>
      </c>
      <c r="G59" s="591">
        <v>30</v>
      </c>
      <c r="H59" s="1094">
        <f t="shared" si="3"/>
        <v>424972.77814814966</v>
      </c>
      <c r="I59" s="811"/>
      <c r="J59" s="811"/>
      <c r="K59" s="811"/>
      <c r="L59" s="55"/>
      <c r="M59" s="55"/>
      <c r="N59" s="55"/>
    </row>
    <row r="60" spans="2:14" ht="13">
      <c r="C60" s="285" t="s">
        <v>3017</v>
      </c>
      <c r="D60" s="1095"/>
      <c r="E60" s="708">
        <v>44074</v>
      </c>
      <c r="F60" s="60">
        <v>8522773.9499999993</v>
      </c>
      <c r="G60" s="591">
        <v>10</v>
      </c>
      <c r="H60" s="1094">
        <f t="shared" si="3"/>
        <v>852277.3949999999</v>
      </c>
      <c r="I60" s="811"/>
      <c r="J60" s="811"/>
      <c r="K60" s="811"/>
      <c r="L60" s="55"/>
      <c r="M60" s="55"/>
      <c r="N60" s="55"/>
    </row>
    <row r="61" spans="2:14">
      <c r="C61" s="285" t="s">
        <v>3018</v>
      </c>
      <c r="D61" s="285"/>
      <c r="E61" s="708">
        <v>44104</v>
      </c>
      <c r="F61" s="271">
        <v>4345607.5048123803</v>
      </c>
      <c r="G61" s="591">
        <v>30</v>
      </c>
      <c r="H61" s="1096">
        <f t="shared" si="3"/>
        <v>144853.583493746</v>
      </c>
      <c r="I61" s="1093" t="s">
        <v>3019</v>
      </c>
      <c r="J61" s="1093"/>
      <c r="K61" s="1093"/>
      <c r="L61" s="55"/>
      <c r="M61" s="55"/>
      <c r="N61" s="55"/>
    </row>
    <row r="62" spans="2:14">
      <c r="C62" s="285"/>
      <c r="D62" s="285"/>
      <c r="E62" s="708"/>
      <c r="F62" s="271"/>
      <c r="G62" s="591"/>
      <c r="H62" s="271"/>
      <c r="I62" s="258" t="s">
        <v>3020</v>
      </c>
      <c r="J62" s="258"/>
      <c r="K62" s="55"/>
      <c r="L62" s="55"/>
      <c r="M62" s="55"/>
      <c r="N62" s="55"/>
    </row>
    <row r="63" spans="2:14">
      <c r="C63" s="285"/>
      <c r="D63" s="285"/>
      <c r="E63" s="708"/>
      <c r="F63" s="271"/>
      <c r="G63" s="591"/>
      <c r="H63" s="271"/>
      <c r="I63" s="258"/>
      <c r="J63" s="258"/>
      <c r="K63" s="55"/>
      <c r="L63" s="55"/>
      <c r="M63" s="55"/>
      <c r="N63" s="55"/>
    </row>
    <row r="64" spans="2:14">
      <c r="C64" s="285"/>
      <c r="D64" s="285"/>
      <c r="E64" s="708"/>
      <c r="F64" s="271"/>
      <c r="G64" s="591"/>
      <c r="H64" s="271"/>
      <c r="I64" s="258"/>
      <c r="J64" s="258"/>
      <c r="K64" s="55"/>
      <c r="L64" s="55"/>
      <c r="M64" s="55"/>
      <c r="N64" s="55"/>
    </row>
    <row r="65" spans="2:9">
      <c r="C65" s="261"/>
      <c r="D65" s="261"/>
      <c r="H65" s="6">
        <f>SUM(H56:H63)</f>
        <v>1819324.5717344894</v>
      </c>
      <c r="I65" s="251" t="s">
        <v>630</v>
      </c>
    </row>
    <row r="67" spans="2:9">
      <c r="B67" s="251" t="s">
        <v>631</v>
      </c>
    </row>
    <row r="68" spans="2:9">
      <c r="B68" s="251" t="s">
        <v>632</v>
      </c>
    </row>
    <row r="69" spans="2:9">
      <c r="B69" s="251" t="s">
        <v>633</v>
      </c>
    </row>
    <row r="78" spans="2:9">
      <c r="F78" s="6"/>
    </row>
    <row r="79" spans="2:9">
      <c r="F79" s="6"/>
    </row>
  </sheetData>
  <pageMargins left="0.7" right="0.7" top="0.75" bottom="0.75" header="0.3" footer="0.3"/>
  <pageSetup scale="54" fitToHeight="0" orientation="landscape" cellComments="asDisplayed" r:id="rId1"/>
  <headerFooter>
    <oddHeader>&amp;CSchedule 5 ROR-2
Return and Capitalization
&amp;RTO2023 Draft Annual Update 
Attachment 1</oddHeader>
    <oddFooter>&amp;R&amp;A</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2.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http://schemas.microsoft.com/office/2006/documentManagement/types"/>
    <ds:schemaRef ds:uri="12959806-aaa0-46d7-a2d9-16d3a52829b5"/>
    <ds:schemaRef ds:uri="http://purl.org/dc/terms/"/>
    <ds:schemaRef ds:uri="http://schemas.openxmlformats.org/package/2006/metadata/core-properties"/>
    <ds:schemaRef ds:uri="http://purl.org/dc/dcmitype/"/>
    <ds:schemaRef ds:uri="http://schemas.microsoft.com/office/infopath/2007/PartnerControls"/>
    <ds:schemaRef ds:uri="912f540d-d409-4b25-9a6c-10b1df9809fd"/>
    <ds:schemaRef ds:uri="http://www.w3.org/XML/1998/namespace"/>
  </ds:schemaRefs>
</ds:datastoreItem>
</file>

<file path=customXml/itemProps3.xml><?xml version="1.0" encoding="utf-8"?>
<ds:datastoreItem xmlns:ds="http://schemas.openxmlformats.org/officeDocument/2006/customXml" ds:itemID="{FA81571D-F9EA-4DAE-A9D4-67CF4380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35-Other Formula Revenue</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'35-Other Formula Revenue'!Print_Area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2022-03-31T22:13:40Z</cp:lastPrinted>
  <dcterms:created xsi:type="dcterms:W3CDTF">2009-02-27T16:01:11Z</dcterms:created>
  <dcterms:modified xsi:type="dcterms:W3CDTF">2022-06-15T16:40:30Z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CofWorkbookId">
    <vt:lpwstr>185b16f9-b38a-4bd8-bedf-c7304d000ac9</vt:lpwstr>
  </property>
</Properties>
</file>