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showInkAnnotation="0" defaultThemeVersion="124226"/>
  <mc:AlternateContent xmlns:mc="http://schemas.openxmlformats.org/markup-compatibility/2006">
    <mc:Choice Requires="x15">
      <x15ac:absPath xmlns:x15ac="http://schemas.microsoft.com/office/spreadsheetml/2010/11/ac" url="\\sce\workgroup\RPA\REG OPS\FERC-REG\FERC\FERC Contract &amp; Cost Analysis\2022 FERC Rate Case TO2022\6-Jun 15 Draft Informational Posting\"/>
    </mc:Choice>
  </mc:AlternateContent>
  <xr:revisionPtr revIDLastSave="0" documentId="13_ncr:10001_{B67F56D9-11FC-47E7-AB12-07FDBD07BCEA}" xr6:coauthVersionLast="45" xr6:coauthVersionMax="45" xr10:uidLastSave="{00000000-0000-0000-0000-000000000000}"/>
  <bookViews>
    <workbookView xWindow="28680" yWindow="-120" windowWidth="29040" windowHeight="16440" tabRatio="597"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'21-RevenueCredits'!$A$1:$O$275</definedName>
    <definedName name="_xlnm.Print_Area" localSheetId="15">'10-CWIP'!$A$1:$K$484</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'14-IncentivePlant'!$A$1:$J$440</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'18-DepRates'!$A$1:$G$66</definedName>
    <definedName name="_xlnm.Print_Area" localSheetId="24">'19-OandM'!$A$1:$L$152</definedName>
    <definedName name="_xlnm.Print_Area" localSheetId="3">'1-BaseTRR'!$A$1:$K$173</definedName>
    <definedName name="_xlnm.Print_Area" localSheetId="25">'20-AandG'!$A$1:$J$109</definedName>
    <definedName name="_xlnm.Print_Area" localSheetId="26">'21-RevenueCredits'!$A$1:$O$275</definedName>
    <definedName name="_xlnm.Print_Area" localSheetId="27">'22-NUCs'!$A$1:$F$27</definedName>
    <definedName name="_xlnm.Print_Area" localSheetId="28">'23-RegAssets'!$A$1:$I$37</definedName>
    <definedName name="_xlnm.Print_Area" localSheetId="29">'24-CWIPTRR'!$A$1:$J$201</definedName>
    <definedName name="_xlnm.Print_Area" localSheetId="30">'25-WholesaleDifference'!$A$1:$J$103</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5">'3-TrueUpAdjust'!$A$1:$L$144</definedName>
    <definedName name="_xlnm.Print_Area" localSheetId="6">'4-TUTRR'!$A$1:$J$107</definedName>
    <definedName name="_xlnm.Print_Area" localSheetId="7">'5-ROR-1'!$A$1:$L$50</definedName>
    <definedName name="_xlnm.Print_Area" localSheetId="8">'5-ROR-2'!$A$1:$P$69</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'9-ADIT-1'!$A$1:$J$164</definedName>
    <definedName name="_xlnm.Print_Area" localSheetId="13">'9-ADIT-2'!$A$1:$M$61</definedName>
    <definedName name="_xlnm.Print_Area" localSheetId="14">'9-ADIT-3'!$A$1:$I$55</definedName>
    <definedName name="_xlnm.Print_Area" localSheetId="1">Contents!$A$1:$D$38</definedName>
    <definedName name="_xlnm.Print_Area" localSheetId="0">Heading!$A$1:$K$12</definedName>
    <definedName name="_xlnm.Print_Area" localSheetId="2">Overview!$A$1:$I$24</definedName>
    <definedName name="_xlnm.Print_Titles" localSheetId="3">'1-BaseTRR'!$1:$6</definedName>
    <definedName name="_xlnm.Print_Titles" localSheetId="26">'21-RevenueCredits'!$1:$3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3" i="72" l="1"/>
  <c r="M40" i="61"/>
  <c r="H72" i="44"/>
  <c r="E230" i="61"/>
  <c r="E28" i="53"/>
  <c r="H130" i="53"/>
  <c r="J14" i="53"/>
  <c r="N206" i="61"/>
  <c r="N207" i="61"/>
  <c r="N208" i="61"/>
  <c r="N209" i="61"/>
  <c r="N210" i="61"/>
  <c r="N211" i="61"/>
  <c r="N212" i="61"/>
  <c r="N213" i="61"/>
  <c r="N214" i="61"/>
  <c r="G206" i="61"/>
  <c r="I206" i="61"/>
  <c r="J206" i="61"/>
  <c r="M206" i="61"/>
  <c r="G207" i="61"/>
  <c r="I207" i="61"/>
  <c r="J207" i="61"/>
  <c r="M207" i="61"/>
  <c r="G208" i="61"/>
  <c r="I208" i="61"/>
  <c r="J208" i="61"/>
  <c r="M208" i="61"/>
  <c r="G209" i="61"/>
  <c r="I209" i="61"/>
  <c r="J209" i="61"/>
  <c r="M209" i="61"/>
  <c r="G210" i="61"/>
  <c r="I210" i="61"/>
  <c r="J210" i="61"/>
  <c r="M210" i="61"/>
  <c r="G211" i="61"/>
  <c r="I211" i="61"/>
  <c r="J211" i="61"/>
  <c r="M211" i="61"/>
  <c r="G212" i="61"/>
  <c r="I212" i="61"/>
  <c r="J212" i="61"/>
  <c r="M212" i="61"/>
  <c r="G213" i="61"/>
  <c r="I213" i="61"/>
  <c r="J213" i="61"/>
  <c r="M213" i="61"/>
  <c r="G214" i="61"/>
  <c r="I214" i="61"/>
  <c r="J214" i="61"/>
  <c r="M214" i="61"/>
  <c r="N144" i="61"/>
  <c r="J144" i="61"/>
  <c r="M144" i="61"/>
  <c r="G144" i="61"/>
  <c r="I144" i="61"/>
  <c r="N77" i="61"/>
  <c r="J77" i="61"/>
  <c r="M77" i="61"/>
  <c r="G77" i="61"/>
  <c r="I77" i="61"/>
  <c r="N76" i="61"/>
  <c r="J76" i="61"/>
  <c r="M76" i="61"/>
  <c r="G76" i="61"/>
  <c r="I76" i="61"/>
  <c r="N41" i="61"/>
  <c r="J41" i="61"/>
  <c r="M41" i="61"/>
  <c r="G41" i="61"/>
  <c r="I41" i="61"/>
  <c r="N40" i="61"/>
  <c r="J40" i="61"/>
  <c r="I40" i="61"/>
  <c r="G40" i="61"/>
  <c r="N34" i="61"/>
  <c r="J34" i="61"/>
  <c r="M34" i="61"/>
  <c r="G34" i="61"/>
  <c r="I34" i="61"/>
  <c r="N33" i="61"/>
  <c r="J33" i="61"/>
  <c r="M33" i="61"/>
  <c r="G33" i="61"/>
  <c r="I33" i="61"/>
  <c r="N32" i="61"/>
  <c r="J32" i="61"/>
  <c r="M32" i="61"/>
  <c r="G32" i="61"/>
  <c r="I32" i="61"/>
  <c r="N31" i="61"/>
  <c r="J31" i="61"/>
  <c r="M31" i="61"/>
  <c r="G31" i="61"/>
  <c r="I31" i="61"/>
  <c r="E37" i="61"/>
  <c r="E86" i="4"/>
  <c r="M86" i="4"/>
  <c r="A126" i="15"/>
  <c r="A125" i="15"/>
  <c r="A118" i="15"/>
  <c r="A105" i="15"/>
  <c r="A106" i="15"/>
  <c r="A107" i="15"/>
  <c r="A108" i="15"/>
  <c r="A109" i="15"/>
  <c r="A110" i="15"/>
  <c r="A111" i="15"/>
  <c r="A104" i="15"/>
  <c r="A83" i="15"/>
  <c r="A84" i="15"/>
  <c r="A85" i="15"/>
  <c r="A86" i="15"/>
  <c r="A87" i="15"/>
  <c r="A82" i="15"/>
  <c r="A62" i="15"/>
  <c r="A63" i="15"/>
  <c r="A64" i="15"/>
  <c r="A65" i="15"/>
  <c r="A61" i="15"/>
  <c r="A54" i="15"/>
  <c r="A33" i="15"/>
  <c r="A34" i="15"/>
  <c r="A35" i="15"/>
  <c r="A36" i="15"/>
  <c r="A37" i="15"/>
  <c r="A38" i="15"/>
  <c r="A39" i="15"/>
  <c r="A40" i="15"/>
  <c r="A41" i="15"/>
  <c r="A42" i="15"/>
  <c r="A43" i="15"/>
  <c r="A44" i="15"/>
  <c r="A45" i="15"/>
  <c r="A46" i="15"/>
  <c r="A47" i="15"/>
  <c r="A32" i="15"/>
  <c r="D14" i="49"/>
  <c r="D15" i="49"/>
  <c r="D16" i="49"/>
  <c r="D17" i="49"/>
  <c r="D18" i="49"/>
  <c r="D19" i="49"/>
  <c r="D20" i="49"/>
  <c r="D21" i="49"/>
  <c r="D22" i="49"/>
  <c r="D23" i="49"/>
  <c r="D24" i="49"/>
  <c r="D25" i="49"/>
  <c r="D13" i="49"/>
  <c r="F86" i="4"/>
  <c r="G86" i="4"/>
  <c r="H86" i="4"/>
  <c r="I86" i="4"/>
  <c r="J86" i="4"/>
  <c r="K86" i="4"/>
  <c r="L86" i="4"/>
  <c r="E110" i="15"/>
  <c r="E109" i="15"/>
  <c r="E108" i="15"/>
  <c r="E107" i="15"/>
  <c r="E106" i="15"/>
  <c r="H106" i="15"/>
  <c r="E105" i="15"/>
  <c r="G105" i="15"/>
  <c r="F104" i="15"/>
  <c r="E103" i="15"/>
  <c r="G46" i="15"/>
  <c r="E45" i="15"/>
  <c r="E44" i="15"/>
  <c r="E43" i="15"/>
  <c r="E42" i="15"/>
  <c r="H42" i="15"/>
  <c r="E41" i="15"/>
  <c r="E40" i="15"/>
  <c r="E39" i="15"/>
  <c r="E38" i="15"/>
  <c r="H38" i="15"/>
  <c r="G37" i="15"/>
  <c r="E37" i="15"/>
  <c r="E36" i="15"/>
  <c r="H36" i="15"/>
  <c r="H35" i="15"/>
  <c r="E35" i="15"/>
  <c r="E34" i="15"/>
  <c r="H34" i="15"/>
  <c r="G33" i="15"/>
  <c r="E33" i="15"/>
  <c r="E32" i="15"/>
  <c r="H32" i="15"/>
  <c r="G31" i="15"/>
  <c r="E31" i="15"/>
  <c r="D35" i="54"/>
  <c r="E35" i="54"/>
  <c r="D13" i="15"/>
  <c r="I89" i="65"/>
  <c r="H89" i="65"/>
  <c r="G89" i="65"/>
  <c r="F89" i="65"/>
  <c r="E89" i="65"/>
  <c r="D89" i="65"/>
  <c r="C89" i="65"/>
  <c r="A184" i="71"/>
  <c r="A185" i="71"/>
  <c r="A186" i="71"/>
  <c r="E20" i="71"/>
  <c r="D20" i="71"/>
  <c r="F20" i="71"/>
  <c r="F37" i="11"/>
  <c r="G20" i="71"/>
  <c r="G37" i="11"/>
  <c r="E37" i="11"/>
  <c r="H37" i="11"/>
  <c r="G19" i="71"/>
  <c r="G18" i="71"/>
  <c r="H36" i="11"/>
  <c r="H361" i="11"/>
  <c r="G361" i="11"/>
  <c r="H360" i="11"/>
  <c r="G360" i="11"/>
  <c r="H359" i="11"/>
  <c r="G359" i="11"/>
  <c r="H358" i="11"/>
  <c r="G358" i="11"/>
  <c r="H357" i="11"/>
  <c r="G357" i="11"/>
  <c r="H356" i="11"/>
  <c r="G356" i="11"/>
  <c r="H355" i="11"/>
  <c r="G355" i="11"/>
  <c r="H354" i="11"/>
  <c r="G354" i="11"/>
  <c r="H353" i="11"/>
  <c r="G353" i="11"/>
  <c r="H352" i="11"/>
  <c r="G352" i="11"/>
  <c r="H351" i="11"/>
  <c r="G351" i="11"/>
  <c r="H350" i="11"/>
  <c r="G350" i="11"/>
  <c r="H349" i="11"/>
  <c r="G349" i="11"/>
  <c r="E36" i="11"/>
  <c r="K453" i="49"/>
  <c r="K454" i="49"/>
  <c r="K455" i="49"/>
  <c r="K456" i="49"/>
  <c r="K457" i="49"/>
  <c r="K458" i="49"/>
  <c r="K459" i="49"/>
  <c r="K460" i="49"/>
  <c r="K461" i="49"/>
  <c r="K462" i="49"/>
  <c r="K463" i="49"/>
  <c r="K464" i="49"/>
  <c r="K465" i="49"/>
  <c r="K466" i="49"/>
  <c r="K467" i="49"/>
  <c r="K468" i="49"/>
  <c r="K469" i="49"/>
  <c r="K470" i="49"/>
  <c r="K471" i="49"/>
  <c r="K472" i="49"/>
  <c r="K473" i="49"/>
  <c r="K474" i="49"/>
  <c r="K475" i="49"/>
  <c r="K452" i="49"/>
  <c r="J418" i="49"/>
  <c r="I475" i="49"/>
  <c r="E475" i="49"/>
  <c r="F475" i="49"/>
  <c r="I474" i="49"/>
  <c r="E474" i="49"/>
  <c r="F474" i="49"/>
  <c r="I473" i="49"/>
  <c r="E473" i="49"/>
  <c r="F473" i="49"/>
  <c r="I472" i="49"/>
  <c r="E472" i="49"/>
  <c r="F472" i="49"/>
  <c r="I471" i="49"/>
  <c r="E471" i="49"/>
  <c r="F471" i="49"/>
  <c r="I470" i="49"/>
  <c r="E470" i="49"/>
  <c r="F470" i="49"/>
  <c r="I469" i="49"/>
  <c r="E469" i="49"/>
  <c r="F469" i="49"/>
  <c r="I468" i="49"/>
  <c r="E468" i="49"/>
  <c r="F468" i="49"/>
  <c r="I467" i="49"/>
  <c r="E467" i="49"/>
  <c r="F467" i="49"/>
  <c r="I466" i="49"/>
  <c r="E466" i="49"/>
  <c r="F466" i="49"/>
  <c r="I465" i="49"/>
  <c r="E465" i="49"/>
  <c r="F465" i="49"/>
  <c r="I464" i="49"/>
  <c r="E464" i="49"/>
  <c r="F464" i="49"/>
  <c r="I463" i="49"/>
  <c r="E463" i="49"/>
  <c r="F463" i="49"/>
  <c r="I462" i="49"/>
  <c r="E462" i="49"/>
  <c r="F462" i="49"/>
  <c r="I461" i="49"/>
  <c r="E461" i="49"/>
  <c r="F461" i="49"/>
  <c r="I460" i="49"/>
  <c r="E460" i="49"/>
  <c r="F460" i="49"/>
  <c r="I459" i="49"/>
  <c r="E459" i="49"/>
  <c r="F459" i="49"/>
  <c r="I458" i="49"/>
  <c r="E458" i="49"/>
  <c r="F458" i="49"/>
  <c r="I457" i="49"/>
  <c r="E457" i="49"/>
  <c r="F457" i="49"/>
  <c r="I456" i="49"/>
  <c r="E456" i="49"/>
  <c r="F456" i="49"/>
  <c r="I455" i="49"/>
  <c r="E455" i="49"/>
  <c r="F455" i="49"/>
  <c r="I454" i="49"/>
  <c r="E454" i="49"/>
  <c r="F454" i="49"/>
  <c r="I453" i="49"/>
  <c r="E453" i="49"/>
  <c r="F453" i="49"/>
  <c r="I452" i="49"/>
  <c r="E452" i="49"/>
  <c r="F452" i="49"/>
  <c r="J452" i="49"/>
  <c r="K450" i="49"/>
  <c r="J450" i="49"/>
  <c r="I450" i="49"/>
  <c r="H450" i="49"/>
  <c r="F450" i="49"/>
  <c r="E450" i="49"/>
  <c r="D450" i="49"/>
  <c r="K449" i="49"/>
  <c r="J449" i="49"/>
  <c r="I449" i="49"/>
  <c r="H449" i="49"/>
  <c r="F449" i="49"/>
  <c r="E449" i="49"/>
  <c r="D449" i="49"/>
  <c r="J453" i="49"/>
  <c r="J454" i="49"/>
  <c r="J455" i="49"/>
  <c r="J456" i="49"/>
  <c r="J457" i="49"/>
  <c r="J458" i="49"/>
  <c r="J459" i="49"/>
  <c r="J460" i="49"/>
  <c r="J461" i="49"/>
  <c r="J462" i="49"/>
  <c r="J463" i="49"/>
  <c r="J464" i="49"/>
  <c r="J465" i="49"/>
  <c r="J466" i="49"/>
  <c r="J467" i="49"/>
  <c r="J468" i="49"/>
  <c r="J469" i="49"/>
  <c r="J470" i="49"/>
  <c r="J471" i="49"/>
  <c r="J472" i="49"/>
  <c r="J473" i="49"/>
  <c r="J474" i="49"/>
  <c r="J475" i="49"/>
  <c r="K476" i="49"/>
  <c r="I46" i="49"/>
  <c r="F36" i="11"/>
  <c r="D74" i="49"/>
  <c r="L147" i="61"/>
  <c r="L80" i="61"/>
  <c r="G77" i="48"/>
  <c r="H77" i="48"/>
  <c r="I77" i="48"/>
  <c r="J77" i="48"/>
  <c r="J14" i="48"/>
  <c r="G78" i="48"/>
  <c r="G79" i="48"/>
  <c r="H79" i="48"/>
  <c r="H16" i="48"/>
  <c r="G80" i="48"/>
  <c r="G81" i="48"/>
  <c r="H81" i="48"/>
  <c r="I81" i="48"/>
  <c r="J81" i="48"/>
  <c r="J18" i="48"/>
  <c r="G82" i="48"/>
  <c r="H82" i="48"/>
  <c r="I82" i="48"/>
  <c r="J82" i="48"/>
  <c r="J19" i="48"/>
  <c r="G83" i="48"/>
  <c r="G84" i="48"/>
  <c r="H84" i="48"/>
  <c r="I84" i="48"/>
  <c r="J84" i="48"/>
  <c r="J21" i="48"/>
  <c r="G85" i="48"/>
  <c r="H85" i="48"/>
  <c r="I85" i="48"/>
  <c r="J85" i="48"/>
  <c r="J22" i="48"/>
  <c r="G86" i="48"/>
  <c r="G87" i="48"/>
  <c r="G88" i="48"/>
  <c r="H88" i="48"/>
  <c r="G89" i="48"/>
  <c r="H89" i="48"/>
  <c r="H26" i="48"/>
  <c r="G90" i="48"/>
  <c r="H90" i="48"/>
  <c r="I90" i="48"/>
  <c r="J90" i="48"/>
  <c r="J27" i="48"/>
  <c r="G91" i="48"/>
  <c r="G92" i="48"/>
  <c r="H92" i="48"/>
  <c r="I92" i="48"/>
  <c r="J92" i="48"/>
  <c r="J29" i="48"/>
  <c r="G93" i="48"/>
  <c r="H93" i="48"/>
  <c r="I93" i="48"/>
  <c r="J93" i="48"/>
  <c r="J30" i="48"/>
  <c r="G94" i="48"/>
  <c r="H94" i="48"/>
  <c r="H31" i="48"/>
  <c r="G95" i="48"/>
  <c r="G96" i="48"/>
  <c r="H96" i="48"/>
  <c r="G97" i="48"/>
  <c r="H97" i="48"/>
  <c r="I97" i="48"/>
  <c r="J97" i="48"/>
  <c r="J34" i="48"/>
  <c r="G98" i="48"/>
  <c r="H98" i="48"/>
  <c r="I98" i="48"/>
  <c r="J98" i="48"/>
  <c r="J35" i="48"/>
  <c r="G99" i="48"/>
  <c r="H80" i="48"/>
  <c r="I80" i="48"/>
  <c r="J80" i="48"/>
  <c r="J17" i="48"/>
  <c r="H83" i="48"/>
  <c r="I83" i="48"/>
  <c r="J83" i="48"/>
  <c r="J20" i="48"/>
  <c r="H91" i="48"/>
  <c r="I91" i="48"/>
  <c r="H99" i="48"/>
  <c r="I99" i="48"/>
  <c r="H29" i="48"/>
  <c r="H21" i="48"/>
  <c r="I22" i="48"/>
  <c r="H20" i="48"/>
  <c r="I30" i="48"/>
  <c r="I14" i="48"/>
  <c r="I96" i="48"/>
  <c r="H33" i="48"/>
  <c r="J91" i="48"/>
  <c r="J28" i="48"/>
  <c r="I28" i="48"/>
  <c r="I88" i="48"/>
  <c r="H25" i="48"/>
  <c r="J99" i="48"/>
  <c r="J36" i="48"/>
  <c r="I36" i="48"/>
  <c r="I17" i="48"/>
  <c r="H30" i="48"/>
  <c r="H22" i="48"/>
  <c r="H14" i="48"/>
  <c r="I29" i="48"/>
  <c r="H36" i="48"/>
  <c r="I20" i="48"/>
  <c r="H35" i="48"/>
  <c r="H27" i="48"/>
  <c r="H19" i="48"/>
  <c r="I21" i="48"/>
  <c r="H28" i="48"/>
  <c r="I35" i="48"/>
  <c r="I27" i="48"/>
  <c r="I19" i="48"/>
  <c r="H34" i="48"/>
  <c r="H18" i="48"/>
  <c r="I34" i="48"/>
  <c r="I18" i="48"/>
  <c r="H17" i="48"/>
  <c r="H95" i="48"/>
  <c r="H32" i="48"/>
  <c r="H86" i="48"/>
  <c r="H23" i="48"/>
  <c r="H78" i="48"/>
  <c r="I79" i="48"/>
  <c r="H87" i="48"/>
  <c r="H24" i="48"/>
  <c r="I94" i="48"/>
  <c r="I89" i="48"/>
  <c r="I86" i="48"/>
  <c r="J86" i="48"/>
  <c r="J23" i="48"/>
  <c r="I23" i="48"/>
  <c r="J88" i="48"/>
  <c r="J25" i="48"/>
  <c r="I25" i="48"/>
  <c r="J94" i="48"/>
  <c r="J31" i="48"/>
  <c r="I31" i="48"/>
  <c r="J79" i="48"/>
  <c r="J16" i="48"/>
  <c r="I16" i="48"/>
  <c r="I87" i="48"/>
  <c r="I78" i="48"/>
  <c r="H15" i="48"/>
  <c r="J89" i="48"/>
  <c r="J26" i="48"/>
  <c r="I26" i="48"/>
  <c r="I95" i="48"/>
  <c r="J96" i="48"/>
  <c r="J33" i="48"/>
  <c r="I33" i="48"/>
  <c r="J95" i="48"/>
  <c r="J32" i="48"/>
  <c r="I32" i="48"/>
  <c r="J78" i="48"/>
  <c r="J15" i="48"/>
  <c r="I15" i="48"/>
  <c r="J87" i="48"/>
  <c r="J24" i="48"/>
  <c r="I24" i="48"/>
  <c r="M76" i="48"/>
  <c r="H46" i="49"/>
  <c r="N170" i="61"/>
  <c r="N171" i="61"/>
  <c r="N172" i="61"/>
  <c r="F25" i="65"/>
  <c r="H24" i="65"/>
  <c r="J24" i="65"/>
  <c r="L24" i="65"/>
  <c r="N30" i="61"/>
  <c r="J30" i="61"/>
  <c r="M30" i="61"/>
  <c r="G30" i="61"/>
  <c r="I30" i="61"/>
  <c r="L217" i="61"/>
  <c r="E217" i="61"/>
  <c r="J172" i="61"/>
  <c r="M172" i="61"/>
  <c r="G172" i="61"/>
  <c r="I172" i="61"/>
  <c r="J171" i="61"/>
  <c r="M171" i="61"/>
  <c r="G171" i="61"/>
  <c r="I171" i="61"/>
  <c r="J170" i="61"/>
  <c r="M170" i="61"/>
  <c r="G170" i="61"/>
  <c r="I170" i="61"/>
  <c r="J75" i="61"/>
  <c r="G75" i="61"/>
  <c r="I75" i="61"/>
  <c r="N143" i="61"/>
  <c r="N142" i="61"/>
  <c r="N141" i="61"/>
  <c r="N140" i="61"/>
  <c r="J143" i="61"/>
  <c r="M143" i="61"/>
  <c r="G143" i="61"/>
  <c r="I143" i="61"/>
  <c r="J142" i="61"/>
  <c r="M142" i="61"/>
  <c r="G142" i="61"/>
  <c r="I142" i="61"/>
  <c r="J141" i="61"/>
  <c r="M141" i="61"/>
  <c r="G141" i="61"/>
  <c r="I141" i="61"/>
  <c r="J140" i="61"/>
  <c r="M140" i="61"/>
  <c r="G140" i="61"/>
  <c r="I140" i="61"/>
  <c r="N75" i="61"/>
  <c r="M75" i="61"/>
  <c r="N74" i="61"/>
  <c r="J74" i="61"/>
  <c r="M74" i="61"/>
  <c r="G74" i="61"/>
  <c r="I74" i="61"/>
  <c r="N29" i="61"/>
  <c r="N28" i="61"/>
  <c r="G27" i="61"/>
  <c r="J29" i="61"/>
  <c r="M29" i="61"/>
  <c r="G29" i="61"/>
  <c r="I29" i="61"/>
  <c r="J28" i="61"/>
  <c r="M28" i="61"/>
  <c r="G28" i="61"/>
  <c r="I28" i="61"/>
  <c r="N205" i="61"/>
  <c r="N204" i="61"/>
  <c r="G204" i="61"/>
  <c r="I204" i="61"/>
  <c r="J204" i="61"/>
  <c r="M204" i="61"/>
  <c r="G205" i="61"/>
  <c r="I205" i="61"/>
  <c r="J205" i="61"/>
  <c r="M205" i="61"/>
  <c r="E41" i="30"/>
  <c r="F68" i="15"/>
  <c r="G68" i="15"/>
  <c r="H68" i="15"/>
  <c r="D68" i="15"/>
  <c r="D120" i="15"/>
  <c r="H342" i="11"/>
  <c r="G342" i="11"/>
  <c r="H341" i="11"/>
  <c r="G341" i="11"/>
  <c r="H340" i="11"/>
  <c r="G340" i="11"/>
  <c r="H339" i="11"/>
  <c r="G339" i="11"/>
  <c r="H338" i="11"/>
  <c r="G338" i="11"/>
  <c r="H337" i="11"/>
  <c r="G337" i="11"/>
  <c r="H336" i="11"/>
  <c r="G336" i="11"/>
  <c r="H335" i="11"/>
  <c r="G335" i="11"/>
  <c r="H334" i="11"/>
  <c r="G334" i="11"/>
  <c r="H333" i="11"/>
  <c r="G333" i="11"/>
  <c r="H332" i="11"/>
  <c r="G332" i="11"/>
  <c r="H331" i="11"/>
  <c r="G331" i="11"/>
  <c r="H330" i="11"/>
  <c r="G330" i="11"/>
  <c r="H78" i="49"/>
  <c r="G78" i="49"/>
  <c r="D78" i="49"/>
  <c r="H77" i="49"/>
  <c r="G77" i="49"/>
  <c r="D77" i="49"/>
  <c r="H76" i="49"/>
  <c r="G76" i="49"/>
  <c r="D76" i="49"/>
  <c r="H75" i="49"/>
  <c r="G75" i="49"/>
  <c r="D75" i="49"/>
  <c r="H74" i="49"/>
  <c r="G74" i="49"/>
  <c r="H73" i="49"/>
  <c r="G73" i="49"/>
  <c r="D73" i="49"/>
  <c r="H72" i="49"/>
  <c r="G72" i="49"/>
  <c r="D72" i="49"/>
  <c r="H71" i="49"/>
  <c r="G71" i="49"/>
  <c r="D71" i="49"/>
  <c r="H70" i="49"/>
  <c r="G70" i="49"/>
  <c r="D70" i="49"/>
  <c r="H69" i="49"/>
  <c r="G69" i="49"/>
  <c r="D69" i="49"/>
  <c r="H68" i="49"/>
  <c r="G68" i="49"/>
  <c r="D68" i="49"/>
  <c r="H67" i="49"/>
  <c r="G67" i="49"/>
  <c r="D67" i="49"/>
  <c r="H66" i="49"/>
  <c r="G66" i="49"/>
  <c r="D66" i="49"/>
  <c r="H65" i="49"/>
  <c r="G65" i="49"/>
  <c r="D65" i="49"/>
  <c r="H64" i="49"/>
  <c r="G64" i="49"/>
  <c r="D64" i="49"/>
  <c r="H63" i="49"/>
  <c r="G63" i="49"/>
  <c r="D63" i="49"/>
  <c r="H62" i="49"/>
  <c r="G62" i="49"/>
  <c r="D62" i="49"/>
  <c r="H61" i="49"/>
  <c r="G61" i="49"/>
  <c r="D61" i="49"/>
  <c r="H60" i="49"/>
  <c r="G60" i="49"/>
  <c r="D60" i="49"/>
  <c r="H59" i="49"/>
  <c r="G59" i="49"/>
  <c r="D59" i="49"/>
  <c r="H58" i="49"/>
  <c r="G58" i="49"/>
  <c r="D58" i="49"/>
  <c r="H57" i="49"/>
  <c r="G57" i="49"/>
  <c r="D57" i="49"/>
  <c r="H56" i="49"/>
  <c r="G56" i="49"/>
  <c r="D56" i="49"/>
  <c r="H55" i="49"/>
  <c r="G55" i="49"/>
  <c r="D55" i="49"/>
  <c r="H47" i="83"/>
  <c r="H46" i="83"/>
  <c r="H45" i="83"/>
  <c r="H44" i="83"/>
  <c r="H43" i="83"/>
  <c r="H42" i="83"/>
  <c r="H41" i="83"/>
  <c r="H40" i="83"/>
  <c r="H39" i="83"/>
  <c r="H38" i="83"/>
  <c r="H37" i="83"/>
  <c r="H36" i="83"/>
  <c r="H35" i="83"/>
  <c r="H34" i="83"/>
  <c r="E49" i="83"/>
  <c r="D49" i="83"/>
  <c r="F47" i="83"/>
  <c r="G47" i="83"/>
  <c r="I47" i="83"/>
  <c r="K44" i="84"/>
  <c r="F46" i="83"/>
  <c r="G46" i="83"/>
  <c r="I46" i="83"/>
  <c r="K43" i="84"/>
  <c r="F45" i="83"/>
  <c r="G45" i="83"/>
  <c r="I45" i="83"/>
  <c r="K42" i="84"/>
  <c r="M42" i="84"/>
  <c r="F44" i="83"/>
  <c r="G44" i="83"/>
  <c r="I44" i="83"/>
  <c r="K41" i="84"/>
  <c r="G43" i="83"/>
  <c r="I43" i="83"/>
  <c r="K40" i="84"/>
  <c r="F43" i="83"/>
  <c r="F42" i="83"/>
  <c r="G42" i="83"/>
  <c r="I42" i="83"/>
  <c r="K39" i="84"/>
  <c r="F41" i="83"/>
  <c r="G41" i="83"/>
  <c r="I41" i="83"/>
  <c r="K38" i="84"/>
  <c r="F40" i="83"/>
  <c r="G40" i="83"/>
  <c r="I40" i="83"/>
  <c r="K37" i="84"/>
  <c r="F39" i="83"/>
  <c r="G39" i="83"/>
  <c r="I39" i="83"/>
  <c r="K36" i="84"/>
  <c r="F38" i="83"/>
  <c r="G38" i="83"/>
  <c r="I38" i="83"/>
  <c r="K35" i="84"/>
  <c r="F37" i="83"/>
  <c r="G37" i="83"/>
  <c r="I37" i="83"/>
  <c r="K34" i="84"/>
  <c r="F36" i="83"/>
  <c r="G36" i="83"/>
  <c r="I36" i="83"/>
  <c r="K33" i="84"/>
  <c r="F35" i="83"/>
  <c r="G35" i="83"/>
  <c r="I35" i="83"/>
  <c r="K32" i="84"/>
  <c r="H49" i="83"/>
  <c r="G34" i="83"/>
  <c r="F34" i="83"/>
  <c r="A34" i="83"/>
  <c r="A35" i="83"/>
  <c r="A36" i="83"/>
  <c r="A37" i="83"/>
  <c r="A38" i="83"/>
  <c r="A39" i="83"/>
  <c r="A40" i="83"/>
  <c r="A41" i="83"/>
  <c r="A42" i="83"/>
  <c r="A43" i="83"/>
  <c r="A44" i="83"/>
  <c r="A45" i="83"/>
  <c r="A46" i="83"/>
  <c r="A47" i="83"/>
  <c r="A48" i="83"/>
  <c r="G29" i="83"/>
  <c r="F29" i="83"/>
  <c r="E27" i="83"/>
  <c r="E31" i="83"/>
  <c r="E51" i="83"/>
  <c r="D27" i="83"/>
  <c r="D31" i="83"/>
  <c r="D51" i="83"/>
  <c r="G25" i="83"/>
  <c r="F25" i="83"/>
  <c r="G24" i="83"/>
  <c r="F24" i="83"/>
  <c r="G23" i="83"/>
  <c r="F23" i="83"/>
  <c r="F22" i="83"/>
  <c r="G22" i="83"/>
  <c r="G21" i="83"/>
  <c r="F21" i="83"/>
  <c r="F20" i="83"/>
  <c r="A20" i="83"/>
  <c r="A21" i="83"/>
  <c r="A22" i="83"/>
  <c r="A23" i="83"/>
  <c r="A24" i="83"/>
  <c r="A25" i="83"/>
  <c r="A26" i="83"/>
  <c r="E17" i="83"/>
  <c r="D17" i="83"/>
  <c r="F15" i="83"/>
  <c r="G15" i="83"/>
  <c r="G14" i="83"/>
  <c r="F14" i="83"/>
  <c r="F13" i="83"/>
  <c r="G13" i="83"/>
  <c r="F12" i="83"/>
  <c r="G12" i="83"/>
  <c r="A12" i="83"/>
  <c r="A13" i="83"/>
  <c r="A14" i="83"/>
  <c r="A15" i="83"/>
  <c r="A16" i="83"/>
  <c r="I46" i="84"/>
  <c r="H46" i="84"/>
  <c r="G46" i="84"/>
  <c r="F46" i="84"/>
  <c r="E46" i="84"/>
  <c r="D46" i="84"/>
  <c r="J45" i="84"/>
  <c r="J44" i="84"/>
  <c r="M44" i="84"/>
  <c r="L43" i="84"/>
  <c r="J43" i="84"/>
  <c r="M43" i="84"/>
  <c r="J42" i="84"/>
  <c r="J41" i="84"/>
  <c r="J40" i="84"/>
  <c r="M40" i="84"/>
  <c r="J39" i="84"/>
  <c r="L38" i="84"/>
  <c r="J38" i="84"/>
  <c r="M38" i="84"/>
  <c r="J37" i="84"/>
  <c r="M37" i="84"/>
  <c r="J36" i="84"/>
  <c r="J35" i="84"/>
  <c r="M34" i="84"/>
  <c r="L34" i="84"/>
  <c r="J34" i="84"/>
  <c r="J33" i="84"/>
  <c r="J32" i="84"/>
  <c r="J31" i="84"/>
  <c r="A31" i="84"/>
  <c r="A32" i="84"/>
  <c r="A33" i="84"/>
  <c r="A34" i="84"/>
  <c r="A35" i="84"/>
  <c r="A36" i="84"/>
  <c r="A37" i="84"/>
  <c r="A38" i="84"/>
  <c r="A39" i="84"/>
  <c r="A40" i="84"/>
  <c r="A41" i="84"/>
  <c r="A42" i="84"/>
  <c r="A43" i="84"/>
  <c r="A44" i="84"/>
  <c r="A45" i="84"/>
  <c r="J26" i="84"/>
  <c r="H29" i="83"/>
  <c r="I24" i="84"/>
  <c r="H24" i="84"/>
  <c r="G24" i="84"/>
  <c r="F24" i="84"/>
  <c r="E24" i="84"/>
  <c r="D24" i="84"/>
  <c r="J23" i="84"/>
  <c r="J22" i="84"/>
  <c r="H25" i="83"/>
  <c r="J21" i="84"/>
  <c r="H24" i="83"/>
  <c r="J20" i="84"/>
  <c r="J19" i="84"/>
  <c r="H22" i="83"/>
  <c r="J18" i="84"/>
  <c r="H21" i="83"/>
  <c r="J17" i="84"/>
  <c r="H20" i="83"/>
  <c r="A17" i="84"/>
  <c r="A18" i="84"/>
  <c r="A19" i="84"/>
  <c r="A20" i="84"/>
  <c r="A21" i="84"/>
  <c r="A22" i="84"/>
  <c r="A23" i="84"/>
  <c r="I14" i="84"/>
  <c r="H14" i="84"/>
  <c r="G14" i="84"/>
  <c r="F14" i="84"/>
  <c r="F28" i="84"/>
  <c r="F48" i="84"/>
  <c r="E14" i="84"/>
  <c r="D14" i="84"/>
  <c r="J13" i="84"/>
  <c r="J12" i="84"/>
  <c r="H15" i="83"/>
  <c r="J11" i="84"/>
  <c r="H14" i="83"/>
  <c r="J10" i="84"/>
  <c r="H13" i="83"/>
  <c r="J9" i="84"/>
  <c r="H12" i="83"/>
  <c r="A9" i="84"/>
  <c r="A10" i="84"/>
  <c r="A11" i="84"/>
  <c r="A12" i="84"/>
  <c r="A13" i="84"/>
  <c r="H17" i="83"/>
  <c r="M35" i="84"/>
  <c r="L42" i="84"/>
  <c r="I22" i="83"/>
  <c r="K19" i="84"/>
  <c r="I24" i="83"/>
  <c r="K21" i="84"/>
  <c r="I15" i="83"/>
  <c r="K12" i="84"/>
  <c r="M12" i="84"/>
  <c r="I29" i="83"/>
  <c r="K26" i="84"/>
  <c r="H23" i="83"/>
  <c r="H27" i="83"/>
  <c r="H31" i="83"/>
  <c r="H51" i="83"/>
  <c r="I21" i="83"/>
  <c r="K18" i="84"/>
  <c r="M18" i="84"/>
  <c r="I25" i="83"/>
  <c r="K22" i="84"/>
  <c r="L22" i="84"/>
  <c r="I13" i="83"/>
  <c r="K10" i="84"/>
  <c r="D28" i="84"/>
  <c r="D48" i="84"/>
  <c r="I12" i="83"/>
  <c r="K9" i="84"/>
  <c r="M9" i="84"/>
  <c r="I14" i="83"/>
  <c r="K11" i="84"/>
  <c r="L11" i="84"/>
  <c r="M26" i="84"/>
  <c r="M39" i="84"/>
  <c r="M36" i="84"/>
  <c r="J46" i="84"/>
  <c r="M41" i="84"/>
  <c r="L39" i="84"/>
  <c r="M19" i="84"/>
  <c r="M32" i="84"/>
  <c r="L37" i="84"/>
  <c r="F27" i="83"/>
  <c r="F17" i="83"/>
  <c r="M33" i="84"/>
  <c r="F49" i="83"/>
  <c r="E28" i="84"/>
  <c r="E48" i="84"/>
  <c r="M10" i="84"/>
  <c r="J24" i="84"/>
  <c r="H28" i="84"/>
  <c r="H48" i="84"/>
  <c r="I28" i="84"/>
  <c r="I48" i="84"/>
  <c r="J14" i="84"/>
  <c r="L10" i="84"/>
  <c r="G28" i="84"/>
  <c r="G48" i="84"/>
  <c r="G49" i="83"/>
  <c r="G17" i="83"/>
  <c r="L26" i="84"/>
  <c r="L36" i="84"/>
  <c r="L44" i="84"/>
  <c r="G20" i="83"/>
  <c r="L19" i="84"/>
  <c r="L33" i="84"/>
  <c r="L41" i="84"/>
  <c r="I34" i="83"/>
  <c r="L35" i="84"/>
  <c r="L32" i="84"/>
  <c r="L40" i="84"/>
  <c r="L12" i="84"/>
  <c r="M22" i="84"/>
  <c r="M21" i="84"/>
  <c r="L21" i="84"/>
  <c r="L18" i="84"/>
  <c r="E49" i="84"/>
  <c r="I23" i="83"/>
  <c r="K20" i="84"/>
  <c r="L9" i="84"/>
  <c r="M11" i="84"/>
  <c r="K14" i="84"/>
  <c r="I17" i="83"/>
  <c r="I49" i="84"/>
  <c r="K107" i="1"/>
  <c r="F31" i="83"/>
  <c r="F51" i="83"/>
  <c r="J28" i="84"/>
  <c r="J48" i="84"/>
  <c r="M14" i="84"/>
  <c r="L14" i="84"/>
  <c r="I49" i="83"/>
  <c r="K31" i="84"/>
  <c r="I20" i="83"/>
  <c r="G27" i="83"/>
  <c r="G31" i="83"/>
  <c r="G51" i="83"/>
  <c r="L20" i="84"/>
  <c r="M20" i="84"/>
  <c r="L31" i="84"/>
  <c r="L46" i="84"/>
  <c r="K46" i="84"/>
  <c r="M31" i="84"/>
  <c r="M46" i="84"/>
  <c r="I27" i="83"/>
  <c r="I31" i="83"/>
  <c r="I51" i="83"/>
  <c r="K17" i="84"/>
  <c r="L17" i="84"/>
  <c r="L24" i="84"/>
  <c r="L28" i="84"/>
  <c r="L48" i="84"/>
  <c r="K24" i="84"/>
  <c r="K28" i="84"/>
  <c r="K48" i="84"/>
  <c r="M17" i="84"/>
  <c r="M24" i="84"/>
  <c r="M28" i="84"/>
  <c r="M48" i="84"/>
  <c r="M49" i="84"/>
  <c r="I82" i="65"/>
  <c r="I81" i="65"/>
  <c r="I80" i="65"/>
  <c r="I79" i="65"/>
  <c r="I78" i="65"/>
  <c r="I77" i="65"/>
  <c r="D32" i="57"/>
  <c r="E17" i="57"/>
  <c r="D17" i="57"/>
  <c r="C17" i="57"/>
  <c r="E16" i="57"/>
  <c r="C16" i="57"/>
  <c r="D16" i="57"/>
  <c r="E15" i="57"/>
  <c r="D15" i="57"/>
  <c r="D18" i="57"/>
  <c r="C15" i="57"/>
  <c r="E11" i="57"/>
  <c r="D11" i="57"/>
  <c r="E10" i="57"/>
  <c r="E12" i="57"/>
  <c r="D10" i="57"/>
  <c r="D12" i="57"/>
  <c r="C18" i="57"/>
  <c r="E18" i="57"/>
  <c r="C10" i="57"/>
  <c r="C12" i="57"/>
  <c r="C20" i="57"/>
  <c r="C11" i="57"/>
  <c r="D20" i="57"/>
  <c r="E20" i="57"/>
  <c r="E42" i="30"/>
  <c r="D22" i="30"/>
  <c r="E37" i="4"/>
  <c r="D37" i="4"/>
  <c r="C37" i="4"/>
  <c r="M82" i="4"/>
  <c r="M85" i="4"/>
  <c r="M84" i="4"/>
  <c r="M83" i="4"/>
  <c r="M81" i="4"/>
  <c r="M80" i="4"/>
  <c r="M79" i="4"/>
  <c r="M78" i="4"/>
  <c r="M77" i="4"/>
  <c r="M76" i="4"/>
  <c r="M75" i="4"/>
  <c r="M74" i="4"/>
  <c r="E104" i="4"/>
  <c r="E103" i="4"/>
  <c r="E102" i="4"/>
  <c r="E101" i="4"/>
  <c r="E100" i="4"/>
  <c r="E99" i="4"/>
  <c r="E97" i="4"/>
  <c r="E96" i="4"/>
  <c r="E95" i="4"/>
  <c r="E94" i="4"/>
  <c r="E93" i="4"/>
  <c r="L103" i="4"/>
  <c r="L102" i="4"/>
  <c r="L101" i="4"/>
  <c r="L100" i="4"/>
  <c r="L99" i="4"/>
  <c r="L98" i="4"/>
  <c r="L97" i="4"/>
  <c r="L96" i="4"/>
  <c r="L95" i="4"/>
  <c r="L94" i="4"/>
  <c r="L93" i="4"/>
  <c r="K98" i="4"/>
  <c r="K103" i="4"/>
  <c r="K102" i="4"/>
  <c r="K101" i="4"/>
  <c r="K100" i="4"/>
  <c r="K99" i="4"/>
  <c r="K97" i="4"/>
  <c r="K96" i="4"/>
  <c r="K95" i="4"/>
  <c r="K94" i="4"/>
  <c r="K93" i="4"/>
  <c r="J103" i="4"/>
  <c r="J102" i="4"/>
  <c r="J101" i="4"/>
  <c r="J100" i="4"/>
  <c r="J99" i="4"/>
  <c r="J98" i="4"/>
  <c r="J96" i="4"/>
  <c r="J95" i="4"/>
  <c r="J94" i="4"/>
  <c r="J93" i="4"/>
  <c r="I103" i="4"/>
  <c r="I102" i="4"/>
  <c r="I101" i="4"/>
  <c r="I100" i="4"/>
  <c r="I99" i="4"/>
  <c r="I98" i="4"/>
  <c r="I97" i="4"/>
  <c r="I96" i="4"/>
  <c r="I95" i="4"/>
  <c r="I94" i="4"/>
  <c r="I93" i="4"/>
  <c r="H103" i="4"/>
  <c r="H102" i="4"/>
  <c r="H99" i="4"/>
  <c r="H101" i="4"/>
  <c r="H100" i="4"/>
  <c r="H98" i="4"/>
  <c r="H97" i="4"/>
  <c r="H96" i="4"/>
  <c r="H95" i="4"/>
  <c r="H94" i="4"/>
  <c r="H93" i="4"/>
  <c r="G97" i="4"/>
  <c r="G101" i="4"/>
  <c r="G103" i="4"/>
  <c r="G102" i="4"/>
  <c r="G100" i="4"/>
  <c r="G99" i="4"/>
  <c r="G98" i="4"/>
  <c r="G96" i="4"/>
  <c r="G95" i="4"/>
  <c r="G94" i="4"/>
  <c r="G93" i="4"/>
  <c r="F103" i="4"/>
  <c r="F102" i="4"/>
  <c r="F101" i="4"/>
  <c r="F100" i="4"/>
  <c r="F99" i="4"/>
  <c r="F98" i="4"/>
  <c r="F97" i="4"/>
  <c r="F96" i="4"/>
  <c r="F95" i="4"/>
  <c r="F94" i="4"/>
  <c r="F93" i="4"/>
  <c r="E98" i="4"/>
  <c r="D104" i="4"/>
  <c r="D103" i="4"/>
  <c r="D102" i="4"/>
  <c r="D101" i="4"/>
  <c r="D100" i="4"/>
  <c r="D99" i="4"/>
  <c r="D98" i="4"/>
  <c r="D97" i="4"/>
  <c r="D96" i="4"/>
  <c r="D95" i="4"/>
  <c r="D94" i="4"/>
  <c r="D93" i="4"/>
  <c r="C97" i="4"/>
  <c r="C101" i="4"/>
  <c r="C104" i="4"/>
  <c r="C103" i="4"/>
  <c r="C102" i="4"/>
  <c r="C100" i="4"/>
  <c r="C99" i="4"/>
  <c r="C98" i="4"/>
  <c r="C96" i="4"/>
  <c r="C95" i="4"/>
  <c r="C94" i="4"/>
  <c r="C93" i="4"/>
  <c r="L142" i="4"/>
  <c r="L141" i="4"/>
  <c r="L140" i="4"/>
  <c r="L139" i="4"/>
  <c r="L138" i="4"/>
  <c r="L137" i="4"/>
  <c r="L136" i="4"/>
  <c r="L135" i="4"/>
  <c r="L134" i="4"/>
  <c r="L133" i="4"/>
  <c r="L132" i="4"/>
  <c r="L131" i="4"/>
  <c r="K142" i="4"/>
  <c r="K141" i="4"/>
  <c r="K140" i="4"/>
  <c r="K139" i="4"/>
  <c r="K138" i="4"/>
  <c r="K137" i="4"/>
  <c r="K136" i="4"/>
  <c r="K135" i="4"/>
  <c r="K134" i="4"/>
  <c r="K133" i="4"/>
  <c r="K132" i="4"/>
  <c r="K131" i="4"/>
  <c r="J139" i="4"/>
  <c r="J142" i="4"/>
  <c r="J141" i="4"/>
  <c r="J140" i="4"/>
  <c r="J138" i="4"/>
  <c r="J137" i="4"/>
  <c r="J136" i="4"/>
  <c r="J135" i="4"/>
  <c r="J134" i="4"/>
  <c r="J133" i="4"/>
  <c r="J132" i="4"/>
  <c r="J131" i="4"/>
  <c r="I142" i="4"/>
  <c r="I141" i="4"/>
  <c r="I140" i="4"/>
  <c r="I139" i="4"/>
  <c r="I138" i="4"/>
  <c r="I137" i="4"/>
  <c r="I136" i="4"/>
  <c r="I135" i="4"/>
  <c r="I134" i="4"/>
  <c r="I133" i="4"/>
  <c r="I132" i="4"/>
  <c r="I131" i="4"/>
  <c r="I143" i="4"/>
  <c r="H142" i="4"/>
  <c r="H141" i="4"/>
  <c r="H140" i="4"/>
  <c r="H139" i="4"/>
  <c r="H138" i="4"/>
  <c r="H137" i="4"/>
  <c r="H136" i="4"/>
  <c r="H135" i="4"/>
  <c r="H134" i="4"/>
  <c r="H133" i="4"/>
  <c r="H132" i="4"/>
  <c r="H131" i="4"/>
  <c r="G141" i="4"/>
  <c r="G142" i="4"/>
  <c r="G140" i="4"/>
  <c r="G139" i="4"/>
  <c r="G138" i="4"/>
  <c r="G137" i="4"/>
  <c r="G136" i="4"/>
  <c r="G135" i="4"/>
  <c r="G134" i="4"/>
  <c r="G133" i="4"/>
  <c r="G132" i="4"/>
  <c r="G131" i="4"/>
  <c r="G143" i="4"/>
  <c r="D138" i="4"/>
  <c r="D142" i="4"/>
  <c r="E141" i="4"/>
  <c r="E142" i="4"/>
  <c r="E140" i="4"/>
  <c r="E139" i="4"/>
  <c r="E138" i="4"/>
  <c r="E137" i="4"/>
  <c r="E136" i="4"/>
  <c r="E135" i="4"/>
  <c r="E134" i="4"/>
  <c r="F138" i="4"/>
  <c r="F142" i="4"/>
  <c r="F141" i="4"/>
  <c r="F140" i="4"/>
  <c r="F139" i="4"/>
  <c r="F137" i="4"/>
  <c r="F136" i="4"/>
  <c r="F135" i="4"/>
  <c r="F134" i="4"/>
  <c r="F133" i="4"/>
  <c r="F132" i="4"/>
  <c r="F131" i="4"/>
  <c r="E133" i="4"/>
  <c r="E132" i="4"/>
  <c r="E131" i="4"/>
  <c r="D136" i="4"/>
  <c r="D141" i="4"/>
  <c r="D140" i="4"/>
  <c r="D139" i="4"/>
  <c r="D137" i="4"/>
  <c r="D135" i="4"/>
  <c r="D134" i="4"/>
  <c r="D133" i="4"/>
  <c r="D132" i="4"/>
  <c r="D131" i="4"/>
  <c r="C135" i="4"/>
  <c r="C140" i="4"/>
  <c r="C142" i="4"/>
  <c r="C141" i="4"/>
  <c r="M141" i="4"/>
  <c r="C139" i="4"/>
  <c r="C138" i="4"/>
  <c r="C137" i="4"/>
  <c r="C136" i="4"/>
  <c r="C134" i="4"/>
  <c r="C133" i="4"/>
  <c r="C132" i="4"/>
  <c r="C131" i="4"/>
  <c r="M134" i="4"/>
  <c r="M94" i="4"/>
  <c r="M95" i="4"/>
  <c r="M96" i="4"/>
  <c r="K143" i="4"/>
  <c r="M142" i="4"/>
  <c r="H143" i="4"/>
  <c r="J143" i="4"/>
  <c r="M137" i="4"/>
  <c r="M99" i="4"/>
  <c r="M136" i="4"/>
  <c r="M100" i="4"/>
  <c r="M139" i="4"/>
  <c r="D143" i="4"/>
  <c r="E143" i="4"/>
  <c r="M132" i="4"/>
  <c r="M135" i="4"/>
  <c r="E105" i="4"/>
  <c r="M131" i="4"/>
  <c r="C143" i="4"/>
  <c r="L143" i="4"/>
  <c r="M101" i="4"/>
  <c r="M133" i="4"/>
  <c r="M102" i="4"/>
  <c r="M138" i="4"/>
  <c r="M140" i="4"/>
  <c r="F143" i="4"/>
  <c r="M93" i="4"/>
  <c r="C105" i="4"/>
  <c r="M98" i="4"/>
  <c r="M103" i="4"/>
  <c r="D105" i="4"/>
  <c r="M124" i="4"/>
  <c r="M123" i="4"/>
  <c r="M122" i="4"/>
  <c r="M121" i="4"/>
  <c r="M120" i="4"/>
  <c r="M119" i="4"/>
  <c r="M118" i="4"/>
  <c r="M117" i="4"/>
  <c r="M116" i="4"/>
  <c r="M115" i="4"/>
  <c r="M114" i="4"/>
  <c r="M113" i="4"/>
  <c r="M112" i="4"/>
  <c r="M143" i="4"/>
  <c r="F120" i="15"/>
  <c r="E68" i="15"/>
  <c r="J43" i="82"/>
  <c r="J41" i="82"/>
  <c r="J40" i="82"/>
  <c r="J26" i="82"/>
  <c r="J10" i="82"/>
  <c r="J8" i="82"/>
  <c r="H65" i="72"/>
  <c r="L33" i="82"/>
  <c r="I50" i="72"/>
  <c r="L34" i="82"/>
  <c r="C26" i="72"/>
  <c r="L44" i="82"/>
  <c r="A26" i="72"/>
  <c r="J44" i="82"/>
  <c r="C24" i="72"/>
  <c r="L43" i="82"/>
  <c r="L45" i="82"/>
  <c r="K73" i="1"/>
  <c r="C22" i="72"/>
  <c r="L40" i="82"/>
  <c r="C20" i="72"/>
  <c r="L28" i="82"/>
  <c r="L42" i="82"/>
  <c r="C18" i="72"/>
  <c r="L27" i="82"/>
  <c r="A18" i="72"/>
  <c r="A20" i="72"/>
  <c r="J28" i="82"/>
  <c r="C16" i="72"/>
  <c r="L26" i="82"/>
  <c r="C14" i="72"/>
  <c r="L11" i="82"/>
  <c r="C12" i="72"/>
  <c r="L10" i="82"/>
  <c r="C10" i="72"/>
  <c r="L9" i="82"/>
  <c r="A10" i="72"/>
  <c r="A14" i="72"/>
  <c r="J11" i="82"/>
  <c r="C8" i="72"/>
  <c r="L8" i="82"/>
  <c r="L21" i="82"/>
  <c r="K64" i="1"/>
  <c r="A9" i="82"/>
  <c r="A11" i="82"/>
  <c r="A15" i="82"/>
  <c r="I63" i="1"/>
  <c r="J9" i="82"/>
  <c r="J27" i="82"/>
  <c r="L12" i="82"/>
  <c r="L29" i="82"/>
  <c r="K68" i="1"/>
  <c r="L35" i="82"/>
  <c r="K69" i="1"/>
  <c r="L41" i="82"/>
  <c r="A16" i="82"/>
  <c r="A17" i="82"/>
  <c r="A18" i="82"/>
  <c r="A19" i="82"/>
  <c r="I64" i="1"/>
  <c r="J21" i="82"/>
  <c r="J12" i="82"/>
  <c r="L37" i="82"/>
  <c r="K70" i="1"/>
  <c r="L23" i="82"/>
  <c r="K65" i="1"/>
  <c r="K63" i="1"/>
  <c r="J23" i="82"/>
  <c r="A23" i="82"/>
  <c r="A26" i="82"/>
  <c r="I41" i="82"/>
  <c r="I65" i="1"/>
  <c r="A27" i="82"/>
  <c r="A28" i="82"/>
  <c r="A29" i="82"/>
  <c r="I42" i="82"/>
  <c r="J29" i="82"/>
  <c r="B50" i="82"/>
  <c r="A32" i="82"/>
  <c r="A33" i="82"/>
  <c r="A34" i="82"/>
  <c r="A35" i="82"/>
  <c r="I69" i="1"/>
  <c r="I68" i="1"/>
  <c r="A37" i="82"/>
  <c r="J37" i="82"/>
  <c r="J35" i="82"/>
  <c r="A40" i="82"/>
  <c r="A41" i="82"/>
  <c r="A42" i="82"/>
  <c r="A43" i="82"/>
  <c r="A44" i="82"/>
  <c r="A45" i="82"/>
  <c r="I73" i="1"/>
  <c r="I70" i="1"/>
  <c r="J45" i="82"/>
  <c r="E80" i="61"/>
  <c r="N73" i="61"/>
  <c r="J73" i="61"/>
  <c r="M73" i="61"/>
  <c r="G73" i="61"/>
  <c r="I73" i="61"/>
  <c r="K21" i="46"/>
  <c r="K20" i="46"/>
  <c r="K19" i="46"/>
  <c r="K18" i="46"/>
  <c r="K17" i="46"/>
  <c r="K16" i="46"/>
  <c r="K15" i="46"/>
  <c r="K14" i="46"/>
  <c r="K13" i="46"/>
  <c r="K12" i="46"/>
  <c r="K22" i="46"/>
  <c r="K23" i="46"/>
  <c r="K24" i="46"/>
  <c r="K25" i="46"/>
  <c r="K26" i="46"/>
  <c r="K27" i="46"/>
  <c r="K28" i="46"/>
  <c r="K29" i="46"/>
  <c r="K30" i="46"/>
  <c r="K31" i="46"/>
  <c r="K32" i="46"/>
  <c r="K33" i="46"/>
  <c r="K34" i="46"/>
  <c r="K35" i="46"/>
  <c r="K36" i="46"/>
  <c r="K37" i="46"/>
  <c r="K38" i="46"/>
  <c r="K39" i="46"/>
  <c r="K40" i="46"/>
  <c r="K11" i="46"/>
  <c r="F8" i="42"/>
  <c r="E22" i="30"/>
  <c r="D53" i="2"/>
  <c r="D54" i="2"/>
  <c r="F115" i="46"/>
  <c r="A70" i="15"/>
  <c r="A71" i="15"/>
  <c r="A72" i="15"/>
  <c r="A75" i="15"/>
  <c r="E40" i="56"/>
  <c r="F36" i="56"/>
  <c r="I28" i="53"/>
  <c r="H28" i="53"/>
  <c r="G28" i="53"/>
  <c r="F28" i="53"/>
  <c r="E130" i="53"/>
  <c r="D130" i="53"/>
  <c r="C130" i="53"/>
  <c r="I43" i="46"/>
  <c r="E43" i="46"/>
  <c r="D43" i="46"/>
  <c r="C11" i="46"/>
  <c r="F129" i="15"/>
  <c r="G10" i="2"/>
  <c r="I34" i="44"/>
  <c r="H34" i="44"/>
  <c r="E147" i="61"/>
  <c r="N44" i="61"/>
  <c r="M44" i="61"/>
  <c r="L44" i="61"/>
  <c r="J44" i="61"/>
  <c r="I44" i="61"/>
  <c r="H44" i="61"/>
  <c r="G44" i="61"/>
  <c r="E44" i="61"/>
  <c r="L37" i="61"/>
  <c r="H37" i="61"/>
  <c r="E8" i="61"/>
  <c r="L8" i="61"/>
  <c r="H8" i="61"/>
  <c r="E229" i="61"/>
  <c r="E185" i="61"/>
  <c r="E180" i="61"/>
  <c r="E175" i="61"/>
  <c r="E71" i="26"/>
  <c r="F71" i="26"/>
  <c r="E64" i="26"/>
  <c r="E233" i="61"/>
  <c r="I58" i="46"/>
  <c r="E58" i="46"/>
  <c r="D58" i="46"/>
  <c r="G76" i="48"/>
  <c r="H76" i="48"/>
  <c r="J385" i="49"/>
  <c r="H84" i="64"/>
  <c r="P55" i="48"/>
  <c r="I37" i="79"/>
  <c r="G37" i="79"/>
  <c r="F69" i="22"/>
  <c r="F63" i="22"/>
  <c r="F23" i="22"/>
  <c r="E24" i="54"/>
  <c r="D24" i="54"/>
  <c r="E155" i="49"/>
  <c r="G46" i="49"/>
  <c r="F46" i="49"/>
  <c r="E46" i="49"/>
  <c r="D46" i="49"/>
  <c r="I26" i="49"/>
  <c r="H26" i="49"/>
  <c r="G26" i="49"/>
  <c r="F26" i="49"/>
  <c r="E26" i="49"/>
  <c r="D26" i="49"/>
  <c r="F35" i="21"/>
  <c r="E35" i="21"/>
  <c r="D35" i="21"/>
  <c r="G34" i="21"/>
  <c r="G33" i="21"/>
  <c r="N24" i="21"/>
  <c r="N12" i="21"/>
  <c r="E42" i="56"/>
  <c r="C40" i="56"/>
  <c r="C42" i="56"/>
  <c r="E26" i="56"/>
  <c r="E12" i="56"/>
  <c r="E17" i="56"/>
  <c r="C26" i="56"/>
  <c r="C12" i="56"/>
  <c r="C17" i="56"/>
  <c r="D66" i="65"/>
  <c r="G35" i="21"/>
  <c r="E28" i="56"/>
  <c r="C28" i="56"/>
  <c r="K110" i="1"/>
  <c r="K44" i="1"/>
  <c r="K52" i="1"/>
  <c r="B45" i="53"/>
  <c r="G157" i="15"/>
  <c r="G158" i="15"/>
  <c r="G149" i="15"/>
  <c r="G150" i="15"/>
  <c r="H129" i="15"/>
  <c r="G129" i="15"/>
  <c r="D129" i="15"/>
  <c r="F131" i="15"/>
  <c r="H90" i="15"/>
  <c r="G90" i="15"/>
  <c r="D90" i="15"/>
  <c r="F56" i="15"/>
  <c r="D56" i="15"/>
  <c r="D70" i="15"/>
  <c r="H120" i="15"/>
  <c r="G56" i="15"/>
  <c r="F70" i="15"/>
  <c r="D131" i="15"/>
  <c r="H56" i="15"/>
  <c r="G120" i="15"/>
  <c r="E120" i="15"/>
  <c r="E56" i="15"/>
  <c r="I129" i="15"/>
  <c r="N180" i="61"/>
  <c r="M180" i="61"/>
  <c r="L180" i="61"/>
  <c r="J180" i="61"/>
  <c r="I180" i="61"/>
  <c r="H180" i="61"/>
  <c r="G180" i="61"/>
  <c r="L229" i="61"/>
  <c r="N226" i="61"/>
  <c r="N225" i="61"/>
  <c r="N224" i="61"/>
  <c r="N223" i="61"/>
  <c r="N222" i="61"/>
  <c r="J226" i="61"/>
  <c r="M226" i="61"/>
  <c r="J225" i="61"/>
  <c r="M225" i="61"/>
  <c r="J224" i="61"/>
  <c r="M224" i="61"/>
  <c r="J223" i="61"/>
  <c r="M223" i="61"/>
  <c r="J222" i="61"/>
  <c r="M222" i="61"/>
  <c r="H217" i="61"/>
  <c r="N98" i="61"/>
  <c r="N97" i="61"/>
  <c r="N96" i="61"/>
  <c r="N95" i="61"/>
  <c r="N94" i="61"/>
  <c r="N93" i="61"/>
  <c r="N91" i="61"/>
  <c r="N90" i="61"/>
  <c r="N89" i="61"/>
  <c r="N88" i="61"/>
  <c r="N87" i="61"/>
  <c r="N86" i="61"/>
  <c r="N85" i="61"/>
  <c r="N84" i="61"/>
  <c r="N83" i="61"/>
  <c r="J98" i="61"/>
  <c r="M98" i="61"/>
  <c r="J97" i="61"/>
  <c r="M97" i="61"/>
  <c r="J96" i="61"/>
  <c r="M96" i="61"/>
  <c r="J95" i="61"/>
  <c r="M95" i="61"/>
  <c r="J94" i="61"/>
  <c r="M94" i="61"/>
  <c r="J93" i="61"/>
  <c r="M93" i="61"/>
  <c r="J92" i="61"/>
  <c r="M92" i="61"/>
  <c r="J91" i="61"/>
  <c r="M91" i="61"/>
  <c r="J90" i="61"/>
  <c r="M90" i="61"/>
  <c r="J89" i="61"/>
  <c r="M89" i="61"/>
  <c r="J88" i="61"/>
  <c r="M88" i="61"/>
  <c r="J87" i="61"/>
  <c r="M87" i="61"/>
  <c r="J86" i="61"/>
  <c r="M86" i="61"/>
  <c r="J85" i="61"/>
  <c r="M85" i="61"/>
  <c r="J84" i="61"/>
  <c r="M84" i="61"/>
  <c r="J83" i="61"/>
  <c r="N169" i="61"/>
  <c r="N168" i="61"/>
  <c r="N167" i="61"/>
  <c r="N166" i="61"/>
  <c r="N165" i="61"/>
  <c r="N164" i="61"/>
  <c r="N163" i="61"/>
  <c r="N162" i="61"/>
  <c r="N161" i="61"/>
  <c r="N160" i="61"/>
  <c r="N159" i="61"/>
  <c r="N158" i="61"/>
  <c r="N157" i="61"/>
  <c r="N156" i="61"/>
  <c r="N155" i="61"/>
  <c r="N154" i="61"/>
  <c r="N153" i="61"/>
  <c r="N152" i="61"/>
  <c r="N151" i="61"/>
  <c r="N150" i="61"/>
  <c r="J169" i="61"/>
  <c r="M169" i="61"/>
  <c r="J168" i="61"/>
  <c r="M168" i="61"/>
  <c r="J167" i="61"/>
  <c r="M167" i="61"/>
  <c r="J166" i="61"/>
  <c r="M166" i="61"/>
  <c r="J165" i="61"/>
  <c r="M165" i="61"/>
  <c r="J163" i="61"/>
  <c r="M163" i="61"/>
  <c r="J162" i="61"/>
  <c r="M162" i="61"/>
  <c r="J161" i="61"/>
  <c r="M161" i="61"/>
  <c r="J160" i="61"/>
  <c r="M160" i="61"/>
  <c r="J159" i="61"/>
  <c r="M159" i="61"/>
  <c r="J158" i="61"/>
  <c r="M158" i="61"/>
  <c r="J157" i="61"/>
  <c r="M157" i="61"/>
  <c r="J156" i="61"/>
  <c r="M156" i="61"/>
  <c r="J155" i="61"/>
  <c r="J154" i="61"/>
  <c r="M154" i="61"/>
  <c r="J153" i="61"/>
  <c r="M153" i="61"/>
  <c r="J152" i="61"/>
  <c r="M152" i="61"/>
  <c r="J151" i="61"/>
  <c r="M151" i="61"/>
  <c r="J150" i="61"/>
  <c r="M150" i="61"/>
  <c r="G169" i="61"/>
  <c r="I169" i="61"/>
  <c r="G168" i="61"/>
  <c r="I168" i="61"/>
  <c r="G167" i="61"/>
  <c r="I167" i="61"/>
  <c r="G166" i="61"/>
  <c r="I166" i="61"/>
  <c r="G165" i="61"/>
  <c r="I165" i="61"/>
  <c r="G164" i="61"/>
  <c r="I164" i="61"/>
  <c r="G162" i="61"/>
  <c r="I162" i="61"/>
  <c r="G161" i="61"/>
  <c r="I161" i="61"/>
  <c r="G160" i="61"/>
  <c r="I160" i="61"/>
  <c r="G159" i="61"/>
  <c r="I159" i="61"/>
  <c r="G158" i="61"/>
  <c r="I158" i="61"/>
  <c r="G157" i="61"/>
  <c r="I157" i="61"/>
  <c r="G156" i="61"/>
  <c r="G155" i="61"/>
  <c r="I155" i="61"/>
  <c r="G154" i="61"/>
  <c r="I154" i="61"/>
  <c r="G153" i="61"/>
  <c r="G152" i="61"/>
  <c r="I152" i="61"/>
  <c r="G151" i="61"/>
  <c r="I151" i="61"/>
  <c r="G150" i="61"/>
  <c r="H150" i="61"/>
  <c r="N132" i="61"/>
  <c r="N131" i="61"/>
  <c r="N130" i="61"/>
  <c r="N129" i="61"/>
  <c r="N128" i="61"/>
  <c r="N127" i="61"/>
  <c r="N126" i="61"/>
  <c r="N125" i="61"/>
  <c r="N124" i="61"/>
  <c r="N123" i="61"/>
  <c r="N122" i="61"/>
  <c r="N121" i="61"/>
  <c r="N120" i="61"/>
  <c r="N117" i="61"/>
  <c r="N116" i="61"/>
  <c r="N115" i="61"/>
  <c r="N114" i="61"/>
  <c r="N113" i="61"/>
  <c r="N112" i="61"/>
  <c r="N111" i="61"/>
  <c r="N110" i="61"/>
  <c r="J132" i="61"/>
  <c r="M132" i="61"/>
  <c r="J131" i="61"/>
  <c r="M131" i="61"/>
  <c r="J130" i="61"/>
  <c r="M130" i="61"/>
  <c r="J129" i="61"/>
  <c r="M129" i="61"/>
  <c r="J128" i="61"/>
  <c r="M128" i="61"/>
  <c r="J127" i="61"/>
  <c r="M127" i="61"/>
  <c r="J126" i="61"/>
  <c r="M126" i="61"/>
  <c r="J125" i="61"/>
  <c r="M125" i="61"/>
  <c r="J124" i="61"/>
  <c r="M124" i="61"/>
  <c r="J123" i="61"/>
  <c r="M123" i="61"/>
  <c r="J122" i="61"/>
  <c r="M122" i="61"/>
  <c r="J121" i="61"/>
  <c r="M121" i="61"/>
  <c r="J120" i="61"/>
  <c r="M120" i="61"/>
  <c r="J119" i="61"/>
  <c r="J118" i="61"/>
  <c r="J117" i="61"/>
  <c r="M117" i="61"/>
  <c r="J116" i="61"/>
  <c r="M116" i="61"/>
  <c r="J115" i="61"/>
  <c r="M115" i="61"/>
  <c r="J114" i="61"/>
  <c r="M114" i="61"/>
  <c r="J113" i="61"/>
  <c r="M113" i="61"/>
  <c r="J112" i="61"/>
  <c r="M112" i="61"/>
  <c r="J111" i="61"/>
  <c r="M111" i="61"/>
  <c r="J110" i="61"/>
  <c r="M110" i="61"/>
  <c r="G132" i="61"/>
  <c r="I132" i="61"/>
  <c r="G131" i="61"/>
  <c r="I131" i="61"/>
  <c r="G129" i="61"/>
  <c r="I129" i="61"/>
  <c r="G128" i="61"/>
  <c r="I128" i="61"/>
  <c r="G127" i="61"/>
  <c r="I127" i="61"/>
  <c r="G126" i="61"/>
  <c r="I126" i="61"/>
  <c r="G125" i="61"/>
  <c r="I125" i="61"/>
  <c r="G124" i="61"/>
  <c r="I124" i="61"/>
  <c r="G123" i="61"/>
  <c r="I123" i="61"/>
  <c r="G122" i="61"/>
  <c r="I122" i="61"/>
  <c r="G121" i="61"/>
  <c r="I121" i="61"/>
  <c r="G120" i="61"/>
  <c r="I120" i="61"/>
  <c r="G117" i="61"/>
  <c r="I117" i="61"/>
  <c r="G116" i="61"/>
  <c r="I116" i="61"/>
  <c r="G115" i="61"/>
  <c r="I115" i="61"/>
  <c r="G114" i="61"/>
  <c r="I114" i="61"/>
  <c r="G113" i="61"/>
  <c r="I113" i="61"/>
  <c r="G112" i="61"/>
  <c r="I112" i="61"/>
  <c r="G111" i="61"/>
  <c r="I111" i="61"/>
  <c r="G110" i="61"/>
  <c r="I110" i="61"/>
  <c r="G109" i="61"/>
  <c r="G108" i="61"/>
  <c r="G107" i="61"/>
  <c r="G106" i="61"/>
  <c r="G105" i="61"/>
  <c r="G104" i="61"/>
  <c r="G103" i="61"/>
  <c r="G102" i="61"/>
  <c r="G101" i="61"/>
  <c r="G100" i="61"/>
  <c r="G99" i="61"/>
  <c r="G98" i="61"/>
  <c r="I98" i="61"/>
  <c r="G97" i="61"/>
  <c r="I97" i="61"/>
  <c r="G96" i="61"/>
  <c r="I96" i="61"/>
  <c r="G95" i="61"/>
  <c r="I95" i="61"/>
  <c r="G94" i="61"/>
  <c r="I94" i="61"/>
  <c r="G93" i="61"/>
  <c r="I93" i="61"/>
  <c r="G91" i="61"/>
  <c r="G90" i="61"/>
  <c r="I90" i="61"/>
  <c r="G89" i="61"/>
  <c r="I89" i="61"/>
  <c r="G88" i="61"/>
  <c r="I88" i="61"/>
  <c r="G87" i="61"/>
  <c r="I87" i="61"/>
  <c r="G86" i="61"/>
  <c r="I86" i="61"/>
  <c r="G85" i="61"/>
  <c r="I85" i="61"/>
  <c r="G84" i="61"/>
  <c r="I84" i="61"/>
  <c r="G83" i="61"/>
  <c r="N70" i="61"/>
  <c r="N69" i="61"/>
  <c r="N68" i="61"/>
  <c r="N67" i="61"/>
  <c r="N66" i="61"/>
  <c r="J70" i="61"/>
  <c r="M70" i="61"/>
  <c r="J67" i="61"/>
  <c r="M67" i="61"/>
  <c r="J66" i="61"/>
  <c r="M66" i="61"/>
  <c r="J69" i="61"/>
  <c r="M69" i="61"/>
  <c r="N64" i="61"/>
  <c r="N63" i="61"/>
  <c r="N62" i="61"/>
  <c r="N61" i="61"/>
  <c r="N60" i="61"/>
  <c r="J64" i="61"/>
  <c r="J63" i="61"/>
  <c r="J62" i="61"/>
  <c r="J61" i="61"/>
  <c r="J60" i="61"/>
  <c r="G130" i="61"/>
  <c r="I130" i="61"/>
  <c r="I83" i="61"/>
  <c r="N229" i="61"/>
  <c r="M229" i="61"/>
  <c r="J229" i="61"/>
  <c r="I150" i="61"/>
  <c r="I153" i="61"/>
  <c r="M83" i="61"/>
  <c r="G60" i="61"/>
  <c r="N59" i="61"/>
  <c r="H59" i="61"/>
  <c r="H58" i="61"/>
  <c r="N58" i="61"/>
  <c r="G70" i="61"/>
  <c r="I70" i="61"/>
  <c r="G69" i="61"/>
  <c r="I69" i="61"/>
  <c r="G68" i="61"/>
  <c r="I68" i="61"/>
  <c r="G66" i="61"/>
  <c r="I66" i="61"/>
  <c r="G65" i="61"/>
  <c r="G64" i="61"/>
  <c r="I64" i="61"/>
  <c r="G63" i="61"/>
  <c r="I63" i="61"/>
  <c r="G62" i="61"/>
  <c r="I62" i="61"/>
  <c r="G61" i="61"/>
  <c r="I61" i="61"/>
  <c r="J58" i="61"/>
  <c r="M58" i="61"/>
  <c r="N50" i="61"/>
  <c r="N49" i="61"/>
  <c r="N48" i="61"/>
  <c r="N47" i="61"/>
  <c r="J47" i="61"/>
  <c r="G58" i="61"/>
  <c r="G50" i="61"/>
  <c r="I50" i="61"/>
  <c r="G49" i="61"/>
  <c r="I49" i="61"/>
  <c r="G48" i="61"/>
  <c r="I48" i="61"/>
  <c r="G47" i="61"/>
  <c r="N139" i="61"/>
  <c r="G139" i="61"/>
  <c r="I139" i="61"/>
  <c r="J139" i="61"/>
  <c r="M139" i="61"/>
  <c r="I47" i="61"/>
  <c r="M47" i="61"/>
  <c r="N138" i="61"/>
  <c r="N137" i="61"/>
  <c r="N135" i="61"/>
  <c r="N134" i="61"/>
  <c r="N133" i="61"/>
  <c r="H136" i="61"/>
  <c r="N136" i="61"/>
  <c r="J133" i="61"/>
  <c r="M133" i="61"/>
  <c r="J134" i="61"/>
  <c r="M134" i="61"/>
  <c r="J135" i="61"/>
  <c r="M135" i="61"/>
  <c r="J136" i="61"/>
  <c r="M136" i="61"/>
  <c r="J137" i="61"/>
  <c r="M137" i="61"/>
  <c r="J138" i="61"/>
  <c r="M138" i="61"/>
  <c r="G133" i="61"/>
  <c r="I133" i="61"/>
  <c r="G134" i="61"/>
  <c r="I134" i="61"/>
  <c r="G135" i="61"/>
  <c r="I135" i="61"/>
  <c r="G137" i="61"/>
  <c r="I137" i="61"/>
  <c r="G138" i="61"/>
  <c r="H138" i="61"/>
  <c r="I138" i="61"/>
  <c r="L175" i="61"/>
  <c r="H56" i="61"/>
  <c r="J55" i="61"/>
  <c r="G55" i="61"/>
  <c r="I55" i="61"/>
  <c r="N27" i="61"/>
  <c r="N26" i="61"/>
  <c r="N25" i="61"/>
  <c r="N24" i="61"/>
  <c r="N23" i="61"/>
  <c r="N22" i="61"/>
  <c r="N21" i="61"/>
  <c r="J27" i="61"/>
  <c r="M27" i="61"/>
  <c r="J26" i="61"/>
  <c r="M26" i="61"/>
  <c r="J25" i="61"/>
  <c r="M25" i="61"/>
  <c r="J24" i="61"/>
  <c r="M24" i="61"/>
  <c r="J23" i="61"/>
  <c r="M23" i="61"/>
  <c r="J22" i="61"/>
  <c r="M22" i="61"/>
  <c r="J21" i="61"/>
  <c r="M21" i="61"/>
  <c r="I27" i="61"/>
  <c r="G26" i="61"/>
  <c r="I26" i="61"/>
  <c r="G25" i="61"/>
  <c r="I25" i="61"/>
  <c r="G24" i="61"/>
  <c r="I24" i="61"/>
  <c r="G23" i="61"/>
  <c r="I23" i="61"/>
  <c r="G22" i="61"/>
  <c r="I22" i="61"/>
  <c r="G21" i="61"/>
  <c r="I21" i="61"/>
  <c r="G56" i="61"/>
  <c r="N56" i="61"/>
  <c r="N19" i="61"/>
  <c r="J19" i="61"/>
  <c r="M19" i="61"/>
  <c r="G19" i="61"/>
  <c r="H226" i="61"/>
  <c r="H229" i="61"/>
  <c r="G226" i="61"/>
  <c r="G225" i="61"/>
  <c r="G224" i="61"/>
  <c r="G223" i="61"/>
  <c r="G222" i="61"/>
  <c r="J203" i="61"/>
  <c r="M203" i="61"/>
  <c r="J202" i="61"/>
  <c r="M202" i="61"/>
  <c r="J201" i="61"/>
  <c r="M201" i="61"/>
  <c r="J200" i="61"/>
  <c r="M200" i="61"/>
  <c r="J199" i="61"/>
  <c r="M199" i="61"/>
  <c r="J198" i="61"/>
  <c r="M198" i="61"/>
  <c r="J197" i="61"/>
  <c r="M197" i="61"/>
  <c r="J196" i="61"/>
  <c r="M196" i="61"/>
  <c r="J195" i="61"/>
  <c r="M195" i="61"/>
  <c r="J194" i="61"/>
  <c r="M194" i="61"/>
  <c r="J193" i="61"/>
  <c r="M193" i="61"/>
  <c r="J192" i="61"/>
  <c r="M192" i="61"/>
  <c r="J191" i="61"/>
  <c r="M191" i="61"/>
  <c r="J190" i="61"/>
  <c r="M190" i="61"/>
  <c r="J189" i="61"/>
  <c r="G203" i="61"/>
  <c r="I203" i="61"/>
  <c r="G202" i="61"/>
  <c r="I202" i="61"/>
  <c r="G201" i="61"/>
  <c r="I201" i="61"/>
  <c r="G200" i="61"/>
  <c r="I200" i="61"/>
  <c r="G199" i="61"/>
  <c r="I199" i="61"/>
  <c r="G198" i="61"/>
  <c r="I198" i="61"/>
  <c r="G197" i="61"/>
  <c r="I197" i="61"/>
  <c r="G196" i="61"/>
  <c r="I196" i="61"/>
  <c r="G195" i="61"/>
  <c r="I195" i="61"/>
  <c r="G194" i="61"/>
  <c r="I194" i="61"/>
  <c r="G193" i="61"/>
  <c r="I193" i="61"/>
  <c r="G192" i="61"/>
  <c r="I192" i="61"/>
  <c r="G191" i="61"/>
  <c r="I191" i="61"/>
  <c r="G190" i="61"/>
  <c r="I190" i="61"/>
  <c r="G189" i="61"/>
  <c r="G119" i="61"/>
  <c r="I119" i="61"/>
  <c r="G118" i="61"/>
  <c r="I118" i="61"/>
  <c r="N109" i="61"/>
  <c r="N108" i="61"/>
  <c r="N107" i="61"/>
  <c r="N106" i="61"/>
  <c r="N105" i="61"/>
  <c r="N104" i="61"/>
  <c r="N103" i="61"/>
  <c r="N102" i="61"/>
  <c r="N101" i="61"/>
  <c r="N100" i="61"/>
  <c r="J109" i="61"/>
  <c r="M109" i="61"/>
  <c r="J108" i="61"/>
  <c r="M108" i="61"/>
  <c r="J107" i="61"/>
  <c r="M107" i="61"/>
  <c r="J106" i="61"/>
  <c r="M106" i="61"/>
  <c r="J105" i="61"/>
  <c r="M105" i="61"/>
  <c r="J104" i="61"/>
  <c r="M104" i="61"/>
  <c r="J103" i="61"/>
  <c r="M103" i="61"/>
  <c r="J102" i="61"/>
  <c r="M102" i="61"/>
  <c r="J101" i="61"/>
  <c r="M101" i="61"/>
  <c r="J100" i="61"/>
  <c r="M100" i="61"/>
  <c r="I109" i="61"/>
  <c r="I108" i="61"/>
  <c r="I107" i="61"/>
  <c r="I106" i="61"/>
  <c r="I105" i="61"/>
  <c r="I104" i="61"/>
  <c r="I103" i="61"/>
  <c r="I102" i="61"/>
  <c r="I101" i="61"/>
  <c r="I100" i="61"/>
  <c r="I99" i="61"/>
  <c r="N99" i="61"/>
  <c r="J99" i="61"/>
  <c r="N65" i="61"/>
  <c r="N51" i="61"/>
  <c r="N20" i="61"/>
  <c r="J217" i="61"/>
  <c r="J147" i="61"/>
  <c r="I226" i="61"/>
  <c r="M189" i="61"/>
  <c r="M217" i="61"/>
  <c r="G229" i="61"/>
  <c r="G217" i="61"/>
  <c r="M99" i="61"/>
  <c r="I189" i="61"/>
  <c r="I217" i="61"/>
  <c r="N189" i="61"/>
  <c r="E129" i="15"/>
  <c r="E131" i="15"/>
  <c r="J18" i="61"/>
  <c r="M18" i="61"/>
  <c r="N202" i="61"/>
  <c r="N203" i="61"/>
  <c r="G12" i="61"/>
  <c r="J71" i="61"/>
  <c r="M71" i="61"/>
  <c r="H72" i="61"/>
  <c r="H71" i="61"/>
  <c r="J72" i="61"/>
  <c r="M72" i="61"/>
  <c r="G71" i="61"/>
  <c r="N71" i="61"/>
  <c r="G72" i="61"/>
  <c r="N72" i="61"/>
  <c r="F90" i="15"/>
  <c r="E90" i="15"/>
  <c r="G67" i="61"/>
  <c r="I67" i="61"/>
  <c r="J68" i="61"/>
  <c r="M68" i="61"/>
  <c r="J65" i="61"/>
  <c r="M65" i="61"/>
  <c r="F39" i="56"/>
  <c r="H322" i="1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I442" i="49"/>
  <c r="E442" i="49"/>
  <c r="F442" i="49"/>
  <c r="I441" i="49"/>
  <c r="E441" i="49"/>
  <c r="F441" i="49"/>
  <c r="I440" i="49"/>
  <c r="E440" i="49"/>
  <c r="F440" i="49"/>
  <c r="I439" i="49"/>
  <c r="E439" i="49"/>
  <c r="F439" i="49"/>
  <c r="I438" i="49"/>
  <c r="E438" i="49"/>
  <c r="F438" i="49"/>
  <c r="I437" i="49"/>
  <c r="E437" i="49"/>
  <c r="F437" i="49"/>
  <c r="I436" i="49"/>
  <c r="E436" i="49"/>
  <c r="F436" i="49"/>
  <c r="I435" i="49"/>
  <c r="E435" i="49"/>
  <c r="F435" i="49"/>
  <c r="I434" i="49"/>
  <c r="E434" i="49"/>
  <c r="F434" i="49"/>
  <c r="I433" i="49"/>
  <c r="E433" i="49"/>
  <c r="F433" i="49"/>
  <c r="I432" i="49"/>
  <c r="E432" i="49"/>
  <c r="F432" i="49"/>
  <c r="I431" i="49"/>
  <c r="E431" i="49"/>
  <c r="F431" i="49"/>
  <c r="I430" i="49"/>
  <c r="E430" i="49"/>
  <c r="F430" i="49"/>
  <c r="I429" i="49"/>
  <c r="E429" i="49"/>
  <c r="F429" i="49"/>
  <c r="I428" i="49"/>
  <c r="E428" i="49"/>
  <c r="F428" i="49"/>
  <c r="I427" i="49"/>
  <c r="E427" i="49"/>
  <c r="F427" i="49"/>
  <c r="I426" i="49"/>
  <c r="E426" i="49"/>
  <c r="F426" i="49"/>
  <c r="I425" i="49"/>
  <c r="E425" i="49"/>
  <c r="F425" i="49"/>
  <c r="I424" i="49"/>
  <c r="E424" i="49"/>
  <c r="F424" i="49"/>
  <c r="I423" i="49"/>
  <c r="E423" i="49"/>
  <c r="F423" i="49"/>
  <c r="I422" i="49"/>
  <c r="E422" i="49"/>
  <c r="F422" i="49"/>
  <c r="I421" i="49"/>
  <c r="E421" i="49"/>
  <c r="F421" i="49"/>
  <c r="I420" i="49"/>
  <c r="E420" i="49"/>
  <c r="F420" i="49"/>
  <c r="I419" i="49"/>
  <c r="E419" i="49"/>
  <c r="F419" i="49"/>
  <c r="K417" i="49"/>
  <c r="J417" i="49"/>
  <c r="I417" i="49"/>
  <c r="H417" i="49"/>
  <c r="F417" i="49"/>
  <c r="E417" i="49"/>
  <c r="D417" i="49"/>
  <c r="K416" i="49"/>
  <c r="J416" i="49"/>
  <c r="I416" i="49"/>
  <c r="H416" i="49"/>
  <c r="F416" i="49"/>
  <c r="E416" i="49"/>
  <c r="D416" i="49"/>
  <c r="J419" i="49"/>
  <c r="J420" i="49"/>
  <c r="J421" i="49"/>
  <c r="J422" i="49"/>
  <c r="J423" i="49"/>
  <c r="J424" i="49"/>
  <c r="J425" i="49"/>
  <c r="J426" i="49"/>
  <c r="J427" i="49"/>
  <c r="J428" i="49"/>
  <c r="J429" i="49"/>
  <c r="J430" i="49"/>
  <c r="J431" i="49"/>
  <c r="J432" i="49"/>
  <c r="J433" i="49"/>
  <c r="J434" i="49"/>
  <c r="J435" i="49"/>
  <c r="J436" i="49"/>
  <c r="J437" i="49"/>
  <c r="J438" i="49"/>
  <c r="J439" i="49"/>
  <c r="J440" i="49"/>
  <c r="J441" i="49"/>
  <c r="J442" i="49"/>
  <c r="K419" i="49"/>
  <c r="K420" i="49"/>
  <c r="K421" i="49"/>
  <c r="K422" i="49"/>
  <c r="K423" i="49"/>
  <c r="K424" i="49"/>
  <c r="K425" i="49"/>
  <c r="K426" i="49"/>
  <c r="K427" i="49"/>
  <c r="K428" i="49"/>
  <c r="K429" i="49"/>
  <c r="K430" i="49"/>
  <c r="K431" i="49"/>
  <c r="K432" i="49"/>
  <c r="K433" i="49"/>
  <c r="K434" i="49"/>
  <c r="K435" i="49"/>
  <c r="K436" i="49"/>
  <c r="K437" i="49"/>
  <c r="K438" i="49"/>
  <c r="K439" i="49"/>
  <c r="K440" i="49"/>
  <c r="K441" i="49"/>
  <c r="K442" i="49"/>
  <c r="K443" i="49"/>
  <c r="G36" i="11"/>
  <c r="F19" i="71"/>
  <c r="E35" i="11"/>
  <c r="F35" i="11"/>
  <c r="M45" i="48"/>
  <c r="G25" i="46"/>
  <c r="F103" i="8"/>
  <c r="F98" i="8"/>
  <c r="E6" i="66"/>
  <c r="E12" i="66"/>
  <c r="E18" i="66"/>
  <c r="B145" i="21"/>
  <c r="M106" i="21"/>
  <c r="L106" i="21"/>
  <c r="K106" i="21"/>
  <c r="J106" i="21"/>
  <c r="I106" i="21"/>
  <c r="H106" i="21"/>
  <c r="G106" i="21"/>
  <c r="F106" i="21"/>
  <c r="E106" i="21"/>
  <c r="D106" i="21"/>
  <c r="E45" i="21"/>
  <c r="F58" i="21"/>
  <c r="E44" i="21"/>
  <c r="A35" i="21"/>
  <c r="A44" i="21"/>
  <c r="A13" i="21"/>
  <c r="A14" i="21"/>
  <c r="A15" i="21"/>
  <c r="A16" i="21"/>
  <c r="A17" i="21"/>
  <c r="A18" i="21"/>
  <c r="A19" i="21"/>
  <c r="A20" i="21"/>
  <c r="A21" i="21"/>
  <c r="A22" i="21"/>
  <c r="A23" i="21"/>
  <c r="A24" i="21"/>
  <c r="E46" i="21"/>
  <c r="F51" i="21"/>
  <c r="N106" i="21"/>
  <c r="B148" i="21"/>
  <c r="A25" i="21"/>
  <c r="A33" i="21"/>
  <c r="A45" i="21"/>
  <c r="H46" i="21"/>
  <c r="E24" i="4"/>
  <c r="F24" i="4"/>
  <c r="G24" i="4"/>
  <c r="H24" i="4"/>
  <c r="I24" i="4"/>
  <c r="J24" i="4"/>
  <c r="K24" i="4"/>
  <c r="L24" i="4"/>
  <c r="L104" i="4"/>
  <c r="L105" i="4"/>
  <c r="K104" i="4"/>
  <c r="K105" i="4"/>
  <c r="J104" i="4"/>
  <c r="I104" i="4"/>
  <c r="I105" i="4"/>
  <c r="H104" i="4"/>
  <c r="H105" i="4"/>
  <c r="G104" i="4"/>
  <c r="G105" i="4"/>
  <c r="F104" i="4"/>
  <c r="B144" i="21"/>
  <c r="H35" i="21"/>
  <c r="G58" i="21"/>
  <c r="A46" i="21"/>
  <c r="D183" i="4"/>
  <c r="C183" i="4"/>
  <c r="J97" i="4"/>
  <c r="H54" i="4"/>
  <c r="F62" i="4"/>
  <c r="H53" i="4"/>
  <c r="F36" i="4"/>
  <c r="F35" i="4"/>
  <c r="A13" i="4"/>
  <c r="A14" i="4"/>
  <c r="A15" i="4"/>
  <c r="A16" i="4"/>
  <c r="A17" i="4"/>
  <c r="A18" i="4"/>
  <c r="A19" i="4"/>
  <c r="A20" i="4"/>
  <c r="A21" i="4"/>
  <c r="A22" i="4"/>
  <c r="A23" i="4"/>
  <c r="A24" i="4"/>
  <c r="M12" i="4"/>
  <c r="M12" i="64"/>
  <c r="F105" i="4"/>
  <c r="M104" i="4"/>
  <c r="M97" i="4"/>
  <c r="J105" i="4"/>
  <c r="M105" i="4"/>
  <c r="F187" i="4"/>
  <c r="J187" i="4"/>
  <c r="E150" i="4"/>
  <c r="I150" i="4"/>
  <c r="G151" i="4"/>
  <c r="K151" i="4"/>
  <c r="E152" i="4"/>
  <c r="I152" i="4"/>
  <c r="G153" i="4"/>
  <c r="K153" i="4"/>
  <c r="E154" i="4"/>
  <c r="I154" i="4"/>
  <c r="G155" i="4"/>
  <c r="E156" i="4"/>
  <c r="I156" i="4"/>
  <c r="G157" i="4"/>
  <c r="K157" i="4"/>
  <c r="E158" i="4"/>
  <c r="I158" i="4"/>
  <c r="G159" i="4"/>
  <c r="E160" i="4"/>
  <c r="I160" i="4"/>
  <c r="C161" i="4"/>
  <c r="C187" i="4"/>
  <c r="C191" i="4"/>
  <c r="D187" i="4"/>
  <c r="D191" i="4"/>
  <c r="H187" i="4"/>
  <c r="E187" i="4"/>
  <c r="I187" i="4"/>
  <c r="C151" i="4"/>
  <c r="C153" i="4"/>
  <c r="C155" i="4"/>
  <c r="K161" i="4"/>
  <c r="G161" i="4"/>
  <c r="F161" i="4"/>
  <c r="E161" i="4"/>
  <c r="D153" i="4"/>
  <c r="L153" i="4"/>
  <c r="I161" i="4"/>
  <c r="G158" i="4"/>
  <c r="C156" i="4"/>
  <c r="K158" i="4"/>
  <c r="C160" i="4"/>
  <c r="F37" i="4"/>
  <c r="J150" i="4"/>
  <c r="D151" i="4"/>
  <c r="H151" i="4"/>
  <c r="L151" i="4"/>
  <c r="F152" i="4"/>
  <c r="J152" i="4"/>
  <c r="H153" i="4"/>
  <c r="F154" i="4"/>
  <c r="J154" i="4"/>
  <c r="D155" i="4"/>
  <c r="H155" i="4"/>
  <c r="L155" i="4"/>
  <c r="F156" i="4"/>
  <c r="J156" i="4"/>
  <c r="D157" i="4"/>
  <c r="H157" i="4"/>
  <c r="L157" i="4"/>
  <c r="F158" i="4"/>
  <c r="J158" i="4"/>
  <c r="D159" i="4"/>
  <c r="H159" i="4"/>
  <c r="L159" i="4"/>
  <c r="F160" i="4"/>
  <c r="J160" i="4"/>
  <c r="D161" i="4"/>
  <c r="G187" i="4"/>
  <c r="K187" i="4"/>
  <c r="L161" i="4"/>
  <c r="E151" i="4"/>
  <c r="I151" i="4"/>
  <c r="C152" i="4"/>
  <c r="G152" i="4"/>
  <c r="K152" i="4"/>
  <c r="E153" i="4"/>
  <c r="I153" i="4"/>
  <c r="C154" i="4"/>
  <c r="G154" i="4"/>
  <c r="K154" i="4"/>
  <c r="E155" i="4"/>
  <c r="I155" i="4"/>
  <c r="G156" i="4"/>
  <c r="K156" i="4"/>
  <c r="E157" i="4"/>
  <c r="I157" i="4"/>
  <c r="C158" i="4"/>
  <c r="E159" i="4"/>
  <c r="I159" i="4"/>
  <c r="G160" i="4"/>
  <c r="K160" i="4"/>
  <c r="L187" i="4"/>
  <c r="H161" i="4"/>
  <c r="K155" i="4"/>
  <c r="K159" i="4"/>
  <c r="G51" i="21"/>
  <c r="A51" i="21"/>
  <c r="D150" i="4"/>
  <c r="L150" i="4"/>
  <c r="F151" i="4"/>
  <c r="J151" i="4"/>
  <c r="D152" i="4"/>
  <c r="H152" i="4"/>
  <c r="L152" i="4"/>
  <c r="F153" i="4"/>
  <c r="J153" i="4"/>
  <c r="D154" i="4"/>
  <c r="H154" i="4"/>
  <c r="L154" i="4"/>
  <c r="F155" i="4"/>
  <c r="J155" i="4"/>
  <c r="D156" i="4"/>
  <c r="H156" i="4"/>
  <c r="L156" i="4"/>
  <c r="F157" i="4"/>
  <c r="J157" i="4"/>
  <c r="D158" i="4"/>
  <c r="H158" i="4"/>
  <c r="L158" i="4"/>
  <c r="F159" i="4"/>
  <c r="J159" i="4"/>
  <c r="D160" i="4"/>
  <c r="H160" i="4"/>
  <c r="L160" i="4"/>
  <c r="J161" i="4"/>
  <c r="C157" i="4"/>
  <c r="C159" i="4"/>
  <c r="F57" i="4"/>
  <c r="F150" i="4"/>
  <c r="H150" i="4"/>
  <c r="B231" i="4"/>
  <c r="A25" i="4"/>
  <c r="C150" i="4"/>
  <c r="G150" i="4"/>
  <c r="K150" i="4"/>
  <c r="J319" i="49"/>
  <c r="G162" i="4"/>
  <c r="G167" i="4"/>
  <c r="M187" i="4"/>
  <c r="M153" i="4"/>
  <c r="H162" i="4"/>
  <c r="H167" i="4"/>
  <c r="L162" i="4"/>
  <c r="L173" i="4"/>
  <c r="F162" i="4"/>
  <c r="K162" i="4"/>
  <c r="K167" i="4"/>
  <c r="M159" i="4"/>
  <c r="J162" i="4"/>
  <c r="J168" i="4"/>
  <c r="M152" i="4"/>
  <c r="M160" i="4"/>
  <c r="I162" i="4"/>
  <c r="I170" i="4"/>
  <c r="M150" i="4"/>
  <c r="C162" i="4"/>
  <c r="C167" i="4"/>
  <c r="M157" i="4"/>
  <c r="M158" i="4"/>
  <c r="M156" i="4"/>
  <c r="D162" i="4"/>
  <c r="D174" i="4"/>
  <c r="M154" i="4"/>
  <c r="M155" i="4"/>
  <c r="M151" i="4"/>
  <c r="E162" i="4"/>
  <c r="E173" i="4"/>
  <c r="M161" i="4"/>
  <c r="A52" i="21"/>
  <c r="A53" i="21"/>
  <c r="A58" i="21"/>
  <c r="A35" i="4"/>
  <c r="J178" i="4"/>
  <c r="J92" i="21"/>
  <c r="I89" i="21"/>
  <c r="L89" i="21"/>
  <c r="K100" i="21"/>
  <c r="F95" i="21"/>
  <c r="E96" i="21"/>
  <c r="K90" i="21"/>
  <c r="M95" i="21"/>
  <c r="H89" i="21"/>
  <c r="L168" i="4"/>
  <c r="L169" i="4"/>
  <c r="L171" i="4"/>
  <c r="L175" i="4"/>
  <c r="G53" i="21"/>
  <c r="E169" i="4"/>
  <c r="C168" i="4"/>
  <c r="D89" i="21"/>
  <c r="C198" i="4"/>
  <c r="C13" i="4"/>
  <c r="M162" i="4"/>
  <c r="I171" i="4"/>
  <c r="L172" i="4"/>
  <c r="I167" i="4"/>
  <c r="J167" i="4"/>
  <c r="L174" i="4"/>
  <c r="J172" i="4"/>
  <c r="L167" i="4"/>
  <c r="J171" i="4"/>
  <c r="J177" i="4"/>
  <c r="L178" i="4"/>
  <c r="L170" i="4"/>
  <c r="J176" i="4"/>
  <c r="D169" i="4"/>
  <c r="E172" i="4"/>
  <c r="D175" i="4"/>
  <c r="E178" i="4"/>
  <c r="E177" i="4"/>
  <c r="E167" i="4"/>
  <c r="E170" i="4"/>
  <c r="D172" i="4"/>
  <c r="J175" i="4"/>
  <c r="E171" i="4"/>
  <c r="E168" i="4"/>
  <c r="E174" i="4"/>
  <c r="E175" i="4"/>
  <c r="E176" i="4"/>
  <c r="J174" i="4"/>
  <c r="I169" i="4"/>
  <c r="I172" i="4"/>
  <c r="I174" i="4"/>
  <c r="I178" i="4"/>
  <c r="I173" i="4"/>
  <c r="J170" i="4"/>
  <c r="J169" i="4"/>
  <c r="D205" i="4"/>
  <c r="I176" i="4"/>
  <c r="I168" i="4"/>
  <c r="I177" i="4"/>
  <c r="I175" i="4"/>
  <c r="J173" i="4"/>
  <c r="L177" i="4"/>
  <c r="L176" i="4"/>
  <c r="A59" i="21"/>
  <c r="A60" i="21"/>
  <c r="A70" i="21"/>
  <c r="A71" i="21"/>
  <c r="A72" i="21"/>
  <c r="A73" i="21"/>
  <c r="A74" i="21"/>
  <c r="A75" i="21"/>
  <c r="A76" i="21"/>
  <c r="A77" i="21"/>
  <c r="A78" i="21"/>
  <c r="A79" i="21"/>
  <c r="A80" i="21"/>
  <c r="A81" i="21"/>
  <c r="A82" i="21"/>
  <c r="D167" i="4"/>
  <c r="D178" i="4"/>
  <c r="D168" i="4"/>
  <c r="D170" i="4"/>
  <c r="D176" i="4"/>
  <c r="D177" i="4"/>
  <c r="D173" i="4"/>
  <c r="D171" i="4"/>
  <c r="B223" i="4"/>
  <c r="A36" i="4"/>
  <c r="F175" i="4"/>
  <c r="F174" i="4"/>
  <c r="F172" i="4"/>
  <c r="F176" i="4"/>
  <c r="F171" i="4"/>
  <c r="F178" i="4"/>
  <c r="F177" i="4"/>
  <c r="F168" i="4"/>
  <c r="F170" i="4"/>
  <c r="F169" i="4"/>
  <c r="F173" i="4"/>
  <c r="C171" i="4"/>
  <c r="C173" i="4"/>
  <c r="C177" i="4"/>
  <c r="C178" i="4"/>
  <c r="C175" i="4"/>
  <c r="C174" i="4"/>
  <c r="C169" i="4"/>
  <c r="C176" i="4"/>
  <c r="C170" i="4"/>
  <c r="C172" i="4"/>
  <c r="H171" i="4"/>
  <c r="H178" i="4"/>
  <c r="H170" i="4"/>
  <c r="H173" i="4"/>
  <c r="H172" i="4"/>
  <c r="H176" i="4"/>
  <c r="H174" i="4"/>
  <c r="H169" i="4"/>
  <c r="H168" i="4"/>
  <c r="H175" i="4"/>
  <c r="H177" i="4"/>
  <c r="G169" i="4"/>
  <c r="G171" i="4"/>
  <c r="G170" i="4"/>
  <c r="G173" i="4"/>
  <c r="G178" i="4"/>
  <c r="G168" i="4"/>
  <c r="G172" i="4"/>
  <c r="G176" i="4"/>
  <c r="G174" i="4"/>
  <c r="G175" i="4"/>
  <c r="G177" i="4"/>
  <c r="K176" i="4"/>
  <c r="K172" i="4"/>
  <c r="K169" i="4"/>
  <c r="K174" i="4"/>
  <c r="K171" i="4"/>
  <c r="K170" i="4"/>
  <c r="K168" i="4"/>
  <c r="K173" i="4"/>
  <c r="K177" i="4"/>
  <c r="K178" i="4"/>
  <c r="K175" i="4"/>
  <c r="F167" i="4"/>
  <c r="L91" i="21"/>
  <c r="H90" i="21"/>
  <c r="I90" i="21"/>
  <c r="I93" i="21"/>
  <c r="G100" i="21"/>
  <c r="J97" i="21"/>
  <c r="J100" i="21"/>
  <c r="K96" i="21"/>
  <c r="F90" i="21"/>
  <c r="F92" i="21"/>
  <c r="E97" i="21"/>
  <c r="M92" i="21"/>
  <c r="M89" i="21"/>
  <c r="J89" i="21"/>
  <c r="M90" i="21"/>
  <c r="L100" i="21"/>
  <c r="G89" i="21"/>
  <c r="L95" i="21"/>
  <c r="L96" i="21"/>
  <c r="H99" i="21"/>
  <c r="H94" i="21"/>
  <c r="H92" i="21"/>
  <c r="I97" i="21"/>
  <c r="I98" i="21"/>
  <c r="I100" i="21"/>
  <c r="G95" i="21"/>
  <c r="G99" i="21"/>
  <c r="G94" i="21"/>
  <c r="K95" i="21"/>
  <c r="J98" i="21"/>
  <c r="J95" i="21"/>
  <c r="J91" i="21"/>
  <c r="F96" i="21"/>
  <c r="F100" i="21"/>
  <c r="K98" i="21"/>
  <c r="K93" i="21"/>
  <c r="K89" i="21"/>
  <c r="F91" i="21"/>
  <c r="M91" i="21"/>
  <c r="L94" i="21"/>
  <c r="H96" i="21"/>
  <c r="H91" i="21"/>
  <c r="I95" i="21"/>
  <c r="G92" i="21"/>
  <c r="G93" i="21"/>
  <c r="G97" i="21"/>
  <c r="M98" i="21"/>
  <c r="J99" i="21"/>
  <c r="K91" i="21"/>
  <c r="J96" i="21"/>
  <c r="F98" i="21"/>
  <c r="F93" i="21"/>
  <c r="F89" i="21"/>
  <c r="F94" i="21"/>
  <c r="M100" i="21"/>
  <c r="K94" i="21"/>
  <c r="M94" i="21"/>
  <c r="M97" i="21"/>
  <c r="L97" i="21"/>
  <c r="L90" i="21"/>
  <c r="H97" i="21"/>
  <c r="H93" i="21"/>
  <c r="I94" i="21"/>
  <c r="G91" i="21"/>
  <c r="G96" i="21"/>
  <c r="L92" i="21"/>
  <c r="H100" i="21"/>
  <c r="I91" i="21"/>
  <c r="L99" i="21"/>
  <c r="L93" i="21"/>
  <c r="L98" i="21"/>
  <c r="H98" i="21"/>
  <c r="H95" i="21"/>
  <c r="I99" i="21"/>
  <c r="I96" i="21"/>
  <c r="I92" i="21"/>
  <c r="G90" i="21"/>
  <c r="G98" i="21"/>
  <c r="M99" i="21"/>
  <c r="J90" i="21"/>
  <c r="K92" i="21"/>
  <c r="J94" i="21"/>
  <c r="F97" i="21"/>
  <c r="K97" i="21"/>
  <c r="F99" i="21"/>
  <c r="E91" i="21"/>
  <c r="K99" i="21"/>
  <c r="M96" i="21"/>
  <c r="J93" i="21"/>
  <c r="M93" i="21"/>
  <c r="D206" i="4"/>
  <c r="D200" i="4"/>
  <c r="E94" i="21"/>
  <c r="D203" i="4"/>
  <c r="D92" i="21"/>
  <c r="C201" i="4"/>
  <c r="D97" i="21"/>
  <c r="C206" i="4"/>
  <c r="D93" i="21"/>
  <c r="C202" i="4"/>
  <c r="E95" i="21"/>
  <c r="D204" i="4"/>
  <c r="E90" i="21"/>
  <c r="D199" i="4"/>
  <c r="D98" i="21"/>
  <c r="C207" i="4"/>
  <c r="D100" i="21"/>
  <c r="C209" i="4"/>
  <c r="D90" i="21"/>
  <c r="C199" i="4"/>
  <c r="E99" i="21"/>
  <c r="D208" i="4"/>
  <c r="E100" i="21"/>
  <c r="D209" i="4"/>
  <c r="D91" i="21"/>
  <c r="C200" i="4"/>
  <c r="D99" i="21"/>
  <c r="C208" i="4"/>
  <c r="E98" i="21"/>
  <c r="D207" i="4"/>
  <c r="E89" i="21"/>
  <c r="D198" i="4"/>
  <c r="D94" i="21"/>
  <c r="C203" i="4"/>
  <c r="D96" i="21"/>
  <c r="C205" i="4"/>
  <c r="D95" i="21"/>
  <c r="C204" i="4"/>
  <c r="E93" i="21"/>
  <c r="D202" i="4"/>
  <c r="E92" i="21"/>
  <c r="D201" i="4"/>
  <c r="B149" i="21"/>
  <c r="A89" i="21"/>
  <c r="A90" i="21"/>
  <c r="A91" i="21"/>
  <c r="A92" i="21"/>
  <c r="A93" i="21"/>
  <c r="A94" i="21"/>
  <c r="A95" i="21"/>
  <c r="A96" i="21"/>
  <c r="A97" i="21"/>
  <c r="A98" i="21"/>
  <c r="A99" i="21"/>
  <c r="A100" i="21"/>
  <c r="A106" i="21"/>
  <c r="G60" i="21"/>
  <c r="B224" i="4"/>
  <c r="A37" i="4"/>
  <c r="E44" i="4"/>
  <c r="C14" i="4"/>
  <c r="D13" i="4"/>
  <c r="D210" i="4"/>
  <c r="C210" i="4"/>
  <c r="A109" i="21"/>
  <c r="A112" i="21"/>
  <c r="A119" i="21"/>
  <c r="A120" i="21"/>
  <c r="A121" i="21"/>
  <c r="A122" i="21"/>
  <c r="A123" i="21"/>
  <c r="A124" i="21"/>
  <c r="A125" i="21"/>
  <c r="A126" i="21"/>
  <c r="A127" i="21"/>
  <c r="A128" i="21"/>
  <c r="A129" i="21"/>
  <c r="A130" i="21"/>
  <c r="A131" i="21"/>
  <c r="A43" i="4"/>
  <c r="A44" i="4"/>
  <c r="A53" i="4"/>
  <c r="E43" i="4"/>
  <c r="C12" i="46"/>
  <c r="D14" i="4"/>
  <c r="D15" i="4"/>
  <c r="D16" i="4"/>
  <c r="D17" i="4"/>
  <c r="D18" i="4"/>
  <c r="D19" i="4"/>
  <c r="D20" i="4"/>
  <c r="D21" i="4"/>
  <c r="D22" i="4"/>
  <c r="D23" i="4"/>
  <c r="C15" i="4"/>
  <c r="C16" i="4"/>
  <c r="C17" i="4"/>
  <c r="C18" i="4"/>
  <c r="C19" i="4"/>
  <c r="C20" i="4"/>
  <c r="C21" i="4"/>
  <c r="C22" i="4"/>
  <c r="C23" i="4"/>
  <c r="B150" i="21"/>
  <c r="A54" i="4"/>
  <c r="C25" i="4"/>
  <c r="G62" i="4"/>
  <c r="A57" i="4"/>
  <c r="G57" i="4"/>
  <c r="A58" i="4"/>
  <c r="A59" i="4"/>
  <c r="A62" i="4"/>
  <c r="A63" i="4"/>
  <c r="A64" i="4"/>
  <c r="A74" i="4"/>
  <c r="A75" i="4"/>
  <c r="A76" i="4"/>
  <c r="A77" i="4"/>
  <c r="A78" i="4"/>
  <c r="A79" i="4"/>
  <c r="A80" i="4"/>
  <c r="A81" i="4"/>
  <c r="A82" i="4"/>
  <c r="A83" i="4"/>
  <c r="A84" i="4"/>
  <c r="A85" i="4"/>
  <c r="A86" i="4"/>
  <c r="A93" i="4"/>
  <c r="A94" i="4"/>
  <c r="A95" i="4"/>
  <c r="A96" i="4"/>
  <c r="A97" i="4"/>
  <c r="A98" i="4"/>
  <c r="A99" i="4"/>
  <c r="A100" i="4"/>
  <c r="A101" i="4"/>
  <c r="A102" i="4"/>
  <c r="A103" i="4"/>
  <c r="A104" i="4"/>
  <c r="A105" i="4"/>
  <c r="A112" i="4"/>
  <c r="A113" i="4"/>
  <c r="A114" i="4"/>
  <c r="A115" i="4"/>
  <c r="A116" i="4"/>
  <c r="A117" i="4"/>
  <c r="A118" i="4"/>
  <c r="A119" i="4"/>
  <c r="A120" i="4"/>
  <c r="A121" i="4"/>
  <c r="A122" i="4"/>
  <c r="A123" i="4"/>
  <c r="A124" i="4"/>
  <c r="A131" i="4"/>
  <c r="A132" i="4"/>
  <c r="A133" i="4"/>
  <c r="A134" i="4"/>
  <c r="A135" i="4"/>
  <c r="A136" i="4"/>
  <c r="A137" i="4"/>
  <c r="A138" i="4"/>
  <c r="A139" i="4"/>
  <c r="A140" i="4"/>
  <c r="A141" i="4"/>
  <c r="A142" i="4"/>
  <c r="A143" i="4"/>
  <c r="G59" i="4"/>
  <c r="G64" i="4"/>
  <c r="B232" i="4"/>
  <c r="A150" i="4"/>
  <c r="A151" i="4"/>
  <c r="A152" i="4"/>
  <c r="A153" i="4"/>
  <c r="A154" i="4"/>
  <c r="A155" i="4"/>
  <c r="A156" i="4"/>
  <c r="A157" i="4"/>
  <c r="A158" i="4"/>
  <c r="A159" i="4"/>
  <c r="A160" i="4"/>
  <c r="A161" i="4"/>
  <c r="A162" i="4"/>
  <c r="A167" i="4"/>
  <c r="A168" i="4"/>
  <c r="A169" i="4"/>
  <c r="A170" i="4"/>
  <c r="A171" i="4"/>
  <c r="A172" i="4"/>
  <c r="A173" i="4"/>
  <c r="A174" i="4"/>
  <c r="A175" i="4"/>
  <c r="A176" i="4"/>
  <c r="A177" i="4"/>
  <c r="A178" i="4"/>
  <c r="A183" i="4"/>
  <c r="B235" i="4"/>
  <c r="A187" i="4"/>
  <c r="A191" i="4"/>
  <c r="B234" i="4"/>
  <c r="A198" i="4"/>
  <c r="B233" i="4"/>
  <c r="A199" i="4"/>
  <c r="A200" i="4"/>
  <c r="A201" i="4"/>
  <c r="A202" i="4"/>
  <c r="A203" i="4"/>
  <c r="A204" i="4"/>
  <c r="A205" i="4"/>
  <c r="A206" i="4"/>
  <c r="A207" i="4"/>
  <c r="A208" i="4"/>
  <c r="A209" i="4"/>
  <c r="A210" i="4"/>
  <c r="B236" i="4"/>
  <c r="C57" i="22"/>
  <c r="D19" i="71"/>
  <c r="D18" i="71"/>
  <c r="F46" i="22"/>
  <c r="F34" i="22"/>
  <c r="G69" i="22"/>
  <c r="G63" i="22"/>
  <c r="G22" i="45"/>
  <c r="G20" i="45"/>
  <c r="G19" i="45"/>
  <c r="G18" i="45"/>
  <c r="G21" i="45"/>
  <c r="J128" i="53"/>
  <c r="I128" i="53"/>
  <c r="F128" i="53"/>
  <c r="J127" i="53"/>
  <c r="I127" i="53"/>
  <c r="F127" i="53"/>
  <c r="J126" i="53"/>
  <c r="I126" i="53"/>
  <c r="F126" i="53"/>
  <c r="J125" i="53"/>
  <c r="I125" i="53"/>
  <c r="K125" i="53"/>
  <c r="F125" i="53"/>
  <c r="J124" i="53"/>
  <c r="I124" i="53"/>
  <c r="F124" i="53"/>
  <c r="J123" i="53"/>
  <c r="I123" i="53"/>
  <c r="F123" i="53"/>
  <c r="J122" i="53"/>
  <c r="I122" i="53"/>
  <c r="F122" i="53"/>
  <c r="J121" i="53"/>
  <c r="I121" i="53"/>
  <c r="K121" i="53"/>
  <c r="F121" i="53"/>
  <c r="J120" i="53"/>
  <c r="I120" i="53"/>
  <c r="F120" i="53"/>
  <c r="J119" i="53"/>
  <c r="I119" i="53"/>
  <c r="F119" i="53"/>
  <c r="J118" i="53"/>
  <c r="I118" i="53"/>
  <c r="F118" i="53"/>
  <c r="J117" i="53"/>
  <c r="I117" i="53"/>
  <c r="K117" i="53"/>
  <c r="F117" i="53"/>
  <c r="J116" i="53"/>
  <c r="I116" i="53"/>
  <c r="F116" i="53"/>
  <c r="J115" i="53"/>
  <c r="J130" i="53"/>
  <c r="I115" i="53"/>
  <c r="F115" i="53"/>
  <c r="B114" i="53"/>
  <c r="A108" i="53"/>
  <c r="A109" i="53"/>
  <c r="A110" i="53"/>
  <c r="A111" i="53"/>
  <c r="A112" i="53"/>
  <c r="A113" i="53"/>
  <c r="A114" i="53"/>
  <c r="B90" i="53"/>
  <c r="I38" i="53"/>
  <c r="D38" i="53"/>
  <c r="I37" i="53"/>
  <c r="D37" i="53"/>
  <c r="I36" i="53"/>
  <c r="D36" i="53"/>
  <c r="A29" i="53"/>
  <c r="A30" i="53"/>
  <c r="A31" i="53"/>
  <c r="A32" i="53"/>
  <c r="A33" i="53"/>
  <c r="A34" i="53"/>
  <c r="J27" i="53"/>
  <c r="J26" i="53"/>
  <c r="J25" i="53"/>
  <c r="J24" i="53"/>
  <c r="J23" i="53"/>
  <c r="J22" i="53"/>
  <c r="J21" i="53"/>
  <c r="J20" i="53"/>
  <c r="J19" i="53"/>
  <c r="J18" i="53"/>
  <c r="J17" i="53"/>
  <c r="J16" i="53"/>
  <c r="J15" i="53"/>
  <c r="J13" i="53"/>
  <c r="J12" i="53"/>
  <c r="K120" i="53"/>
  <c r="L120" i="53"/>
  <c r="K128" i="53"/>
  <c r="I130" i="53"/>
  <c r="K119" i="53"/>
  <c r="L119" i="53"/>
  <c r="K123" i="53"/>
  <c r="L123" i="53"/>
  <c r="K127" i="53"/>
  <c r="F130" i="53"/>
  <c r="K115" i="53"/>
  <c r="L115" i="53"/>
  <c r="K122" i="53"/>
  <c r="L122" i="53"/>
  <c r="K126" i="53"/>
  <c r="L126" i="53"/>
  <c r="L128" i="53"/>
  <c r="K124" i="53"/>
  <c r="L124" i="53"/>
  <c r="K116" i="53"/>
  <c r="L116" i="53"/>
  <c r="L121" i="53"/>
  <c r="J28" i="53"/>
  <c r="L127" i="53"/>
  <c r="K118" i="53"/>
  <c r="L117" i="53"/>
  <c r="L125" i="53"/>
  <c r="L118" i="53"/>
  <c r="A7" i="63"/>
  <c r="A8" i="63"/>
  <c r="A9" i="63"/>
  <c r="A10" i="63"/>
  <c r="A11" i="63"/>
  <c r="A12" i="63"/>
  <c r="A13" i="63"/>
  <c r="A14" i="63"/>
  <c r="A15" i="63"/>
  <c r="A16" i="63"/>
  <c r="A20" i="63"/>
  <c r="A21" i="63"/>
  <c r="A22"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8" i="63"/>
  <c r="A59" i="63"/>
  <c r="A60" i="63"/>
  <c r="A61" i="63"/>
  <c r="A62" i="63"/>
  <c r="A63" i="63"/>
  <c r="A64" i="63"/>
  <c r="L130" i="53"/>
  <c r="M118" i="53"/>
  <c r="C16" i="53"/>
  <c r="K130" i="53"/>
  <c r="M122" i="53"/>
  <c r="C20" i="53"/>
  <c r="M115" i="53"/>
  <c r="C12" i="53"/>
  <c r="M117" i="53"/>
  <c r="C15" i="53"/>
  <c r="M121" i="53"/>
  <c r="C19" i="53"/>
  <c r="M123" i="53"/>
  <c r="C21" i="53"/>
  <c r="M119" i="53"/>
  <c r="C17" i="53"/>
  <c r="M124" i="53"/>
  <c r="C22" i="53"/>
  <c r="M116" i="53"/>
  <c r="C13" i="53"/>
  <c r="M128" i="53"/>
  <c r="C26" i="53"/>
  <c r="M120" i="53"/>
  <c r="C18" i="53"/>
  <c r="M127" i="53"/>
  <c r="C25" i="53"/>
  <c r="M125" i="53"/>
  <c r="C23" i="53"/>
  <c r="M126" i="53"/>
  <c r="C24" i="53"/>
  <c r="M130" i="53"/>
  <c r="C28" i="53"/>
  <c r="E29" i="55"/>
  <c r="D29" i="55"/>
  <c r="C29" i="55"/>
  <c r="H42" i="8"/>
  <c r="H33" i="8"/>
  <c r="F26" i="65"/>
  <c r="F27" i="65"/>
  <c r="F28" i="65"/>
  <c r="F29" i="65"/>
  <c r="F30" i="65"/>
  <c r="F31" i="65"/>
  <c r="F32" i="65"/>
  <c r="F33" i="65"/>
  <c r="F34" i="65"/>
  <c r="F35" i="65"/>
  <c r="F36" i="65"/>
  <c r="E222" i="49"/>
  <c r="O34" i="48"/>
  <c r="O35" i="48"/>
  <c r="O36" i="48"/>
  <c r="J20" i="61"/>
  <c r="M20" i="61"/>
  <c r="G20" i="61"/>
  <c r="I20" i="61"/>
  <c r="P97" i="48"/>
  <c r="P98" i="48"/>
  <c r="P99" i="48"/>
  <c r="C34" i="48"/>
  <c r="C35" i="48"/>
  <c r="C36" i="48"/>
  <c r="C97" i="48"/>
  <c r="C98" i="48"/>
  <c r="C99" i="48"/>
  <c r="P66" i="48"/>
  <c r="P67" i="48"/>
  <c r="P68" i="48"/>
  <c r="P36" i="48"/>
  <c r="P35" i="48"/>
  <c r="P34" i="48"/>
  <c r="I407" i="49"/>
  <c r="I408" i="49"/>
  <c r="I409" i="49"/>
  <c r="E407" i="49"/>
  <c r="F407" i="49"/>
  <c r="E408" i="49"/>
  <c r="F408" i="49"/>
  <c r="E409" i="49"/>
  <c r="F409" i="49"/>
  <c r="I374" i="49"/>
  <c r="I375" i="49"/>
  <c r="I376" i="49"/>
  <c r="E374" i="49"/>
  <c r="F374" i="49"/>
  <c r="E375" i="49"/>
  <c r="F375" i="49"/>
  <c r="E376" i="49"/>
  <c r="F376" i="49"/>
  <c r="I341" i="49"/>
  <c r="I342" i="49"/>
  <c r="I343" i="49"/>
  <c r="E341" i="49"/>
  <c r="F341" i="49"/>
  <c r="E342" i="49"/>
  <c r="F342" i="49"/>
  <c r="E343" i="49"/>
  <c r="F343" i="49"/>
  <c r="I308" i="49"/>
  <c r="I309" i="49"/>
  <c r="I310" i="49"/>
  <c r="E308" i="49"/>
  <c r="F308" i="49"/>
  <c r="E309" i="49"/>
  <c r="F309" i="49"/>
  <c r="E310" i="49"/>
  <c r="F310" i="49"/>
  <c r="I275" i="49"/>
  <c r="I276" i="49"/>
  <c r="I277" i="49"/>
  <c r="E275" i="49"/>
  <c r="F275" i="49"/>
  <c r="E276" i="49"/>
  <c r="F276" i="49"/>
  <c r="E277" i="49"/>
  <c r="F277" i="49"/>
  <c r="I242" i="49"/>
  <c r="I243" i="49"/>
  <c r="I244" i="49"/>
  <c r="E242" i="49"/>
  <c r="F242" i="49"/>
  <c r="E243" i="49"/>
  <c r="F243" i="49"/>
  <c r="E244" i="49"/>
  <c r="F244" i="49"/>
  <c r="I209" i="49"/>
  <c r="I210" i="49"/>
  <c r="I211" i="49"/>
  <c r="E209" i="49"/>
  <c r="F209" i="49"/>
  <c r="E210" i="49"/>
  <c r="F210" i="49"/>
  <c r="E211" i="49"/>
  <c r="F211" i="49"/>
  <c r="I176" i="49"/>
  <c r="I177" i="49"/>
  <c r="I178" i="49"/>
  <c r="E176" i="49"/>
  <c r="F176" i="49"/>
  <c r="E177" i="49"/>
  <c r="F177" i="49"/>
  <c r="E178" i="49"/>
  <c r="F178" i="49"/>
  <c r="I145" i="49"/>
  <c r="E145" i="49"/>
  <c r="F145" i="49"/>
  <c r="I143" i="49"/>
  <c r="I144" i="49"/>
  <c r="E143" i="49"/>
  <c r="F143" i="49"/>
  <c r="E144" i="49"/>
  <c r="F144" i="49"/>
  <c r="I110" i="49"/>
  <c r="I111" i="49"/>
  <c r="I112" i="49"/>
  <c r="E110" i="49"/>
  <c r="E111" i="49"/>
  <c r="E112" i="49"/>
  <c r="F66" i="48"/>
  <c r="F34" i="48"/>
  <c r="F67" i="48"/>
  <c r="F35" i="48"/>
  <c r="F68" i="48"/>
  <c r="F36" i="48"/>
  <c r="E66" i="48"/>
  <c r="E34" i="48"/>
  <c r="E67" i="48"/>
  <c r="E35" i="48"/>
  <c r="E68" i="48"/>
  <c r="E36" i="48"/>
  <c r="I76" i="49"/>
  <c r="G66" i="48"/>
  <c r="G34" i="48"/>
  <c r="I78" i="49"/>
  <c r="G68" i="48"/>
  <c r="G36" i="48"/>
  <c r="E77" i="49"/>
  <c r="I77" i="49"/>
  <c r="G67" i="48"/>
  <c r="G35" i="48"/>
  <c r="E76" i="49"/>
  <c r="E78" i="49"/>
  <c r="F111" i="49"/>
  <c r="F77" i="49"/>
  <c r="F112" i="49"/>
  <c r="F78" i="49"/>
  <c r="F110" i="49"/>
  <c r="F76" i="49"/>
  <c r="D128" i="48"/>
  <c r="D127" i="48"/>
  <c r="D126" i="48"/>
  <c r="D125" i="48"/>
  <c r="D124" i="48"/>
  <c r="D123" i="48"/>
  <c r="D122" i="48"/>
  <c r="D121" i="48"/>
  <c r="D120" i="48"/>
  <c r="D119" i="48"/>
  <c r="F245" i="61"/>
  <c r="F72" i="64"/>
  <c r="E72" i="64"/>
  <c r="D72" i="64"/>
  <c r="F67" i="64"/>
  <c r="F66" i="64"/>
  <c r="E67" i="64"/>
  <c r="E66" i="64"/>
  <c r="D67" i="64"/>
  <c r="D66" i="64"/>
  <c r="D24" i="64"/>
  <c r="L12" i="64"/>
  <c r="K12" i="64"/>
  <c r="J12" i="64"/>
  <c r="I12" i="64"/>
  <c r="H12" i="64"/>
  <c r="G12" i="64"/>
  <c r="F12" i="64"/>
  <c r="E12" i="64"/>
  <c r="D12" i="64"/>
  <c r="C24" i="64"/>
  <c r="C12" i="64"/>
  <c r="B97" i="64"/>
  <c r="F68" i="64"/>
  <c r="D68" i="64"/>
  <c r="D77" i="64"/>
  <c r="A43" i="64"/>
  <c r="A44" i="64"/>
  <c r="A45" i="64"/>
  <c r="A46" i="64"/>
  <c r="A47" i="64"/>
  <c r="A48" i="64"/>
  <c r="A13" i="64"/>
  <c r="A14" i="64"/>
  <c r="A15" i="64"/>
  <c r="A16" i="64"/>
  <c r="A17" i="64"/>
  <c r="A18" i="64"/>
  <c r="A19" i="64"/>
  <c r="A20" i="64"/>
  <c r="A21" i="64"/>
  <c r="A22" i="64"/>
  <c r="A23" i="64"/>
  <c r="A24" i="64"/>
  <c r="A25" i="64"/>
  <c r="A26" i="64"/>
  <c r="A28" i="64"/>
  <c r="C48" i="64"/>
  <c r="D70" i="21"/>
  <c r="F48" i="64"/>
  <c r="J48" i="64"/>
  <c r="G48" i="64"/>
  <c r="K48" i="64"/>
  <c r="D48" i="64"/>
  <c r="H48" i="64"/>
  <c r="L48" i="64"/>
  <c r="E48" i="64"/>
  <c r="I48" i="64"/>
  <c r="A49" i="64"/>
  <c r="A50" i="64"/>
  <c r="A51" i="64"/>
  <c r="A52" i="64"/>
  <c r="A53" i="64"/>
  <c r="A54" i="64"/>
  <c r="A55" i="64"/>
  <c r="A56" i="64"/>
  <c r="A57" i="64"/>
  <c r="A58" i="64"/>
  <c r="A59" i="64"/>
  <c r="A60" i="64"/>
  <c r="A61" i="64"/>
  <c r="A62" i="64"/>
  <c r="A63" i="64"/>
  <c r="A64" i="64"/>
  <c r="A65" i="64"/>
  <c r="A66" i="64"/>
  <c r="A67" i="64"/>
  <c r="A68" i="64"/>
  <c r="E68" i="64"/>
  <c r="E77" i="64"/>
  <c r="F77" i="64"/>
  <c r="J70" i="21"/>
  <c r="E70" i="21"/>
  <c r="G70" i="21"/>
  <c r="H70" i="21"/>
  <c r="K70" i="21"/>
  <c r="F70" i="21"/>
  <c r="L70" i="21"/>
  <c r="G91" i="64"/>
  <c r="M70" i="21"/>
  <c r="M48" i="64"/>
  <c r="I70" i="21"/>
  <c r="B146" i="21"/>
  <c r="G77" i="64"/>
  <c r="F92" i="64"/>
  <c r="B98" i="64"/>
  <c r="A69" i="64"/>
  <c r="A70" i="64"/>
  <c r="A71" i="64"/>
  <c r="A72" i="64"/>
  <c r="N70" i="21"/>
  <c r="B99" i="64"/>
  <c r="A73" i="64"/>
  <c r="A74" i="64"/>
  <c r="A75" i="64"/>
  <c r="A76" i="64"/>
  <c r="A77" i="64"/>
  <c r="B104" i="64"/>
  <c r="G92" i="64"/>
  <c r="A78" i="64"/>
  <c r="A79" i="64"/>
  <c r="A80" i="64"/>
  <c r="A81" i="64"/>
  <c r="A82" i="64"/>
  <c r="A83" i="64"/>
  <c r="A84" i="64"/>
  <c r="A85" i="64"/>
  <c r="A86" i="64"/>
  <c r="I84" i="64"/>
  <c r="I86" i="64"/>
  <c r="G93" i="64"/>
  <c r="A87" i="64"/>
  <c r="A88" i="64"/>
  <c r="A89" i="64"/>
  <c r="A90" i="64"/>
  <c r="A91" i="64"/>
  <c r="A92" i="64"/>
  <c r="A93" i="64"/>
  <c r="A94" i="64"/>
  <c r="I129" i="1"/>
  <c r="G94" i="64"/>
  <c r="O19" i="48"/>
  <c r="J86" i="8"/>
  <c r="E87" i="8"/>
  <c r="C117" i="48"/>
  <c r="H26" i="8"/>
  <c r="I31" i="1"/>
  <c r="A33" i="79"/>
  <c r="A34" i="79"/>
  <c r="A35" i="79"/>
  <c r="A36" i="79"/>
  <c r="A37" i="79"/>
  <c r="A38" i="79"/>
  <c r="A39" i="79"/>
  <c r="E19" i="71"/>
  <c r="E18" i="71"/>
  <c r="D17" i="71"/>
  <c r="D16" i="71"/>
  <c r="D15" i="71"/>
  <c r="D14" i="71"/>
  <c r="D13" i="71"/>
  <c r="D12" i="71"/>
  <c r="D11" i="71"/>
  <c r="D10" i="71"/>
  <c r="D9" i="71"/>
  <c r="D21" i="7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E405" i="49"/>
  <c r="E404" i="49"/>
  <c r="E403" i="49"/>
  <c r="E402" i="49"/>
  <c r="E401" i="49"/>
  <c r="E400" i="49"/>
  <c r="E399" i="49"/>
  <c r="E398" i="49"/>
  <c r="E397" i="49"/>
  <c r="E396" i="49"/>
  <c r="E395" i="49"/>
  <c r="E394" i="49"/>
  <c r="E393" i="49"/>
  <c r="E392" i="49"/>
  <c r="E391" i="49"/>
  <c r="E390" i="49"/>
  <c r="E389" i="49"/>
  <c r="E388" i="49"/>
  <c r="E387" i="49"/>
  <c r="F387" i="49"/>
  <c r="E386" i="49"/>
  <c r="F386" i="49"/>
  <c r="J386" i="49"/>
  <c r="I373" i="49"/>
  <c r="I372" i="49"/>
  <c r="I371" i="49"/>
  <c r="I370" i="49"/>
  <c r="I369" i="49"/>
  <c r="I368" i="49"/>
  <c r="I367" i="49"/>
  <c r="I366" i="49"/>
  <c r="I365" i="49"/>
  <c r="I364" i="49"/>
  <c r="I363" i="49"/>
  <c r="I362" i="49"/>
  <c r="I361" i="49"/>
  <c r="I360" i="49"/>
  <c r="I359" i="49"/>
  <c r="I358" i="49"/>
  <c r="I357" i="49"/>
  <c r="I356" i="49"/>
  <c r="I355" i="49"/>
  <c r="I354" i="49"/>
  <c r="I353" i="49"/>
  <c r="E373" i="49"/>
  <c r="E372" i="49"/>
  <c r="E371" i="49"/>
  <c r="E370" i="49"/>
  <c r="E369" i="49"/>
  <c r="E368" i="49"/>
  <c r="E367" i="49"/>
  <c r="E366" i="49"/>
  <c r="E365" i="49"/>
  <c r="E364" i="49"/>
  <c r="E363" i="49"/>
  <c r="E362" i="49"/>
  <c r="E361" i="49"/>
  <c r="E360" i="49"/>
  <c r="E359" i="49"/>
  <c r="E358" i="49"/>
  <c r="E357" i="49"/>
  <c r="E356" i="49"/>
  <c r="E355" i="49"/>
  <c r="E354" i="49"/>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E339" i="49"/>
  <c r="E338" i="49"/>
  <c r="E337" i="49"/>
  <c r="E336" i="49"/>
  <c r="E335" i="49"/>
  <c r="E334" i="49"/>
  <c r="E333" i="49"/>
  <c r="E332" i="49"/>
  <c r="E331" i="49"/>
  <c r="E330" i="49"/>
  <c r="E329" i="49"/>
  <c r="E328" i="49"/>
  <c r="E327" i="49"/>
  <c r="E326" i="49"/>
  <c r="E325" i="49"/>
  <c r="E324" i="49"/>
  <c r="E323" i="49"/>
  <c r="E322" i="49"/>
  <c r="E321" i="49"/>
  <c r="E320" i="49"/>
  <c r="I307" i="49"/>
  <c r="I306" i="49"/>
  <c r="I305" i="49"/>
  <c r="I304" i="49"/>
  <c r="I303" i="49"/>
  <c r="I302" i="49"/>
  <c r="I301" i="49"/>
  <c r="I300" i="49"/>
  <c r="I299" i="49"/>
  <c r="I298" i="49"/>
  <c r="I297" i="49"/>
  <c r="I296" i="49"/>
  <c r="I295" i="49"/>
  <c r="I294" i="49"/>
  <c r="I293" i="49"/>
  <c r="I292" i="49"/>
  <c r="I291" i="49"/>
  <c r="I290" i="49"/>
  <c r="I289" i="49"/>
  <c r="I288" i="49"/>
  <c r="I287" i="49"/>
  <c r="E307" i="49"/>
  <c r="E306" i="49"/>
  <c r="E305" i="49"/>
  <c r="E304" i="49"/>
  <c r="E303" i="49"/>
  <c r="E302" i="49"/>
  <c r="E301" i="49"/>
  <c r="E300" i="49"/>
  <c r="E299" i="49"/>
  <c r="E298" i="49"/>
  <c r="E297" i="49"/>
  <c r="E296" i="49"/>
  <c r="E295" i="49"/>
  <c r="E294" i="49"/>
  <c r="E293" i="49"/>
  <c r="E292" i="49"/>
  <c r="E291" i="49"/>
  <c r="E290" i="49"/>
  <c r="E289" i="49"/>
  <c r="E288" i="49"/>
  <c r="E287" i="49"/>
  <c r="I274" i="49"/>
  <c r="I273" i="49"/>
  <c r="I272" i="49"/>
  <c r="I271" i="49"/>
  <c r="I270" i="49"/>
  <c r="I269" i="49"/>
  <c r="I268" i="49"/>
  <c r="I267" i="49"/>
  <c r="I266" i="49"/>
  <c r="I265" i="49"/>
  <c r="I264" i="49"/>
  <c r="I263" i="49"/>
  <c r="I262" i="49"/>
  <c r="I261" i="49"/>
  <c r="I260" i="49"/>
  <c r="I259" i="49"/>
  <c r="I258" i="49"/>
  <c r="I257" i="49"/>
  <c r="I256" i="49"/>
  <c r="I255" i="49"/>
  <c r="I254" i="49"/>
  <c r="E274" i="49"/>
  <c r="E273" i="49"/>
  <c r="E272" i="49"/>
  <c r="E271" i="49"/>
  <c r="E270" i="49"/>
  <c r="E269" i="49"/>
  <c r="E268" i="49"/>
  <c r="E267" i="49"/>
  <c r="E266" i="49"/>
  <c r="E265" i="49"/>
  <c r="E264" i="49"/>
  <c r="E263" i="49"/>
  <c r="E262" i="49"/>
  <c r="E261" i="49"/>
  <c r="E260" i="49"/>
  <c r="E259" i="49"/>
  <c r="E258" i="49"/>
  <c r="E257" i="49"/>
  <c r="E256" i="49"/>
  <c r="E255" i="49"/>
  <c r="E254" i="49"/>
  <c r="I241" i="49"/>
  <c r="I240" i="49"/>
  <c r="I239" i="49"/>
  <c r="I238" i="49"/>
  <c r="I237" i="49"/>
  <c r="I236" i="49"/>
  <c r="I235" i="49"/>
  <c r="I234" i="49"/>
  <c r="I233" i="49"/>
  <c r="I232" i="49"/>
  <c r="I231" i="49"/>
  <c r="I230" i="49"/>
  <c r="I229" i="49"/>
  <c r="I228" i="49"/>
  <c r="I227" i="49"/>
  <c r="I226" i="49"/>
  <c r="I225" i="49"/>
  <c r="I224" i="49"/>
  <c r="I223" i="49"/>
  <c r="I222" i="49"/>
  <c r="I221" i="49"/>
  <c r="E241" i="49"/>
  <c r="E240" i="49"/>
  <c r="E239" i="49"/>
  <c r="E238" i="49"/>
  <c r="E237" i="49"/>
  <c r="E236" i="49"/>
  <c r="E235" i="49"/>
  <c r="E234" i="49"/>
  <c r="E233" i="49"/>
  <c r="E232" i="49"/>
  <c r="E231" i="49"/>
  <c r="E230" i="49"/>
  <c r="E229" i="49"/>
  <c r="E228" i="49"/>
  <c r="E227" i="49"/>
  <c r="E226" i="49"/>
  <c r="E225" i="49"/>
  <c r="E224" i="49"/>
  <c r="E223" i="49"/>
  <c r="E221" i="49"/>
  <c r="I189" i="49"/>
  <c r="I190" i="49"/>
  <c r="I191" i="49"/>
  <c r="I192" i="49"/>
  <c r="I193" i="49"/>
  <c r="I194" i="49"/>
  <c r="I195" i="49"/>
  <c r="I196" i="49"/>
  <c r="I197" i="49"/>
  <c r="I198" i="49"/>
  <c r="I199" i="49"/>
  <c r="I200" i="49"/>
  <c r="I201" i="49"/>
  <c r="I202" i="49"/>
  <c r="I203" i="49"/>
  <c r="I204" i="49"/>
  <c r="I205" i="49"/>
  <c r="I206" i="49"/>
  <c r="I207" i="49"/>
  <c r="I208" i="49"/>
  <c r="I188" i="49"/>
  <c r="E189" i="49"/>
  <c r="E190" i="49"/>
  <c r="E191" i="49"/>
  <c r="E192" i="49"/>
  <c r="E193" i="49"/>
  <c r="E194" i="49"/>
  <c r="E195" i="49"/>
  <c r="E196" i="49"/>
  <c r="E197" i="49"/>
  <c r="E198" i="49"/>
  <c r="E199" i="49"/>
  <c r="E200" i="49"/>
  <c r="E201" i="49"/>
  <c r="E202" i="49"/>
  <c r="E203" i="49"/>
  <c r="E204" i="49"/>
  <c r="E205" i="49"/>
  <c r="E206" i="49"/>
  <c r="E207" i="49"/>
  <c r="E208" i="49"/>
  <c r="E188" i="49"/>
  <c r="F188" i="49"/>
  <c r="I175" i="49"/>
  <c r="I174" i="49"/>
  <c r="I173" i="49"/>
  <c r="I172" i="49"/>
  <c r="I171" i="49"/>
  <c r="I170" i="49"/>
  <c r="I169" i="49"/>
  <c r="I168" i="49"/>
  <c r="I167" i="49"/>
  <c r="I166" i="49"/>
  <c r="I165" i="49"/>
  <c r="I164" i="49"/>
  <c r="I163" i="49"/>
  <c r="I162" i="49"/>
  <c r="I161" i="49"/>
  <c r="I160" i="49"/>
  <c r="I159" i="49"/>
  <c r="I158" i="49"/>
  <c r="I157" i="49"/>
  <c r="I156" i="49"/>
  <c r="I155" i="49"/>
  <c r="E175" i="49"/>
  <c r="E174" i="49"/>
  <c r="E173" i="49"/>
  <c r="E172" i="49"/>
  <c r="E171" i="49"/>
  <c r="E170" i="49"/>
  <c r="E169" i="49"/>
  <c r="E168" i="49"/>
  <c r="E167" i="49"/>
  <c r="E166" i="49"/>
  <c r="E165" i="49"/>
  <c r="E164" i="49"/>
  <c r="E163" i="49"/>
  <c r="E162" i="49"/>
  <c r="E161" i="49"/>
  <c r="E160" i="49"/>
  <c r="E159" i="49"/>
  <c r="E158" i="49"/>
  <c r="E157" i="49"/>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72" i="49"/>
  <c r="I105" i="49"/>
  <c r="I104" i="49"/>
  <c r="I103" i="49"/>
  <c r="I102" i="49"/>
  <c r="I68" i="49"/>
  <c r="I101" i="49"/>
  <c r="I100" i="49"/>
  <c r="I99" i="49"/>
  <c r="I98" i="49"/>
  <c r="I64" i="49"/>
  <c r="I97" i="49"/>
  <c r="I96" i="49"/>
  <c r="I95" i="49"/>
  <c r="I94" i="49"/>
  <c r="I60" i="49"/>
  <c r="I93" i="49"/>
  <c r="I92" i="49"/>
  <c r="I91" i="49"/>
  <c r="I90" i="49"/>
  <c r="I56" i="49"/>
  <c r="I89" i="49"/>
  <c r="E109" i="49"/>
  <c r="E108" i="49"/>
  <c r="E107" i="49"/>
  <c r="E106" i="49"/>
  <c r="E105" i="49"/>
  <c r="E104" i="49"/>
  <c r="E103" i="49"/>
  <c r="E102" i="49"/>
  <c r="E101" i="49"/>
  <c r="E100" i="49"/>
  <c r="E99" i="49"/>
  <c r="E98" i="49"/>
  <c r="E97" i="49"/>
  <c r="E96" i="49"/>
  <c r="E95" i="49"/>
  <c r="E94" i="49"/>
  <c r="E93" i="49"/>
  <c r="E92" i="49"/>
  <c r="E91" i="49"/>
  <c r="E90" i="49"/>
  <c r="E89" i="49"/>
  <c r="J387" i="49"/>
  <c r="K386" i="49"/>
  <c r="I57" i="49"/>
  <c r="E38" i="11"/>
  <c r="E57" i="49"/>
  <c r="E61" i="49"/>
  <c r="E65" i="49"/>
  <c r="E69" i="49"/>
  <c r="E73" i="49"/>
  <c r="I69" i="49"/>
  <c r="G59" i="48"/>
  <c r="G27" i="48"/>
  <c r="I61" i="49"/>
  <c r="G51" i="48"/>
  <c r="G19" i="48"/>
  <c r="I65" i="49"/>
  <c r="G55" i="48"/>
  <c r="G23" i="48"/>
  <c r="I73" i="49"/>
  <c r="E58" i="49"/>
  <c r="E66" i="49"/>
  <c r="E70" i="49"/>
  <c r="E62" i="49"/>
  <c r="E74" i="49"/>
  <c r="I58" i="49"/>
  <c r="G48" i="48"/>
  <c r="G16" i="48"/>
  <c r="I74" i="49"/>
  <c r="G64" i="48"/>
  <c r="G32" i="48"/>
  <c r="I62" i="49"/>
  <c r="G52" i="48"/>
  <c r="G20" i="48"/>
  <c r="I66" i="49"/>
  <c r="G56" i="48"/>
  <c r="G24" i="48"/>
  <c r="I70" i="49"/>
  <c r="G60" i="48"/>
  <c r="G28" i="48"/>
  <c r="I55" i="49"/>
  <c r="I59" i="49"/>
  <c r="I63" i="49"/>
  <c r="G53" i="48"/>
  <c r="G21" i="48"/>
  <c r="I67" i="49"/>
  <c r="I71" i="49"/>
  <c r="I75" i="49"/>
  <c r="E55" i="49"/>
  <c r="E59" i="49"/>
  <c r="E63" i="49"/>
  <c r="E67" i="49"/>
  <c r="E71" i="49"/>
  <c r="E75" i="49"/>
  <c r="E56" i="49"/>
  <c r="E60" i="49"/>
  <c r="E64" i="49"/>
  <c r="E68" i="49"/>
  <c r="E72" i="49"/>
  <c r="C120" i="48"/>
  <c r="E120" i="48"/>
  <c r="C119" i="48"/>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c r="A16" i="48"/>
  <c r="A17" i="48"/>
  <c r="A18" i="48"/>
  <c r="A19" i="48"/>
  <c r="A20" i="48"/>
  <c r="A21" i="48"/>
  <c r="A22" i="48"/>
  <c r="A23" i="48"/>
  <c r="A24" i="48"/>
  <c r="A25" i="48"/>
  <c r="A26" i="48"/>
  <c r="A27" i="48"/>
  <c r="A28" i="48"/>
  <c r="A29" i="48"/>
  <c r="A30" i="48"/>
  <c r="A31" i="48"/>
  <c r="A32" i="48"/>
  <c r="A33" i="48"/>
  <c r="A34" i="48"/>
  <c r="A35" i="48"/>
  <c r="A36" i="48"/>
  <c r="A37" i="48"/>
  <c r="L13" i="48"/>
  <c r="C13" i="48"/>
  <c r="G75" i="48"/>
  <c r="E75" i="48"/>
  <c r="G74" i="48"/>
  <c r="F43" i="48"/>
  <c r="E73" i="48"/>
  <c r="F406" i="49"/>
  <c r="F405" i="49"/>
  <c r="F404" i="49"/>
  <c r="F403" i="49"/>
  <c r="F402" i="49"/>
  <c r="F401" i="49"/>
  <c r="F400" i="49"/>
  <c r="F399" i="49"/>
  <c r="F398" i="49"/>
  <c r="F397" i="49"/>
  <c r="F396" i="49"/>
  <c r="F395" i="49"/>
  <c r="F394" i="49"/>
  <c r="F393" i="49"/>
  <c r="F392" i="49"/>
  <c r="F391" i="49"/>
  <c r="F390" i="49"/>
  <c r="F389" i="49"/>
  <c r="F388" i="49"/>
  <c r="K384" i="49"/>
  <c r="J384" i="49"/>
  <c r="I384" i="49"/>
  <c r="H384" i="49"/>
  <c r="G384" i="49"/>
  <c r="F384" i="49"/>
  <c r="E384" i="49"/>
  <c r="D384" i="49"/>
  <c r="K383" i="49"/>
  <c r="J383" i="49"/>
  <c r="I383" i="49"/>
  <c r="H383" i="49"/>
  <c r="G383" i="49"/>
  <c r="F383" i="49"/>
  <c r="E383" i="49"/>
  <c r="D383" i="49"/>
  <c r="G382" i="49"/>
  <c r="F373" i="49"/>
  <c r="F372" i="49"/>
  <c r="F371" i="49"/>
  <c r="F370" i="49"/>
  <c r="F369" i="49"/>
  <c r="F368" i="49"/>
  <c r="F367" i="49"/>
  <c r="F366" i="49"/>
  <c r="F365" i="49"/>
  <c r="F364" i="49"/>
  <c r="F363" i="49"/>
  <c r="F362" i="49"/>
  <c r="F361" i="49"/>
  <c r="F360" i="49"/>
  <c r="F359" i="49"/>
  <c r="F358" i="49"/>
  <c r="F357" i="49"/>
  <c r="F356" i="49"/>
  <c r="F355" i="49"/>
  <c r="F354" i="49"/>
  <c r="F353" i="49"/>
  <c r="J352" i="49"/>
  <c r="K351" i="49"/>
  <c r="J351" i="49"/>
  <c r="I351" i="49"/>
  <c r="H351" i="49"/>
  <c r="G351" i="49"/>
  <c r="F351" i="49"/>
  <c r="E351" i="49"/>
  <c r="D351" i="49"/>
  <c r="K350" i="49"/>
  <c r="J350" i="49"/>
  <c r="I350" i="49"/>
  <c r="H350" i="49"/>
  <c r="G350" i="49"/>
  <c r="F350" i="49"/>
  <c r="E350" i="49"/>
  <c r="D350" i="49"/>
  <c r="G349" i="49"/>
  <c r="F340" i="49"/>
  <c r="F339" i="49"/>
  <c r="F338" i="49"/>
  <c r="F337" i="49"/>
  <c r="F336" i="49"/>
  <c r="F335" i="49"/>
  <c r="F334" i="49"/>
  <c r="F333" i="49"/>
  <c r="F332" i="49"/>
  <c r="F331" i="49"/>
  <c r="F330" i="49"/>
  <c r="F329" i="49"/>
  <c r="F328" i="49"/>
  <c r="F327" i="49"/>
  <c r="F326" i="49"/>
  <c r="F325" i="49"/>
  <c r="F324" i="49"/>
  <c r="F323" i="49"/>
  <c r="F322" i="49"/>
  <c r="F321" i="49"/>
  <c r="F320" i="49"/>
  <c r="K318" i="49"/>
  <c r="J318" i="49"/>
  <c r="I318" i="49"/>
  <c r="H318" i="49"/>
  <c r="G318" i="49"/>
  <c r="F318" i="49"/>
  <c r="E318" i="49"/>
  <c r="D318" i="49"/>
  <c r="K317" i="49"/>
  <c r="J317" i="49"/>
  <c r="I317" i="49"/>
  <c r="H317" i="49"/>
  <c r="G317" i="49"/>
  <c r="F317" i="49"/>
  <c r="E317" i="49"/>
  <c r="D317" i="49"/>
  <c r="G316" i="49"/>
  <c r="F307" i="49"/>
  <c r="F306" i="49"/>
  <c r="F305" i="49"/>
  <c r="F304" i="49"/>
  <c r="F303" i="49"/>
  <c r="F302" i="49"/>
  <c r="F301" i="49"/>
  <c r="F300" i="49"/>
  <c r="F299" i="49"/>
  <c r="F298" i="49"/>
  <c r="F297" i="49"/>
  <c r="F296" i="49"/>
  <c r="F295" i="49"/>
  <c r="F294" i="49"/>
  <c r="F293" i="49"/>
  <c r="F292" i="49"/>
  <c r="F291" i="49"/>
  <c r="F290" i="49"/>
  <c r="F289" i="49"/>
  <c r="F288" i="49"/>
  <c r="F287" i="49"/>
  <c r="J286" i="49"/>
  <c r="K285" i="49"/>
  <c r="J285" i="49"/>
  <c r="I285" i="49"/>
  <c r="H285" i="49"/>
  <c r="G285" i="49"/>
  <c r="F285" i="49"/>
  <c r="E285" i="49"/>
  <c r="D285" i="49"/>
  <c r="K284" i="49"/>
  <c r="J284" i="49"/>
  <c r="I284" i="49"/>
  <c r="H284" i="49"/>
  <c r="G284" i="49"/>
  <c r="F284" i="49"/>
  <c r="E284" i="49"/>
  <c r="D284" i="49"/>
  <c r="G283" i="49"/>
  <c r="F273" i="49"/>
  <c r="F272" i="49"/>
  <c r="F271" i="49"/>
  <c r="F270" i="49"/>
  <c r="F269" i="49"/>
  <c r="F268" i="49"/>
  <c r="F267" i="49"/>
  <c r="F266" i="49"/>
  <c r="F265" i="49"/>
  <c r="F264" i="49"/>
  <c r="F263" i="49"/>
  <c r="F262" i="49"/>
  <c r="F261" i="49"/>
  <c r="F260" i="49"/>
  <c r="F259" i="49"/>
  <c r="F258" i="49"/>
  <c r="F256" i="49"/>
  <c r="F255" i="49"/>
  <c r="F254" i="49"/>
  <c r="J253" i="49"/>
  <c r="K252" i="49"/>
  <c r="J252" i="49"/>
  <c r="I252" i="49"/>
  <c r="H252" i="49"/>
  <c r="F252" i="49"/>
  <c r="E252" i="49"/>
  <c r="D252" i="49"/>
  <c r="K251" i="49"/>
  <c r="J251" i="49"/>
  <c r="I251" i="49"/>
  <c r="H251" i="49"/>
  <c r="F251" i="49"/>
  <c r="E251" i="49"/>
  <c r="D251" i="49"/>
  <c r="F241" i="49"/>
  <c r="F240" i="49"/>
  <c r="F239" i="49"/>
  <c r="F238" i="49"/>
  <c r="F237" i="49"/>
  <c r="F236" i="49"/>
  <c r="F235" i="49"/>
  <c r="F234" i="49"/>
  <c r="F233" i="49"/>
  <c r="F232" i="49"/>
  <c r="F231" i="49"/>
  <c r="F230" i="49"/>
  <c r="F229" i="49"/>
  <c r="F228" i="49"/>
  <c r="F227" i="49"/>
  <c r="F226" i="49"/>
  <c r="F225" i="49"/>
  <c r="F224" i="49"/>
  <c r="F223" i="49"/>
  <c r="F222" i="49"/>
  <c r="F221" i="49"/>
  <c r="J220" i="49"/>
  <c r="K219" i="49"/>
  <c r="J219" i="49"/>
  <c r="I219" i="49"/>
  <c r="H219" i="49"/>
  <c r="G219" i="49"/>
  <c r="F219" i="49"/>
  <c r="E219" i="49"/>
  <c r="D219" i="49"/>
  <c r="K218" i="49"/>
  <c r="J218" i="49"/>
  <c r="I218" i="49"/>
  <c r="H218" i="49"/>
  <c r="G218" i="49"/>
  <c r="F218" i="49"/>
  <c r="E218" i="49"/>
  <c r="D218" i="49"/>
  <c r="G217" i="49"/>
  <c r="F208" i="49"/>
  <c r="F207" i="49"/>
  <c r="F206" i="49"/>
  <c r="F205" i="49"/>
  <c r="F204" i="49"/>
  <c r="F203" i="49"/>
  <c r="F202" i="49"/>
  <c r="F201" i="49"/>
  <c r="F200" i="49"/>
  <c r="F198" i="49"/>
  <c r="F197" i="49"/>
  <c r="F196" i="49"/>
  <c r="F195" i="49"/>
  <c r="F194" i="49"/>
  <c r="F193" i="49"/>
  <c r="F192" i="49"/>
  <c r="F191" i="49"/>
  <c r="F190" i="49"/>
  <c r="F189" i="49"/>
  <c r="J187" i="49"/>
  <c r="K186" i="49"/>
  <c r="J186" i="49"/>
  <c r="I186" i="49"/>
  <c r="H186" i="49"/>
  <c r="G186" i="49"/>
  <c r="F186" i="49"/>
  <c r="E186" i="49"/>
  <c r="D186" i="49"/>
  <c r="K185" i="49"/>
  <c r="J185" i="49"/>
  <c r="I185" i="49"/>
  <c r="H185" i="49"/>
  <c r="G185" i="49"/>
  <c r="F185" i="49"/>
  <c r="E185" i="49"/>
  <c r="D185" i="49"/>
  <c r="G184" i="49"/>
  <c r="F175" i="49"/>
  <c r="F174" i="49"/>
  <c r="F173" i="49"/>
  <c r="F172" i="49"/>
  <c r="F171" i="49"/>
  <c r="F170" i="49"/>
  <c r="F169" i="49"/>
  <c r="F168" i="49"/>
  <c r="F167" i="49"/>
  <c r="F166" i="49"/>
  <c r="F165" i="49"/>
  <c r="F164" i="49"/>
  <c r="F163" i="49"/>
  <c r="F162" i="49"/>
  <c r="F161" i="49"/>
  <c r="F160" i="49"/>
  <c r="F159" i="49"/>
  <c r="F158" i="49"/>
  <c r="F157" i="49"/>
  <c r="F156" i="49"/>
  <c r="F155" i="49"/>
  <c r="J154" i="49"/>
  <c r="K153" i="49"/>
  <c r="J153" i="49"/>
  <c r="I153" i="49"/>
  <c r="H153" i="49"/>
  <c r="G153" i="49"/>
  <c r="F153" i="49"/>
  <c r="E153" i="49"/>
  <c r="D153" i="49"/>
  <c r="K152" i="49"/>
  <c r="J152" i="49"/>
  <c r="I152" i="49"/>
  <c r="H152" i="49"/>
  <c r="G152" i="49"/>
  <c r="F152" i="49"/>
  <c r="E152" i="49"/>
  <c r="D152" i="49"/>
  <c r="G151" i="49"/>
  <c r="F142" i="49"/>
  <c r="F141" i="49"/>
  <c r="F140" i="49"/>
  <c r="F139" i="49"/>
  <c r="F138" i="49"/>
  <c r="F137" i="49"/>
  <c r="F136" i="49"/>
  <c r="G58" i="48"/>
  <c r="G26" i="48"/>
  <c r="F135" i="49"/>
  <c r="F134" i="49"/>
  <c r="F133" i="49"/>
  <c r="F132" i="49"/>
  <c r="G54" i="48"/>
  <c r="G22" i="48"/>
  <c r="F131" i="49"/>
  <c r="F130" i="49"/>
  <c r="F129" i="49"/>
  <c r="F128" i="49"/>
  <c r="F127" i="49"/>
  <c r="F126" i="49"/>
  <c r="F125" i="49"/>
  <c r="F124" i="49"/>
  <c r="F123" i="49"/>
  <c r="F122" i="49"/>
  <c r="J121" i="49"/>
  <c r="K120" i="49"/>
  <c r="J120" i="49"/>
  <c r="I120" i="49"/>
  <c r="H120" i="49"/>
  <c r="G120" i="49"/>
  <c r="G450" i="49"/>
  <c r="F120" i="49"/>
  <c r="E120" i="49"/>
  <c r="D120" i="49"/>
  <c r="K119" i="49"/>
  <c r="J119" i="49"/>
  <c r="I119" i="49"/>
  <c r="H119" i="49"/>
  <c r="G119" i="49"/>
  <c r="G449" i="49"/>
  <c r="F119" i="49"/>
  <c r="E119" i="49"/>
  <c r="D119" i="49"/>
  <c r="G118" i="49"/>
  <c r="G448" i="49"/>
  <c r="F109" i="49"/>
  <c r="F108" i="49"/>
  <c r="G63" i="48"/>
  <c r="G31" i="48"/>
  <c r="F106" i="49"/>
  <c r="F105" i="49"/>
  <c r="F104" i="49"/>
  <c r="F103" i="49"/>
  <c r="F102" i="49"/>
  <c r="F101" i="49"/>
  <c r="F100" i="49"/>
  <c r="F98" i="49"/>
  <c r="F97" i="49"/>
  <c r="F96" i="49"/>
  <c r="F95" i="49"/>
  <c r="F94" i="49"/>
  <c r="F93" i="49"/>
  <c r="F92" i="49"/>
  <c r="G47" i="48"/>
  <c r="G15" i="48"/>
  <c r="F91" i="49"/>
  <c r="F90" i="49"/>
  <c r="F89" i="49"/>
  <c r="J88" i="49"/>
  <c r="K87" i="49"/>
  <c r="J87" i="49"/>
  <c r="I87" i="49"/>
  <c r="H87" i="49"/>
  <c r="G87" i="49"/>
  <c r="G417" i="49"/>
  <c r="F87" i="49"/>
  <c r="E87" i="49"/>
  <c r="D87" i="49"/>
  <c r="K86" i="49"/>
  <c r="J86" i="49"/>
  <c r="I86" i="49"/>
  <c r="H86" i="49"/>
  <c r="G86" i="49"/>
  <c r="G416" i="49"/>
  <c r="F86" i="49"/>
  <c r="E86" i="49"/>
  <c r="D86" i="49"/>
  <c r="G85" i="49"/>
  <c r="G415" i="49"/>
  <c r="F65" i="48"/>
  <c r="F33" i="48"/>
  <c r="E65" i="48"/>
  <c r="E33" i="48"/>
  <c r="F64" i="48"/>
  <c r="F32" i="48"/>
  <c r="E64" i="48"/>
  <c r="E32" i="48"/>
  <c r="F63" i="48"/>
  <c r="F31" i="48"/>
  <c r="E63" i="48"/>
  <c r="E31" i="48"/>
  <c r="G62" i="48"/>
  <c r="G30" i="48"/>
  <c r="F62" i="48"/>
  <c r="F30" i="48"/>
  <c r="E62" i="48"/>
  <c r="E30" i="48"/>
  <c r="F61" i="48"/>
  <c r="F29" i="48"/>
  <c r="E61" i="48"/>
  <c r="E29" i="48"/>
  <c r="F60" i="48"/>
  <c r="F28" i="48"/>
  <c r="E60" i="48"/>
  <c r="E28" i="48"/>
  <c r="F59" i="48"/>
  <c r="F27" i="48"/>
  <c r="E59" i="48"/>
  <c r="E27" i="48"/>
  <c r="F58" i="48"/>
  <c r="F26" i="48"/>
  <c r="E58" i="48"/>
  <c r="E26" i="48"/>
  <c r="F57" i="48"/>
  <c r="F25" i="48"/>
  <c r="E57" i="48"/>
  <c r="E25" i="48"/>
  <c r="F56" i="48"/>
  <c r="F24" i="48"/>
  <c r="E56" i="48"/>
  <c r="E24" i="48"/>
  <c r="F55" i="48"/>
  <c r="F23" i="48"/>
  <c r="E55" i="48"/>
  <c r="E23" i="48"/>
  <c r="F54" i="48"/>
  <c r="F22" i="48"/>
  <c r="E54" i="48"/>
  <c r="E22" i="48"/>
  <c r="F53" i="48"/>
  <c r="F21" i="48"/>
  <c r="E53" i="48"/>
  <c r="E21" i="48"/>
  <c r="F52" i="48"/>
  <c r="F20" i="48"/>
  <c r="E52" i="48"/>
  <c r="E20" i="48"/>
  <c r="F51" i="48"/>
  <c r="F19" i="48"/>
  <c r="E51" i="48"/>
  <c r="E19" i="48"/>
  <c r="G50" i="48"/>
  <c r="G18" i="48"/>
  <c r="F50" i="48"/>
  <c r="F18" i="48"/>
  <c r="E50" i="48"/>
  <c r="E18" i="48"/>
  <c r="F49" i="48"/>
  <c r="F17" i="48"/>
  <c r="E49" i="48"/>
  <c r="E17" i="48"/>
  <c r="F48" i="48"/>
  <c r="F16" i="48"/>
  <c r="E48" i="48"/>
  <c r="E16" i="48"/>
  <c r="F47" i="48"/>
  <c r="F15" i="48"/>
  <c r="E47" i="48"/>
  <c r="E15" i="48"/>
  <c r="G46" i="48"/>
  <c r="G14" i="48"/>
  <c r="F46" i="48"/>
  <c r="F14" i="48"/>
  <c r="E46" i="48"/>
  <c r="E14" i="48"/>
  <c r="F45" i="48"/>
  <c r="F13" i="48"/>
  <c r="E45" i="48"/>
  <c r="A14" i="49"/>
  <c r="A15" i="49"/>
  <c r="A16" i="49"/>
  <c r="A17" i="49"/>
  <c r="A18" i="49"/>
  <c r="A19" i="49"/>
  <c r="A20" i="49"/>
  <c r="A21" i="49"/>
  <c r="A22" i="49"/>
  <c r="A23" i="49"/>
  <c r="A24" i="49"/>
  <c r="A25" i="49"/>
  <c r="F59" i="49"/>
  <c r="F63" i="49"/>
  <c r="F68" i="49"/>
  <c r="F60" i="49"/>
  <c r="F64" i="49"/>
  <c r="F55" i="49"/>
  <c r="F67" i="49"/>
  <c r="F71" i="49"/>
  <c r="F69" i="49"/>
  <c r="F56" i="49"/>
  <c r="F61" i="49"/>
  <c r="F62" i="49"/>
  <c r="F70" i="49"/>
  <c r="F74" i="49"/>
  <c r="F57" i="49"/>
  <c r="F72" i="49"/>
  <c r="J254" i="49"/>
  <c r="E119" i="48"/>
  <c r="H13" i="48"/>
  <c r="A45" i="48"/>
  <c r="A46" i="48"/>
  <c r="A47" i="48"/>
  <c r="A48" i="48"/>
  <c r="A49" i="48"/>
  <c r="A50" i="48"/>
  <c r="A51" i="48"/>
  <c r="A52" i="48"/>
  <c r="A53" i="48"/>
  <c r="A54" i="48"/>
  <c r="A55" i="48"/>
  <c r="A56" i="48"/>
  <c r="A57" i="48"/>
  <c r="A58" i="48"/>
  <c r="A59" i="48"/>
  <c r="A60" i="48"/>
  <c r="A61" i="48"/>
  <c r="A62" i="48"/>
  <c r="A63" i="48"/>
  <c r="A64" i="48"/>
  <c r="A65" i="48"/>
  <c r="G41" i="57"/>
  <c r="E78" i="7"/>
  <c r="J287" i="49"/>
  <c r="K287" i="49"/>
  <c r="J89" i="49"/>
  <c r="J122" i="49"/>
  <c r="K122" i="49"/>
  <c r="A26" i="49"/>
  <c r="A33" i="49"/>
  <c r="A34" i="49"/>
  <c r="A35" i="49"/>
  <c r="A36" i="49"/>
  <c r="A37" i="49"/>
  <c r="A38" i="49"/>
  <c r="A39" i="49"/>
  <c r="A40" i="49"/>
  <c r="E57" i="7"/>
  <c r="E46" i="7"/>
  <c r="E53" i="7"/>
  <c r="J320" i="49"/>
  <c r="K320" i="49"/>
  <c r="J353" i="49"/>
  <c r="K353" i="49"/>
  <c r="J221" i="49"/>
  <c r="K221" i="49"/>
  <c r="J188" i="49"/>
  <c r="K188" i="49"/>
  <c r="E16" i="71"/>
  <c r="F33" i="11"/>
  <c r="E15" i="71"/>
  <c r="F32" i="11"/>
  <c r="E17" i="71"/>
  <c r="F34" i="11"/>
  <c r="E14" i="71"/>
  <c r="F31" i="11"/>
  <c r="J54" i="49"/>
  <c r="D46" i="7"/>
  <c r="E12" i="71"/>
  <c r="F29" i="11"/>
  <c r="E9" i="71"/>
  <c r="F26" i="11"/>
  <c r="E13" i="71"/>
  <c r="F30" i="11"/>
  <c r="E10" i="71"/>
  <c r="F27" i="11"/>
  <c r="E11" i="71"/>
  <c r="F28" i="11"/>
  <c r="P95" i="48"/>
  <c r="P78" i="48"/>
  <c r="F74" i="48"/>
  <c r="E44" i="48"/>
  <c r="E13" i="48"/>
  <c r="P92" i="48"/>
  <c r="P79" i="48"/>
  <c r="P87" i="48"/>
  <c r="P94" i="48"/>
  <c r="P54" i="48"/>
  <c r="G44" i="48"/>
  <c r="P50" i="48"/>
  <c r="P57" i="48"/>
  <c r="P84" i="48"/>
  <c r="P93" i="48"/>
  <c r="P49" i="48"/>
  <c r="P56" i="48"/>
  <c r="P58" i="48"/>
  <c r="P85" i="48"/>
  <c r="P91" i="48"/>
  <c r="F75" i="48"/>
  <c r="F44" i="48"/>
  <c r="O15" i="48"/>
  <c r="I76" i="48"/>
  <c r="P89" i="48"/>
  <c r="P60" i="48"/>
  <c r="P65" i="48"/>
  <c r="P76" i="48"/>
  <c r="P82" i="48"/>
  <c r="P83" i="48"/>
  <c r="P20" i="48"/>
  <c r="O28" i="48"/>
  <c r="E42" i="48"/>
  <c r="P46" i="48"/>
  <c r="P64" i="48"/>
  <c r="P77" i="48"/>
  <c r="O14" i="48"/>
  <c r="O20" i="48"/>
  <c r="P48" i="48"/>
  <c r="P62" i="48"/>
  <c r="P80" i="48"/>
  <c r="P61" i="48"/>
  <c r="P53" i="48"/>
  <c r="P45" i="48"/>
  <c r="P96" i="48"/>
  <c r="P88" i="48"/>
  <c r="P59" i="48"/>
  <c r="P51" i="48"/>
  <c r="P63" i="48"/>
  <c r="P47" i="48"/>
  <c r="P86" i="48"/>
  <c r="P90" i="48"/>
  <c r="E74" i="48"/>
  <c r="E43" i="48"/>
  <c r="P81" i="48"/>
  <c r="O16" i="48"/>
  <c r="O32" i="48"/>
  <c r="G43" i="48"/>
  <c r="O22" i="48"/>
  <c r="O30" i="48"/>
  <c r="F257" i="49"/>
  <c r="F58" i="49"/>
  <c r="F274" i="49"/>
  <c r="F75" i="49"/>
  <c r="G57" i="48"/>
  <c r="G25" i="48"/>
  <c r="G61" i="48"/>
  <c r="G29" i="48"/>
  <c r="F107" i="49"/>
  <c r="F73" i="49"/>
  <c r="G65" i="48"/>
  <c r="G33" i="48"/>
  <c r="G45" i="48"/>
  <c r="K45" i="48"/>
  <c r="N45" i="48"/>
  <c r="F199" i="49"/>
  <c r="F66" i="49"/>
  <c r="F99" i="49"/>
  <c r="F65" i="49"/>
  <c r="G49" i="48"/>
  <c r="G17" i="48"/>
  <c r="J155" i="49"/>
  <c r="K155" i="49"/>
  <c r="F38" i="11"/>
  <c r="E21" i="71"/>
  <c r="A41" i="49"/>
  <c r="A42" i="49"/>
  <c r="A43" i="49"/>
  <c r="A44" i="49"/>
  <c r="A45" i="49"/>
  <c r="A46"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K89" i="49"/>
  <c r="J55" i="49"/>
  <c r="J90" i="49"/>
  <c r="M13" i="48"/>
  <c r="J388" i="49"/>
  <c r="K388" i="49"/>
  <c r="K387" i="49"/>
  <c r="J321" i="49"/>
  <c r="K321" i="49"/>
  <c r="J255" i="49"/>
  <c r="K255" i="49"/>
  <c r="K254" i="49"/>
  <c r="P24" i="48"/>
  <c r="J288" i="49"/>
  <c r="K288" i="49"/>
  <c r="A66" i="48"/>
  <c r="A67" i="48"/>
  <c r="A68" i="48"/>
  <c r="A76" i="48"/>
  <c r="A77" i="48"/>
  <c r="A78" i="48"/>
  <c r="A79" i="48"/>
  <c r="A80" i="48"/>
  <c r="A81" i="48"/>
  <c r="A82" i="48"/>
  <c r="A83" i="48"/>
  <c r="A84" i="48"/>
  <c r="A85" i="48"/>
  <c r="A86" i="48"/>
  <c r="A87" i="48"/>
  <c r="A88" i="48"/>
  <c r="A89" i="48"/>
  <c r="A90" i="48"/>
  <c r="A91" i="48"/>
  <c r="A92" i="48"/>
  <c r="A93" i="48"/>
  <c r="A94" i="48"/>
  <c r="A95" i="48"/>
  <c r="A96" i="48"/>
  <c r="A97" i="48"/>
  <c r="A98" i="48"/>
  <c r="A99" i="48"/>
  <c r="A103" i="48"/>
  <c r="J189" i="49"/>
  <c r="K189" i="49"/>
  <c r="J123" i="49"/>
  <c r="P28" i="48"/>
  <c r="J354" i="49"/>
  <c r="K354" i="49"/>
  <c r="J222" i="49"/>
  <c r="K222" i="49"/>
  <c r="G13" i="48"/>
  <c r="P32" i="48"/>
  <c r="P30" i="48"/>
  <c r="P13" i="48"/>
  <c r="P15" i="48"/>
  <c r="K46" i="48"/>
  <c r="P29" i="48"/>
  <c r="P19" i="48"/>
  <c r="P31" i="48"/>
  <c r="P25" i="48"/>
  <c r="P17" i="48"/>
  <c r="P26" i="48"/>
  <c r="P22" i="48"/>
  <c r="P21" i="48"/>
  <c r="P16" i="48"/>
  <c r="P18" i="48"/>
  <c r="P23" i="48"/>
  <c r="P33" i="48"/>
  <c r="P14" i="48"/>
  <c r="P27" i="48"/>
  <c r="J76" i="48"/>
  <c r="J13" i="48"/>
  <c r="I13" i="48"/>
  <c r="J156" i="49"/>
  <c r="K156" i="49"/>
  <c r="K47" i="48"/>
  <c r="K55" i="49"/>
  <c r="K90" i="49"/>
  <c r="J56" i="49"/>
  <c r="J91" i="49"/>
  <c r="J289" i="49"/>
  <c r="K289" i="49"/>
  <c r="J389" i="49"/>
  <c r="K389" i="49"/>
  <c r="J256" i="49"/>
  <c r="K256" i="49"/>
  <c r="J322" i="49"/>
  <c r="K322" i="49"/>
  <c r="J124" i="49"/>
  <c r="K124" i="49"/>
  <c r="K123" i="49"/>
  <c r="P37" i="48"/>
  <c r="D41" i="57"/>
  <c r="J223" i="49"/>
  <c r="A107" i="48"/>
  <c r="A111" i="48"/>
  <c r="G72" i="48"/>
  <c r="J190" i="49"/>
  <c r="K190"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G42" i="57"/>
  <c r="E82" i="7"/>
  <c r="J355" i="49"/>
  <c r="K355" i="49"/>
  <c r="K76" i="48"/>
  <c r="N76" i="48"/>
  <c r="N13" i="48"/>
  <c r="J157" i="49"/>
  <c r="K157" i="49"/>
  <c r="K48" i="48"/>
  <c r="J57" i="49"/>
  <c r="K56" i="49"/>
  <c r="J92" i="49"/>
  <c r="J93" i="49"/>
  <c r="K91" i="49"/>
  <c r="J290" i="49"/>
  <c r="K290" i="49"/>
  <c r="J390" i="49"/>
  <c r="K390" i="49"/>
  <c r="J257" i="49"/>
  <c r="K257" i="49"/>
  <c r="J323" i="49"/>
  <c r="K323" i="49"/>
  <c r="J125" i="49"/>
  <c r="K125" i="49"/>
  <c r="J224" i="49"/>
  <c r="K224" i="49"/>
  <c r="K223" i="49"/>
  <c r="J356" i="49"/>
  <c r="K356" i="49"/>
  <c r="J191"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G9" i="71"/>
  <c r="H26" i="11"/>
  <c r="K77" i="48"/>
  <c r="K14" i="48"/>
  <c r="K13" i="48"/>
  <c r="H72" i="48"/>
  <c r="J158" i="49"/>
  <c r="K158" i="49"/>
  <c r="J291" i="49"/>
  <c r="K291" i="49"/>
  <c r="K57" i="49"/>
  <c r="K49" i="48"/>
  <c r="K78" i="48"/>
  <c r="K15" i="48"/>
  <c r="J258" i="49"/>
  <c r="K258" i="49"/>
  <c r="K93" i="49"/>
  <c r="K92" i="49"/>
  <c r="J58" i="49"/>
  <c r="J225" i="49"/>
  <c r="K225" i="49"/>
  <c r="J391" i="49"/>
  <c r="K391" i="49"/>
  <c r="J324" i="49"/>
  <c r="K324" i="49"/>
  <c r="J126" i="49"/>
  <c r="K126" i="49"/>
  <c r="J192" i="49"/>
  <c r="K192" i="49"/>
  <c r="K191" i="49"/>
  <c r="J357" i="49"/>
  <c r="K357"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H27" i="11"/>
  <c r="G10" i="71"/>
  <c r="J292" i="49"/>
  <c r="K292" i="49"/>
  <c r="J159" i="49"/>
  <c r="K159" i="49"/>
  <c r="J94" i="49"/>
  <c r="J259" i="49"/>
  <c r="K259" i="49"/>
  <c r="J226" i="49"/>
  <c r="K226" i="49"/>
  <c r="K50" i="48"/>
  <c r="K79" i="48"/>
  <c r="K16" i="48"/>
  <c r="K94" i="49"/>
  <c r="K58" i="49"/>
  <c r="J59" i="49"/>
  <c r="K59" i="49"/>
  <c r="J392" i="49"/>
  <c r="K392" i="49"/>
  <c r="J325" i="49"/>
  <c r="K325" i="49"/>
  <c r="J193" i="49"/>
  <c r="K193" i="49"/>
  <c r="J127" i="49"/>
  <c r="K127" i="49"/>
  <c r="J358" i="49"/>
  <c r="K358"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G11" i="71"/>
  <c r="H28" i="11"/>
  <c r="A119" i="48"/>
  <c r="J72" i="48"/>
  <c r="J293" i="49"/>
  <c r="K293" i="49"/>
  <c r="J227" i="49"/>
  <c r="K227" i="49"/>
  <c r="J95" i="49"/>
  <c r="J160" i="49"/>
  <c r="K160" i="49"/>
  <c r="J260" i="49"/>
  <c r="K260" i="49"/>
  <c r="K51" i="48"/>
  <c r="K80" i="48"/>
  <c r="K17" i="48"/>
  <c r="J60" i="49"/>
  <c r="K95" i="49"/>
  <c r="K60" i="49"/>
  <c r="J393" i="49"/>
  <c r="K393" i="49"/>
  <c r="J326" i="49"/>
  <c r="K326" i="49"/>
  <c r="J194" i="49"/>
  <c r="K194" i="49"/>
  <c r="J128" i="49"/>
  <c r="K128" i="49"/>
  <c r="J359" i="49"/>
  <c r="A220" i="49"/>
  <c r="A221" i="49"/>
  <c r="A222" i="49"/>
  <c r="A223" i="49"/>
  <c r="A224" i="49"/>
  <c r="A225" i="49"/>
  <c r="A226" i="49"/>
  <c r="A227" i="49"/>
  <c r="A228" i="49"/>
  <c r="A229" i="49"/>
  <c r="A230" i="49"/>
  <c r="A231" i="49"/>
  <c r="A232" i="49"/>
  <c r="A233" i="49"/>
  <c r="A234" i="49"/>
  <c r="A235" i="49"/>
  <c r="A236" i="49"/>
  <c r="A237" i="49"/>
  <c r="A238" i="49"/>
  <c r="A239" i="49"/>
  <c r="A240" i="49"/>
  <c r="A241" i="49"/>
  <c r="G12" i="71"/>
  <c r="H29" i="11"/>
  <c r="A120" i="48"/>
  <c r="A121" i="48"/>
  <c r="A122" i="48"/>
  <c r="A123" i="48"/>
  <c r="A124" i="48"/>
  <c r="A125" i="48"/>
  <c r="A126" i="48"/>
  <c r="A127" i="48"/>
  <c r="A128" i="48"/>
  <c r="A129" i="48"/>
  <c r="A130" i="48"/>
  <c r="J228" i="49"/>
  <c r="K228" i="49"/>
  <c r="J294" i="49"/>
  <c r="K294" i="49"/>
  <c r="J261" i="49"/>
  <c r="K261" i="49"/>
  <c r="J96" i="49"/>
  <c r="J161" i="49"/>
  <c r="K161" i="49"/>
  <c r="K52" i="48"/>
  <c r="K81" i="48"/>
  <c r="K18" i="48"/>
  <c r="K96" i="49"/>
  <c r="J61" i="49"/>
  <c r="J394" i="49"/>
  <c r="K394" i="49"/>
  <c r="J327" i="49"/>
  <c r="K327" i="49"/>
  <c r="J195" i="49"/>
  <c r="K195" i="49"/>
  <c r="J360" i="49"/>
  <c r="K360" i="49"/>
  <c r="K359" i="49"/>
  <c r="K61" i="49"/>
  <c r="J129" i="49"/>
  <c r="K129" i="49"/>
  <c r="A242" i="49"/>
  <c r="A243" i="49"/>
  <c r="A244" i="49"/>
  <c r="A245"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F130" i="48"/>
  <c r="A131" i="48"/>
  <c r="A132" i="48"/>
  <c r="A133" i="48"/>
  <c r="F131" i="48"/>
  <c r="J162" i="49"/>
  <c r="K162" i="49"/>
  <c r="J295" i="49"/>
  <c r="K295" i="49"/>
  <c r="J97" i="49"/>
  <c r="J262" i="49"/>
  <c r="K262" i="49"/>
  <c r="J229" i="49"/>
  <c r="K229" i="49"/>
  <c r="K53" i="48"/>
  <c r="K82" i="48"/>
  <c r="K19" i="48"/>
  <c r="K97" i="49"/>
  <c r="J62" i="49"/>
  <c r="K62" i="49"/>
  <c r="J395" i="49"/>
  <c r="K395" i="49"/>
  <c r="J328" i="49"/>
  <c r="K328" i="49"/>
  <c r="J196" i="49"/>
  <c r="K196" i="49"/>
  <c r="J361" i="49"/>
  <c r="K361" i="49"/>
  <c r="J130" i="49"/>
  <c r="K130" i="49"/>
  <c r="F133" i="48"/>
  <c r="H30" i="11"/>
  <c r="A276" i="49"/>
  <c r="A277" i="49"/>
  <c r="A278"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G13" i="71"/>
  <c r="J230" i="49"/>
  <c r="K230" i="49"/>
  <c r="J296" i="49"/>
  <c r="K296" i="49"/>
  <c r="J263" i="49"/>
  <c r="K263" i="49"/>
  <c r="J163" i="49"/>
  <c r="J98" i="49"/>
  <c r="K54" i="48"/>
  <c r="K83" i="48"/>
  <c r="K20" i="48"/>
  <c r="J63" i="49"/>
  <c r="K98" i="49"/>
  <c r="J396" i="49"/>
  <c r="K396" i="49"/>
  <c r="J197" i="49"/>
  <c r="K197" i="49"/>
  <c r="J329" i="49"/>
  <c r="K329" i="49"/>
  <c r="J362" i="49"/>
  <c r="K362" i="49"/>
  <c r="J131" i="49"/>
  <c r="K131" i="49"/>
  <c r="K163" i="49"/>
  <c r="K63" i="49"/>
  <c r="H31" i="11"/>
  <c r="G14" i="71"/>
  <c r="A319" i="49"/>
  <c r="A320" i="49"/>
  <c r="A321" i="49"/>
  <c r="A322" i="49"/>
  <c r="A323" i="49"/>
  <c r="A324" i="49"/>
  <c r="A325" i="49"/>
  <c r="A326" i="49"/>
  <c r="A327" i="49"/>
  <c r="A328" i="49"/>
  <c r="A329" i="49"/>
  <c r="A330" i="49"/>
  <c r="A331" i="49"/>
  <c r="A332" i="49"/>
  <c r="A333" i="49"/>
  <c r="A334" i="49"/>
  <c r="A335" i="49"/>
  <c r="A336" i="49"/>
  <c r="A337" i="49"/>
  <c r="A338" i="49"/>
  <c r="A339" i="49"/>
  <c r="A340" i="49"/>
  <c r="G15" i="71"/>
  <c r="H32" i="11"/>
  <c r="J99" i="49"/>
  <c r="J164" i="49"/>
  <c r="J297" i="49"/>
  <c r="K297" i="49"/>
  <c r="J264" i="49"/>
  <c r="K264" i="49"/>
  <c r="J231" i="49"/>
  <c r="K231" i="49"/>
  <c r="K55" i="48"/>
  <c r="K84" i="48"/>
  <c r="K21" i="48"/>
  <c r="J198" i="49"/>
  <c r="K198" i="49"/>
  <c r="J397" i="49"/>
  <c r="K397" i="49"/>
  <c r="K99" i="49"/>
  <c r="J64" i="49"/>
  <c r="J132" i="49"/>
  <c r="K132" i="49"/>
  <c r="J330" i="49"/>
  <c r="K330" i="49"/>
  <c r="J363" i="49"/>
  <c r="K363" i="49"/>
  <c r="K164" i="49"/>
  <c r="K64" i="49"/>
  <c r="A341" i="49"/>
  <c r="A342" i="49"/>
  <c r="A343" i="49"/>
  <c r="A344" i="49"/>
  <c r="A352" i="49"/>
  <c r="A353" i="49"/>
  <c r="A354" i="49"/>
  <c r="A355" i="49"/>
  <c r="A356" i="49"/>
  <c r="A357" i="49"/>
  <c r="A358" i="49"/>
  <c r="A359" i="49"/>
  <c r="A360" i="49"/>
  <c r="A361" i="49"/>
  <c r="A362" i="49"/>
  <c r="A363" i="49"/>
  <c r="A364" i="49"/>
  <c r="A365" i="49"/>
  <c r="A366" i="49"/>
  <c r="A367" i="49"/>
  <c r="A368" i="49"/>
  <c r="A369" i="49"/>
  <c r="A370" i="49"/>
  <c r="A371" i="49"/>
  <c r="A372" i="49"/>
  <c r="A373" i="49"/>
  <c r="J199" i="49"/>
  <c r="K199" i="49"/>
  <c r="J232" i="49"/>
  <c r="K232" i="49"/>
  <c r="J298" i="49"/>
  <c r="K298" i="49"/>
  <c r="J265" i="49"/>
  <c r="K265" i="49"/>
  <c r="J100" i="49"/>
  <c r="J165" i="49"/>
  <c r="K165" i="49"/>
  <c r="K56" i="48"/>
  <c r="K85" i="48"/>
  <c r="K22" i="48"/>
  <c r="J398" i="49"/>
  <c r="K398" i="49"/>
  <c r="K100" i="49"/>
  <c r="J65" i="49"/>
  <c r="K65" i="49"/>
  <c r="H33" i="11"/>
  <c r="J331" i="49"/>
  <c r="K331" i="49"/>
  <c r="J133" i="49"/>
  <c r="K133" i="49"/>
  <c r="J364" i="49"/>
  <c r="K364" i="49"/>
  <c r="A374" i="49"/>
  <c r="A375" i="49"/>
  <c r="A376" i="49"/>
  <c r="A377" i="49"/>
  <c r="G17" i="71"/>
  <c r="G16" i="71"/>
  <c r="J101" i="49"/>
  <c r="J200" i="49"/>
  <c r="K200" i="49"/>
  <c r="J266" i="49"/>
  <c r="K266" i="49"/>
  <c r="J166" i="49"/>
  <c r="J299" i="49"/>
  <c r="K299" i="49"/>
  <c r="J233" i="49"/>
  <c r="K233" i="49"/>
  <c r="K57" i="48"/>
  <c r="J399" i="49"/>
  <c r="K399" i="49"/>
  <c r="K86" i="48"/>
  <c r="K23" i="48"/>
  <c r="K101" i="49"/>
  <c r="J66" i="49"/>
  <c r="J332" i="49"/>
  <c r="K332" i="49"/>
  <c r="J134" i="49"/>
  <c r="K134" i="49"/>
  <c r="J365" i="49"/>
  <c r="K365" i="49"/>
  <c r="K166" i="49"/>
  <c r="K66" i="49"/>
  <c r="H34" i="11"/>
  <c r="A385" i="49"/>
  <c r="A386" i="49"/>
  <c r="A387" i="49"/>
  <c r="A388" i="49"/>
  <c r="A389" i="49"/>
  <c r="A390" i="49"/>
  <c r="A391" i="49"/>
  <c r="A392" i="49"/>
  <c r="A393" i="49"/>
  <c r="A394" i="49"/>
  <c r="A395" i="49"/>
  <c r="A396" i="49"/>
  <c r="A397" i="49"/>
  <c r="A398" i="49"/>
  <c r="A399" i="49"/>
  <c r="A400" i="49"/>
  <c r="A401" i="49"/>
  <c r="A402" i="49"/>
  <c r="A403" i="49"/>
  <c r="A404" i="49"/>
  <c r="A405" i="49"/>
  <c r="A406" i="49"/>
  <c r="J300" i="49"/>
  <c r="K300" i="49"/>
  <c r="J267" i="49"/>
  <c r="K267" i="49"/>
  <c r="J102" i="49"/>
  <c r="J234" i="49"/>
  <c r="K234" i="49"/>
  <c r="J167" i="49"/>
  <c r="K167" i="49"/>
  <c r="J201" i="49"/>
  <c r="K201" i="49"/>
  <c r="J400" i="49"/>
  <c r="K400" i="49"/>
  <c r="K58" i="48"/>
  <c r="K87" i="48"/>
  <c r="K24" i="48"/>
  <c r="K102" i="49"/>
  <c r="J67" i="49"/>
  <c r="K67" i="49"/>
  <c r="J135" i="49"/>
  <c r="K135" i="49"/>
  <c r="J333" i="49"/>
  <c r="J366" i="49"/>
  <c r="K366" i="49"/>
  <c r="A407" i="49"/>
  <c r="A408" i="49"/>
  <c r="A409" i="49"/>
  <c r="A410"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J401" i="49"/>
  <c r="K401" i="49"/>
  <c r="J103" i="49"/>
  <c r="J168" i="49"/>
  <c r="K168" i="49"/>
  <c r="J301" i="49"/>
  <c r="K301" i="49"/>
  <c r="J202" i="49"/>
  <c r="K202" i="49"/>
  <c r="J235" i="49"/>
  <c r="K235" i="49"/>
  <c r="J268" i="49"/>
  <c r="K268" i="49"/>
  <c r="K59" i="48"/>
  <c r="K88" i="48"/>
  <c r="K25" i="48"/>
  <c r="J68" i="49"/>
  <c r="K103" i="49"/>
  <c r="J136" i="49"/>
  <c r="K136" i="49"/>
  <c r="K333" i="49"/>
  <c r="K68" i="49"/>
  <c r="J334" i="49"/>
  <c r="K334" i="49"/>
  <c r="H35" i="11"/>
  <c r="J367" i="49"/>
  <c r="K367" i="49"/>
  <c r="J169" i="49"/>
  <c r="J104" i="49"/>
  <c r="J269" i="49"/>
  <c r="K269" i="49"/>
  <c r="J236" i="49"/>
  <c r="K236" i="49"/>
  <c r="J203" i="49"/>
  <c r="K203" i="49"/>
  <c r="J302" i="49"/>
  <c r="K302" i="49"/>
  <c r="J402" i="49"/>
  <c r="K402" i="49"/>
  <c r="K60" i="48"/>
  <c r="K89" i="48"/>
  <c r="K26" i="48"/>
  <c r="J69" i="49"/>
  <c r="K104" i="49"/>
  <c r="J137" i="49"/>
  <c r="K137" i="49"/>
  <c r="J335" i="49"/>
  <c r="K335" i="49"/>
  <c r="J368" i="49"/>
  <c r="K368" i="49"/>
  <c r="K169" i="49"/>
  <c r="K69" i="49"/>
  <c r="J237" i="49"/>
  <c r="K237" i="49"/>
  <c r="J270" i="49"/>
  <c r="K270" i="49"/>
  <c r="J105" i="49"/>
  <c r="J403" i="49"/>
  <c r="K403" i="49"/>
  <c r="J303" i="49"/>
  <c r="K303" i="49"/>
  <c r="J204" i="49"/>
  <c r="K204" i="49"/>
  <c r="J170" i="49"/>
  <c r="K170" i="49"/>
  <c r="K61" i="48"/>
  <c r="K90" i="48"/>
  <c r="K27" i="48"/>
  <c r="J70" i="49"/>
  <c r="K70" i="49"/>
  <c r="J138" i="49"/>
  <c r="K138" i="49"/>
  <c r="K105" i="49"/>
  <c r="J336" i="49"/>
  <c r="K336" i="49"/>
  <c r="J369" i="49"/>
  <c r="K369" i="49"/>
  <c r="J271" i="49"/>
  <c r="K271" i="49"/>
  <c r="J171" i="49"/>
  <c r="J238" i="49"/>
  <c r="K238" i="49"/>
  <c r="J304" i="49"/>
  <c r="K304" i="49"/>
  <c r="J404" i="49"/>
  <c r="K404" i="49"/>
  <c r="J205" i="49"/>
  <c r="K205" i="49"/>
  <c r="J106" i="49"/>
  <c r="J337" i="49"/>
  <c r="K337" i="49"/>
  <c r="K62" i="48"/>
  <c r="K91" i="48"/>
  <c r="K28" i="48"/>
  <c r="K106" i="49"/>
  <c r="J139" i="49"/>
  <c r="K139" i="49"/>
  <c r="J71" i="49"/>
  <c r="J370" i="49"/>
  <c r="K370" i="49"/>
  <c r="K171" i="49"/>
  <c r="K71" i="49"/>
  <c r="J405" i="49"/>
  <c r="K405" i="49"/>
  <c r="J239" i="49"/>
  <c r="K239" i="49"/>
  <c r="J107" i="49"/>
  <c r="J338" i="49"/>
  <c r="K338" i="49"/>
  <c r="J206" i="49"/>
  <c r="K206" i="49"/>
  <c r="J305" i="49"/>
  <c r="K305" i="49"/>
  <c r="J172" i="49"/>
  <c r="J272" i="49"/>
  <c r="K272" i="49"/>
  <c r="K63" i="48"/>
  <c r="J140" i="49"/>
  <c r="K140" i="49"/>
  <c r="K92" i="48"/>
  <c r="K29" i="48"/>
  <c r="J72" i="49"/>
  <c r="K107" i="49"/>
  <c r="J371" i="49"/>
  <c r="K371" i="49"/>
  <c r="K172" i="49"/>
  <c r="K72" i="49"/>
  <c r="J108" i="49"/>
  <c r="J207" i="49"/>
  <c r="K207" i="49"/>
  <c r="J173" i="49"/>
  <c r="K173" i="49"/>
  <c r="J141" i="49"/>
  <c r="K141" i="49"/>
  <c r="J273" i="49"/>
  <c r="K273" i="49"/>
  <c r="J240" i="49"/>
  <c r="K240" i="49"/>
  <c r="J306" i="49"/>
  <c r="K306" i="49"/>
  <c r="J339" i="49"/>
  <c r="K339" i="49"/>
  <c r="J406" i="49"/>
  <c r="K406" i="49"/>
  <c r="K64" i="48"/>
  <c r="K93" i="48"/>
  <c r="K30" i="48"/>
  <c r="J372" i="49"/>
  <c r="K372" i="49"/>
  <c r="K108" i="49"/>
  <c r="K73" i="49"/>
  <c r="J73" i="49"/>
  <c r="J407" i="49"/>
  <c r="K407" i="49"/>
  <c r="J174" i="49"/>
  <c r="K174" i="49"/>
  <c r="J274" i="49"/>
  <c r="K274" i="49"/>
  <c r="J340" i="49"/>
  <c r="K340" i="49"/>
  <c r="J307" i="49"/>
  <c r="K307" i="49"/>
  <c r="J142" i="49"/>
  <c r="K142" i="49"/>
  <c r="J109" i="49"/>
  <c r="J241" i="49"/>
  <c r="K241" i="49"/>
  <c r="J208" i="49"/>
  <c r="K208" i="49"/>
  <c r="J373" i="49"/>
  <c r="K373" i="49"/>
  <c r="K65" i="48"/>
  <c r="K94" i="48"/>
  <c r="K31" i="48"/>
  <c r="J74" i="49"/>
  <c r="K74" i="49"/>
  <c r="J110" i="49"/>
  <c r="K109" i="49"/>
  <c r="J408" i="49"/>
  <c r="J374" i="49"/>
  <c r="K374" i="49"/>
  <c r="J341" i="49"/>
  <c r="K341" i="49"/>
  <c r="J308" i="49"/>
  <c r="K308" i="49"/>
  <c r="J275" i="49"/>
  <c r="K275" i="49"/>
  <c r="J242" i="49"/>
  <c r="K242" i="49"/>
  <c r="J209" i="49"/>
  <c r="K209" i="49"/>
  <c r="J143" i="49"/>
  <c r="K143" i="49"/>
  <c r="J175" i="49"/>
  <c r="K175" i="49"/>
  <c r="K408" i="49"/>
  <c r="J409" i="49"/>
  <c r="K66" i="48"/>
  <c r="K95" i="48"/>
  <c r="K32" i="48"/>
  <c r="K110" i="49"/>
  <c r="K75" i="49"/>
  <c r="J75" i="49"/>
  <c r="J111" i="49"/>
  <c r="J112" i="49"/>
  <c r="J375" i="49"/>
  <c r="K375" i="49"/>
  <c r="J342" i="49"/>
  <c r="K342" i="49"/>
  <c r="J309" i="49"/>
  <c r="K309" i="49"/>
  <c r="J276" i="49"/>
  <c r="K276" i="49"/>
  <c r="J243" i="49"/>
  <c r="K243" i="49"/>
  <c r="J210" i="49"/>
  <c r="K210" i="49"/>
  <c r="J176" i="49"/>
  <c r="J76" i="49"/>
  <c r="J144" i="49"/>
  <c r="K144" i="49"/>
  <c r="K67" i="48"/>
  <c r="K96" i="48"/>
  <c r="K33" i="48"/>
  <c r="K112" i="49"/>
  <c r="K111" i="49"/>
  <c r="K409" i="49"/>
  <c r="K410" i="49"/>
  <c r="K176" i="49"/>
  <c r="K76" i="49"/>
  <c r="J376" i="49"/>
  <c r="K376" i="49"/>
  <c r="J343" i="49"/>
  <c r="K343" i="49"/>
  <c r="J310" i="49"/>
  <c r="K310" i="49"/>
  <c r="J277" i="49"/>
  <c r="K277" i="49"/>
  <c r="J244" i="49"/>
  <c r="K244" i="49"/>
  <c r="J211" i="49"/>
  <c r="K211" i="49"/>
  <c r="K212" i="49"/>
  <c r="J177" i="49"/>
  <c r="J77" i="49"/>
  <c r="J145" i="49"/>
  <c r="K145" i="49"/>
  <c r="K68" i="48"/>
  <c r="K97" i="48"/>
  <c r="K34" i="48"/>
  <c r="K113" i="49"/>
  <c r="G26" i="11"/>
  <c r="F18" i="71"/>
  <c r="G35" i="11"/>
  <c r="K177" i="49"/>
  <c r="K77" i="49"/>
  <c r="K245" i="49"/>
  <c r="K311" i="49"/>
  <c r="K377" i="49"/>
  <c r="K146" i="49"/>
  <c r="K278" i="49"/>
  <c r="K344" i="49"/>
  <c r="J178" i="49"/>
  <c r="K178" i="49"/>
  <c r="K179" i="49"/>
  <c r="G28" i="11"/>
  <c r="K98" i="48"/>
  <c r="K35" i="48"/>
  <c r="K78" i="49"/>
  <c r="K79" i="49"/>
  <c r="C42" i="57"/>
  <c r="E42" i="57"/>
  <c r="J78" i="49"/>
  <c r="F9" i="71"/>
  <c r="F10" i="71"/>
  <c r="G27" i="11"/>
  <c r="G33" i="11"/>
  <c r="F16" i="71"/>
  <c r="F17" i="71"/>
  <c r="G34" i="11"/>
  <c r="F14" i="71"/>
  <c r="G31" i="11"/>
  <c r="G32" i="11"/>
  <c r="F15" i="71"/>
  <c r="G29" i="11"/>
  <c r="F12" i="71"/>
  <c r="F13" i="71"/>
  <c r="G30" i="11"/>
  <c r="I131" i="15"/>
  <c r="A131" i="15"/>
  <c r="I120" i="15"/>
  <c r="E95" i="15"/>
  <c r="A91" i="15"/>
  <c r="A92" i="15"/>
  <c r="I90" i="15"/>
  <c r="I70" i="15"/>
  <c r="E75" i="15"/>
  <c r="I68" i="15"/>
  <c r="A11" i="15"/>
  <c r="A12" i="15"/>
  <c r="A13" i="15"/>
  <c r="E14" i="15"/>
  <c r="G38" i="11"/>
  <c r="K99" i="48"/>
  <c r="K36" i="48"/>
  <c r="K37" i="48"/>
  <c r="C41" i="57"/>
  <c r="E41" i="57"/>
  <c r="G131" i="15"/>
  <c r="F11" i="71"/>
  <c r="F21" i="71"/>
  <c r="F92" i="15"/>
  <c r="I92" i="15"/>
  <c r="A132" i="15"/>
  <c r="A133" i="15"/>
  <c r="E12" i="15"/>
  <c r="F72" i="15"/>
  <c r="I56" i="15"/>
  <c r="A95" i="15"/>
  <c r="E11" i="15"/>
  <c r="E136" i="15"/>
  <c r="A14" i="15"/>
  <c r="I26" i="1"/>
  <c r="G70" i="15"/>
  <c r="A15" i="15"/>
  <c r="E19" i="15"/>
  <c r="D82" i="7"/>
  <c r="A136" i="15"/>
  <c r="I133" i="15"/>
  <c r="E10" i="15"/>
  <c r="I72" i="15"/>
  <c r="F133" i="15"/>
  <c r="A16" i="15"/>
  <c r="H131" i="15"/>
  <c r="H70" i="15"/>
  <c r="E70" i="15"/>
  <c r="A17" i="15"/>
  <c r="G56" i="46"/>
  <c r="A18" i="15"/>
  <c r="A10" i="22"/>
  <c r="A11" i="22"/>
  <c r="A12" i="22"/>
  <c r="A13" i="22"/>
  <c r="A14" i="22"/>
  <c r="A15" i="22"/>
  <c r="A16" i="22"/>
  <c r="A17" i="22"/>
  <c r="A18" i="22"/>
  <c r="A19" i="22"/>
  <c r="A20" i="22"/>
  <c r="A19" i="15"/>
  <c r="A21" i="22"/>
  <c r="G23" i="22"/>
  <c r="A20" i="15"/>
  <c r="D47" i="2"/>
  <c r="D48" i="2"/>
  <c r="D41" i="2"/>
  <c r="D42" i="2"/>
  <c r="D35" i="2"/>
  <c r="D36" i="2"/>
  <c r="A21" i="15"/>
  <c r="A22" i="15"/>
  <c r="A23" i="15"/>
  <c r="A24" i="15"/>
  <c r="H23" i="8"/>
  <c r="F117" i="46"/>
  <c r="F116" i="46"/>
  <c r="F118" i="46"/>
  <c r="F103" i="46"/>
  <c r="F87" i="46"/>
  <c r="F95" i="46"/>
  <c r="F97" i="46"/>
  <c r="F79" i="46"/>
  <c r="F93" i="46"/>
  <c r="F76" i="46"/>
  <c r="F74" i="46"/>
  <c r="F101" i="46"/>
  <c r="F83" i="46"/>
  <c r="F99" i="46"/>
  <c r="F90" i="46"/>
  <c r="F82" i="46"/>
  <c r="C29" i="46"/>
  <c r="L29" i="46"/>
  <c r="G29" i="46"/>
  <c r="E92" i="46"/>
  <c r="J29" i="46"/>
  <c r="C92" i="46"/>
  <c r="D92" i="46"/>
  <c r="E12" i="2"/>
  <c r="E11" i="2"/>
  <c r="E42" i="71"/>
  <c r="H27" i="8"/>
  <c r="H25" i="8"/>
  <c r="H9" i="8"/>
  <c r="H8" i="8"/>
  <c r="G27" i="32"/>
  <c r="G21" i="32"/>
  <c r="G13" i="32"/>
  <c r="B100" i="44"/>
  <c r="B200" i="71"/>
  <c r="F145" i="71"/>
  <c r="F144" i="71"/>
  <c r="D64" i="46"/>
  <c r="G69" i="8"/>
  <c r="G71" i="8"/>
  <c r="E51" i="7"/>
  <c r="E39" i="7"/>
  <c r="I136" i="1"/>
  <c r="I135" i="1"/>
  <c r="I132" i="1"/>
  <c r="I130" i="1"/>
  <c r="I128" i="1"/>
  <c r="I102" i="1"/>
  <c r="I32" i="1"/>
  <c r="I30" i="1"/>
  <c r="I22" i="1"/>
  <c r="I12" i="1"/>
  <c r="I11" i="1"/>
  <c r="F242" i="61"/>
  <c r="F243" i="61"/>
  <c r="F240" i="61"/>
  <c r="F246" i="61"/>
  <c r="J45" i="8"/>
  <c r="E71" i="8"/>
  <c r="C100" i="26"/>
  <c r="E19" i="55"/>
  <c r="E17" i="55"/>
  <c r="E18" i="55"/>
  <c r="I21" i="45"/>
  <c r="H57" i="26"/>
  <c r="F64" i="26"/>
  <c r="F49" i="22"/>
  <c r="I224" i="61"/>
  <c r="B112" i="12"/>
  <c r="K135" i="1"/>
  <c r="E27" i="12"/>
  <c r="E26" i="12"/>
  <c r="E25" i="12"/>
  <c r="H303" i="1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0" i="11"/>
  <c r="G170" i="11"/>
  <c r="G85" i="11"/>
  <c r="H169" i="11"/>
  <c r="G169" i="11"/>
  <c r="G84" i="11"/>
  <c r="H168" i="11"/>
  <c r="G168" i="11"/>
  <c r="G83" i="11"/>
  <c r="H167" i="11"/>
  <c r="G167" i="11"/>
  <c r="G82" i="11"/>
  <c r="H166" i="11"/>
  <c r="G166" i="11"/>
  <c r="G81" i="11"/>
  <c r="H165" i="11"/>
  <c r="G165" i="11"/>
  <c r="G80" i="11"/>
  <c r="H164" i="11"/>
  <c r="G164" i="11"/>
  <c r="G79" i="11"/>
  <c r="H163" i="11"/>
  <c r="G163" i="11"/>
  <c r="G78" i="11"/>
  <c r="H162" i="11"/>
  <c r="G162" i="11"/>
  <c r="G77" i="11"/>
  <c r="H161" i="11"/>
  <c r="G161" i="11"/>
  <c r="G76" i="11"/>
  <c r="H160" i="11"/>
  <c r="G160" i="11"/>
  <c r="G75" i="11"/>
  <c r="H159" i="11"/>
  <c r="G159" i="11"/>
  <c r="G74" i="11"/>
  <c r="H158" i="11"/>
  <c r="G158" i="11"/>
  <c r="G73" i="11"/>
  <c r="H150" i="11"/>
  <c r="G150" i="11"/>
  <c r="H85" i="11"/>
  <c r="H149" i="11"/>
  <c r="G149" i="11"/>
  <c r="H84" i="11"/>
  <c r="H148" i="11"/>
  <c r="G148" i="11"/>
  <c r="H83" i="11"/>
  <c r="H147" i="11"/>
  <c r="G147" i="11"/>
  <c r="H82" i="11"/>
  <c r="H146" i="11"/>
  <c r="G146" i="11"/>
  <c r="H81" i="11"/>
  <c r="H145" i="11"/>
  <c r="G145" i="11"/>
  <c r="H80" i="11"/>
  <c r="H144" i="11"/>
  <c r="G144" i="11"/>
  <c r="H79" i="11"/>
  <c r="H143" i="11"/>
  <c r="G143" i="11"/>
  <c r="H78" i="11"/>
  <c r="H142" i="11"/>
  <c r="G142" i="11"/>
  <c r="H77" i="11"/>
  <c r="H141" i="11"/>
  <c r="G141" i="11"/>
  <c r="H76" i="11"/>
  <c r="H140" i="11"/>
  <c r="G140" i="11"/>
  <c r="H75" i="11"/>
  <c r="H139" i="11"/>
  <c r="G139" i="11"/>
  <c r="H74" i="11"/>
  <c r="H138" i="11"/>
  <c r="G138" i="11"/>
  <c r="H73" i="11"/>
  <c r="H130" i="11"/>
  <c r="E107" i="11"/>
  <c r="G130" i="11"/>
  <c r="F85" i="11"/>
  <c r="H129" i="11"/>
  <c r="G129" i="11"/>
  <c r="F84" i="11"/>
  <c r="H128" i="11"/>
  <c r="E105" i="11"/>
  <c r="G128" i="11"/>
  <c r="F83" i="11"/>
  <c r="H127" i="11"/>
  <c r="G127" i="11"/>
  <c r="F82" i="11"/>
  <c r="H126" i="11"/>
  <c r="E103" i="11"/>
  <c r="G126" i="11"/>
  <c r="F81" i="11"/>
  <c r="H125" i="11"/>
  <c r="G125" i="11"/>
  <c r="F80" i="11"/>
  <c r="H124" i="11"/>
  <c r="E101" i="11"/>
  <c r="G124" i="11"/>
  <c r="F79" i="11"/>
  <c r="H123" i="11"/>
  <c r="G123" i="11"/>
  <c r="F78" i="11"/>
  <c r="H122" i="11"/>
  <c r="E99" i="11"/>
  <c r="G122" i="11"/>
  <c r="F77" i="11"/>
  <c r="H121" i="11"/>
  <c r="G121" i="11"/>
  <c r="F76" i="11"/>
  <c r="H120" i="11"/>
  <c r="E97" i="11"/>
  <c r="G120" i="11"/>
  <c r="F75" i="11"/>
  <c r="H119" i="11"/>
  <c r="G119" i="11"/>
  <c r="F74" i="11"/>
  <c r="H118" i="11"/>
  <c r="E95" i="11"/>
  <c r="G118" i="11"/>
  <c r="F73" i="11"/>
  <c r="F108" i="11"/>
  <c r="E96" i="11"/>
  <c r="G96" i="11"/>
  <c r="E98" i="11"/>
  <c r="E100" i="11"/>
  <c r="G100" i="11"/>
  <c r="E102" i="11"/>
  <c r="G102" i="11"/>
  <c r="E104" i="11"/>
  <c r="G104" i="11"/>
  <c r="E106" i="11"/>
  <c r="G106" i="11"/>
  <c r="F86" i="11"/>
  <c r="H86" i="11"/>
  <c r="G86" i="11"/>
  <c r="G98" i="11"/>
  <c r="G95" i="11"/>
  <c r="G97" i="11"/>
  <c r="G99" i="11"/>
  <c r="G101" i="11"/>
  <c r="G103" i="11"/>
  <c r="G105" i="11"/>
  <c r="G107" i="11"/>
  <c r="E108" i="11"/>
  <c r="G108" i="11"/>
  <c r="H19" i="8"/>
  <c r="E36" i="7"/>
  <c r="D37" i="7"/>
  <c r="G24" i="2"/>
  <c r="G22" i="2"/>
  <c r="E38" i="7"/>
  <c r="I21" i="1"/>
  <c r="J19" i="8"/>
  <c r="K22" i="1"/>
  <c r="D39" i="7"/>
  <c r="H18" i="8"/>
  <c r="F100" i="12"/>
  <c r="B108" i="12"/>
  <c r="E37" i="7"/>
  <c r="H20" i="8"/>
  <c r="I23" i="1"/>
  <c r="H6" i="8"/>
  <c r="I9" i="1"/>
  <c r="E24" i="2"/>
  <c r="E22" i="2"/>
  <c r="H7" i="8"/>
  <c r="I10" i="1"/>
  <c r="K86" i="1"/>
  <c r="B34" i="31"/>
  <c r="F44" i="26"/>
  <c r="F47" i="71"/>
  <c r="D54" i="71"/>
  <c r="A10" i="71"/>
  <c r="A11" i="71"/>
  <c r="A12" i="71"/>
  <c r="A13" i="71"/>
  <c r="A14" i="71"/>
  <c r="A15" i="71"/>
  <c r="A16" i="71"/>
  <c r="A17" i="71"/>
  <c r="A18" i="71"/>
  <c r="A19" i="71"/>
  <c r="A20" i="71"/>
  <c r="D47" i="71"/>
  <c r="D38" i="7"/>
  <c r="J50" i="61"/>
  <c r="G12" i="2"/>
  <c r="C64" i="46"/>
  <c r="G57" i="26"/>
  <c r="G58" i="26"/>
  <c r="G11" i="2"/>
  <c r="H80" i="44"/>
  <c r="H77" i="44"/>
  <c r="H55" i="44"/>
  <c r="A14" i="44"/>
  <c r="A15" i="44"/>
  <c r="A16" i="44"/>
  <c r="A17" i="44"/>
  <c r="A18" i="44"/>
  <c r="A30" i="44"/>
  <c r="K21" i="1"/>
  <c r="E60" i="46"/>
  <c r="C56" i="46"/>
  <c r="L57" i="46"/>
  <c r="E120" i="46"/>
  <c r="I120" i="46"/>
  <c r="K56" i="46"/>
  <c r="G55" i="46"/>
  <c r="L55" i="46"/>
  <c r="E118" i="46"/>
  <c r="K55" i="46"/>
  <c r="D118" i="46"/>
  <c r="C55" i="46"/>
  <c r="G54" i="46"/>
  <c r="L54" i="46"/>
  <c r="E117" i="46"/>
  <c r="K54" i="46"/>
  <c r="D117" i="46"/>
  <c r="C54" i="46"/>
  <c r="G53" i="46"/>
  <c r="L53" i="46"/>
  <c r="E116" i="46"/>
  <c r="K53" i="46"/>
  <c r="D116" i="46"/>
  <c r="C53" i="46"/>
  <c r="G52" i="46"/>
  <c r="L56" i="46"/>
  <c r="E119" i="46"/>
  <c r="I119" i="46"/>
  <c r="K52" i="46"/>
  <c r="D115" i="46"/>
  <c r="C52" i="46"/>
  <c r="L42" i="46"/>
  <c r="E105" i="46"/>
  <c r="G41" i="46"/>
  <c r="G40" i="46"/>
  <c r="L40" i="46"/>
  <c r="C40" i="46"/>
  <c r="D102" i="46"/>
  <c r="G39" i="46"/>
  <c r="L39" i="46"/>
  <c r="C39" i="46"/>
  <c r="G38" i="46"/>
  <c r="L38" i="46"/>
  <c r="C38" i="46"/>
  <c r="D100" i="46"/>
  <c r="G37" i="46"/>
  <c r="L37" i="46"/>
  <c r="C37" i="46"/>
  <c r="G36" i="46"/>
  <c r="L36" i="46"/>
  <c r="C36" i="46"/>
  <c r="D98" i="46"/>
  <c r="H98" i="46"/>
  <c r="G35" i="46"/>
  <c r="L35" i="46"/>
  <c r="C35" i="46"/>
  <c r="G34" i="46"/>
  <c r="L34" i="46"/>
  <c r="C34" i="46"/>
  <c r="G33" i="46"/>
  <c r="L33" i="46"/>
  <c r="C33" i="46"/>
  <c r="G32" i="46"/>
  <c r="L32" i="46"/>
  <c r="C32" i="46"/>
  <c r="G31" i="46"/>
  <c r="L31" i="46"/>
  <c r="D94" i="46"/>
  <c r="C31" i="46"/>
  <c r="G30" i="46"/>
  <c r="L30" i="46"/>
  <c r="C30" i="46"/>
  <c r="G28" i="46"/>
  <c r="L28" i="46"/>
  <c r="D91" i="46"/>
  <c r="C28" i="46"/>
  <c r="G27" i="46"/>
  <c r="L27" i="46"/>
  <c r="D90" i="46"/>
  <c r="H90" i="46"/>
  <c r="C27" i="46"/>
  <c r="G26" i="46"/>
  <c r="L26" i="46"/>
  <c r="C26" i="46"/>
  <c r="L25" i="46"/>
  <c r="D88" i="46"/>
  <c r="C25" i="46"/>
  <c r="G24" i="46"/>
  <c r="L24" i="46"/>
  <c r="C24" i="46"/>
  <c r="G23" i="46"/>
  <c r="L23" i="46"/>
  <c r="C23" i="46"/>
  <c r="G22" i="46"/>
  <c r="L22" i="46"/>
  <c r="J22" i="46"/>
  <c r="D85" i="46"/>
  <c r="H85" i="46"/>
  <c r="C22" i="46"/>
  <c r="G21" i="46"/>
  <c r="L21" i="46"/>
  <c r="J21" i="46"/>
  <c r="D84" i="46"/>
  <c r="H84" i="46"/>
  <c r="C21" i="46"/>
  <c r="G20" i="46"/>
  <c r="L20" i="46"/>
  <c r="J20" i="46"/>
  <c r="D83" i="46"/>
  <c r="H83" i="46"/>
  <c r="C20" i="46"/>
  <c r="G19" i="46"/>
  <c r="L19" i="46"/>
  <c r="J19" i="46"/>
  <c r="D82" i="46"/>
  <c r="H82" i="46"/>
  <c r="C19" i="46"/>
  <c r="G18" i="46"/>
  <c r="L18" i="46"/>
  <c r="J18" i="46"/>
  <c r="D81" i="46"/>
  <c r="H81" i="46"/>
  <c r="C18" i="46"/>
  <c r="G17" i="46"/>
  <c r="L17" i="46"/>
  <c r="J17" i="46"/>
  <c r="D80" i="46"/>
  <c r="H80" i="46"/>
  <c r="C17" i="46"/>
  <c r="G16" i="46"/>
  <c r="L16" i="46"/>
  <c r="J16" i="46"/>
  <c r="D79" i="46"/>
  <c r="H79" i="46"/>
  <c r="C16" i="46"/>
  <c r="G15" i="46"/>
  <c r="L15" i="46"/>
  <c r="J15" i="46"/>
  <c r="D78" i="46"/>
  <c r="H78" i="46"/>
  <c r="C15" i="46"/>
  <c r="G14" i="46"/>
  <c r="L14" i="46"/>
  <c r="C14" i="46"/>
  <c r="G13" i="46"/>
  <c r="L13" i="46"/>
  <c r="D76" i="46"/>
  <c r="C13" i="46"/>
  <c r="G12" i="46"/>
  <c r="L12"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G11" i="46"/>
  <c r="E54" i="71"/>
  <c r="B55" i="54"/>
  <c r="C9" i="9"/>
  <c r="A5" i="31"/>
  <c r="E15" i="66"/>
  <c r="J25" i="8"/>
  <c r="F15" i="66"/>
  <c r="H43" i="26"/>
  <c r="D43" i="26"/>
  <c r="G12" i="26"/>
  <c r="H12" i="26"/>
  <c r="F53" i="22"/>
  <c r="D58" i="7"/>
  <c r="D54" i="7"/>
  <c r="F42" i="54"/>
  <c r="F39" i="54"/>
  <c r="F30" i="54"/>
  <c r="G21" i="2"/>
  <c r="J9" i="8"/>
  <c r="A8" i="2"/>
  <c r="A9" i="2"/>
  <c r="A10" i="2"/>
  <c r="A11" i="2"/>
  <c r="K128" i="1"/>
  <c r="J50" i="8"/>
  <c r="A11" i="7"/>
  <c r="A12" i="7"/>
  <c r="A13" i="7"/>
  <c r="A14" i="7"/>
  <c r="A15" i="7"/>
  <c r="A16" i="7"/>
  <c r="K32" i="1"/>
  <c r="I87" i="65"/>
  <c r="I86" i="65"/>
  <c r="I85" i="65"/>
  <c r="I83" i="65"/>
  <c r="A14" i="65"/>
  <c r="A15" i="65"/>
  <c r="A16" i="65"/>
  <c r="A17" i="65"/>
  <c r="A18" i="65"/>
  <c r="A19" i="65"/>
  <c r="A20" i="65"/>
  <c r="A21" i="65"/>
  <c r="A22" i="65"/>
  <c r="A23" i="65"/>
  <c r="G49" i="11"/>
  <c r="G48" i="11"/>
  <c r="G47" i="11"/>
  <c r="E47" i="11"/>
  <c r="E39" i="12"/>
  <c r="G61" i="11"/>
  <c r="G63" i="11"/>
  <c r="E70" i="12"/>
  <c r="G62" i="11"/>
  <c r="E69" i="12"/>
  <c r="E85" i="11"/>
  <c r="E84" i="11"/>
  <c r="E83" i="11"/>
  <c r="E82" i="11"/>
  <c r="E81" i="11"/>
  <c r="E80" i="11"/>
  <c r="E79" i="11"/>
  <c r="E78" i="11"/>
  <c r="E77" i="11"/>
  <c r="E76" i="11"/>
  <c r="E75" i="11"/>
  <c r="E74" i="11"/>
  <c r="E73" i="11"/>
  <c r="A25" i="12"/>
  <c r="A26" i="12"/>
  <c r="E244" i="61"/>
  <c r="I225" i="61"/>
  <c r="N199" i="61"/>
  <c r="N196" i="61"/>
  <c r="N194" i="61"/>
  <c r="N191" i="61"/>
  <c r="N190" i="61"/>
  <c r="N185" i="61"/>
  <c r="M185" i="61"/>
  <c r="L185" i="61"/>
  <c r="L233" i="61"/>
  <c r="J185" i="61"/>
  <c r="I185" i="61"/>
  <c r="H185" i="61"/>
  <c r="G185" i="61"/>
  <c r="J164" i="61"/>
  <c r="H156" i="61"/>
  <c r="M119" i="61"/>
  <c r="N118" i="61"/>
  <c r="H92" i="61"/>
  <c r="N92" i="61"/>
  <c r="H91" i="61"/>
  <c r="H57" i="61"/>
  <c r="H80" i="61"/>
  <c r="G57" i="61"/>
  <c r="J56" i="61"/>
  <c r="M56" i="61"/>
  <c r="N55" i="61"/>
  <c r="N54" i="61"/>
  <c r="J53" i="61"/>
  <c r="M53" i="61"/>
  <c r="J52" i="61"/>
  <c r="M52" i="61"/>
  <c r="J51" i="61"/>
  <c r="M51" i="61"/>
  <c r="G18" i="61"/>
  <c r="I18" i="61"/>
  <c r="J17" i="61"/>
  <c r="M17" i="61"/>
  <c r="N16" i="61"/>
  <c r="J15" i="61"/>
  <c r="M15" i="61"/>
  <c r="G14" i="61"/>
  <c r="I14" i="61"/>
  <c r="J13" i="61"/>
  <c r="J12" i="61"/>
  <c r="M12" i="61"/>
  <c r="J11" i="61"/>
  <c r="J5" i="61"/>
  <c r="M5" i="61"/>
  <c r="G4" i="61"/>
  <c r="F49" i="11"/>
  <c r="F63" i="11"/>
  <c r="E47" i="71"/>
  <c r="A8" i="17"/>
  <c r="A9" i="17"/>
  <c r="A10" i="17"/>
  <c r="A11" i="17"/>
  <c r="A12" i="17"/>
  <c r="A13" i="17"/>
  <c r="A14" i="17"/>
  <c r="I103" i="1"/>
  <c r="D50" i="26"/>
  <c r="G19" i="26"/>
  <c r="H19" i="26"/>
  <c r="D49" i="26"/>
  <c r="G18" i="26"/>
  <c r="H18" i="26"/>
  <c r="D48" i="26"/>
  <c r="G17" i="26"/>
  <c r="H17" i="26"/>
  <c r="D47" i="26"/>
  <c r="G16" i="26"/>
  <c r="H16" i="26"/>
  <c r="D46" i="26"/>
  <c r="G15" i="26"/>
  <c r="H15" i="26"/>
  <c r="D45" i="26"/>
  <c r="G14" i="26"/>
  <c r="H14" i="26"/>
  <c r="D44" i="26"/>
  <c r="G13" i="26"/>
  <c r="H13" i="26"/>
  <c r="D42" i="26"/>
  <c r="G11" i="26"/>
  <c r="H11" i="26"/>
  <c r="D41" i="26"/>
  <c r="G10" i="26"/>
  <c r="H10" i="26"/>
  <c r="D40" i="26"/>
  <c r="G9" i="26"/>
  <c r="H9" i="26"/>
  <c r="D39" i="26"/>
  <c r="G8" i="26"/>
  <c r="H8" i="26"/>
  <c r="D38" i="26"/>
  <c r="G7" i="26"/>
  <c r="H7" i="26"/>
  <c r="A10" i="57"/>
  <c r="A11" i="57"/>
  <c r="A12" i="57"/>
  <c r="A13" i="57"/>
  <c r="A14" i="57"/>
  <c r="A15" i="57"/>
  <c r="A16" i="57"/>
  <c r="A17" i="57"/>
  <c r="A18" i="57"/>
  <c r="A19" i="57"/>
  <c r="A20" i="57"/>
  <c r="A21" i="57"/>
  <c r="A22" i="57"/>
  <c r="A23" i="57"/>
  <c r="A24" i="57"/>
  <c r="A25" i="57"/>
  <c r="A26" i="57"/>
  <c r="A27" i="57"/>
  <c r="A28" i="57"/>
  <c r="K18" i="57"/>
  <c r="J18" i="57"/>
  <c r="I18" i="57"/>
  <c r="H18" i="57"/>
  <c r="G18" i="57"/>
  <c r="K12" i="57"/>
  <c r="J12" i="57"/>
  <c r="I12" i="57"/>
  <c r="H12" i="57"/>
  <c r="G12" i="57"/>
  <c r="F11" i="56"/>
  <c r="F10" i="56"/>
  <c r="A9" i="56"/>
  <c r="A10" i="56"/>
  <c r="F38" i="56"/>
  <c r="F25" i="56"/>
  <c r="F24" i="56"/>
  <c r="F23" i="56"/>
  <c r="F22" i="56"/>
  <c r="F21" i="56"/>
  <c r="F20" i="56"/>
  <c r="K30" i="1"/>
  <c r="K136" i="1"/>
  <c r="J58" i="8"/>
  <c r="A13" i="32"/>
  <c r="G14" i="32"/>
  <c r="A7" i="26"/>
  <c r="A8" i="26"/>
  <c r="A9" i="26"/>
  <c r="A10" i="26"/>
  <c r="A27" i="11"/>
  <c r="K102" i="1"/>
  <c r="A7" i="8"/>
  <c r="A8" i="8"/>
  <c r="A9" i="8"/>
  <c r="E27" i="32"/>
  <c r="K12" i="1"/>
  <c r="K130" i="1"/>
  <c r="F24" i="26"/>
  <c r="F27" i="12"/>
  <c r="F56" i="12"/>
  <c r="F26" i="12"/>
  <c r="F55" i="12"/>
  <c r="F25" i="12"/>
  <c r="F54" i="12"/>
  <c r="J44" i="8"/>
  <c r="F22" i="31"/>
  <c r="E22" i="31"/>
  <c r="D22" i="31"/>
  <c r="E20" i="26"/>
  <c r="F15" i="56"/>
  <c r="I65" i="61"/>
  <c r="F48" i="11"/>
  <c r="F62" i="11"/>
  <c r="A28" i="11"/>
  <c r="A29" i="11"/>
  <c r="A30" i="11"/>
  <c r="A31" i="11"/>
  <c r="A32" i="11"/>
  <c r="A33" i="11"/>
  <c r="A34" i="11"/>
  <c r="A35" i="11"/>
  <c r="A36" i="11"/>
  <c r="A37" i="11"/>
  <c r="A38" i="11"/>
  <c r="I84" i="65"/>
  <c r="I88" i="65"/>
  <c r="L11" i="46"/>
  <c r="J11" i="46"/>
  <c r="D97" i="46"/>
  <c r="D99" i="46"/>
  <c r="L52" i="46"/>
  <c r="H64" i="44"/>
  <c r="A10" i="1"/>
  <c r="G37" i="26"/>
  <c r="D37" i="26"/>
  <c r="G6" i="26"/>
  <c r="H6" i="26"/>
  <c r="H20" i="26"/>
  <c r="F23" i="26"/>
  <c r="F25" i="26"/>
  <c r="E236" i="61"/>
  <c r="A21" i="71"/>
  <c r="G21" i="71"/>
  <c r="F54" i="71"/>
  <c r="C58" i="46"/>
  <c r="L58" i="46"/>
  <c r="E96" i="46"/>
  <c r="J33" i="46"/>
  <c r="C96" i="46"/>
  <c r="E103" i="46"/>
  <c r="I103" i="46"/>
  <c r="J40" i="46"/>
  <c r="E87" i="46"/>
  <c r="I87" i="46"/>
  <c r="J24" i="46"/>
  <c r="E88" i="46"/>
  <c r="I88" i="46"/>
  <c r="J25" i="46"/>
  <c r="E95" i="46"/>
  <c r="J32" i="46"/>
  <c r="C95" i="46"/>
  <c r="E100" i="46"/>
  <c r="I100" i="46"/>
  <c r="J37" i="46"/>
  <c r="C100" i="46"/>
  <c r="E101" i="46"/>
  <c r="I101" i="46"/>
  <c r="J38" i="46"/>
  <c r="E76" i="46"/>
  <c r="I76" i="46"/>
  <c r="J13" i="46"/>
  <c r="C76" i="46"/>
  <c r="E102" i="46"/>
  <c r="J39" i="46"/>
  <c r="C102" i="46"/>
  <c r="E86" i="46"/>
  <c r="I86" i="46"/>
  <c r="J23" i="46"/>
  <c r="C86" i="46"/>
  <c r="E93" i="46"/>
  <c r="J30" i="46"/>
  <c r="C93" i="46"/>
  <c r="E94" i="46"/>
  <c r="J31" i="46"/>
  <c r="C94" i="46"/>
  <c r="E98" i="46"/>
  <c r="I98" i="46"/>
  <c r="J35" i="46"/>
  <c r="C98" i="46"/>
  <c r="E99" i="46"/>
  <c r="I99" i="46"/>
  <c r="J36" i="46"/>
  <c r="C99" i="46"/>
  <c r="E75" i="46"/>
  <c r="I75" i="46"/>
  <c r="J12" i="46"/>
  <c r="C75" i="46"/>
  <c r="E77" i="46"/>
  <c r="I77" i="46"/>
  <c r="J14" i="46"/>
  <c r="E89" i="46"/>
  <c r="I89" i="46"/>
  <c r="J26" i="46"/>
  <c r="C89" i="46"/>
  <c r="E90" i="46"/>
  <c r="I90" i="46"/>
  <c r="J27" i="46"/>
  <c r="C90" i="46"/>
  <c r="E91" i="46"/>
  <c r="J28" i="46"/>
  <c r="C91" i="46"/>
  <c r="E97" i="46"/>
  <c r="I97" i="46"/>
  <c r="J34" i="46"/>
  <c r="H147" i="61"/>
  <c r="D119" i="46"/>
  <c r="H119" i="46"/>
  <c r="G119" i="46"/>
  <c r="J56" i="46"/>
  <c r="C119" i="46"/>
  <c r="E74" i="46"/>
  <c r="L43" i="46"/>
  <c r="C43" i="46"/>
  <c r="E86" i="11"/>
  <c r="I91" i="61"/>
  <c r="I147" i="61"/>
  <c r="I156" i="61"/>
  <c r="H175" i="61"/>
  <c r="G92" i="61"/>
  <c r="M164" i="61"/>
  <c r="J175" i="61"/>
  <c r="I19" i="61"/>
  <c r="J14" i="61"/>
  <c r="M14" i="61"/>
  <c r="G16" i="61"/>
  <c r="I16" i="61"/>
  <c r="I12" i="61"/>
  <c r="J16" i="61"/>
  <c r="M16" i="61"/>
  <c r="J48" i="61"/>
  <c r="G15" i="61"/>
  <c r="I15" i="61"/>
  <c r="N12" i="61"/>
  <c r="I222" i="61"/>
  <c r="J52" i="8"/>
  <c r="N197" i="61"/>
  <c r="A41" i="46"/>
  <c r="A42" i="46"/>
  <c r="A43" i="46"/>
  <c r="E10" i="2"/>
  <c r="A24" i="65"/>
  <c r="F48" i="71"/>
  <c r="E54" i="7"/>
  <c r="A29" i="57"/>
  <c r="M118" i="61"/>
  <c r="J54" i="61"/>
  <c r="M54" i="61"/>
  <c r="E241" i="61"/>
  <c r="M61" i="61"/>
  <c r="N53" i="61"/>
  <c r="F40" i="56"/>
  <c r="M11" i="61"/>
  <c r="G20" i="2"/>
  <c r="A11" i="1"/>
  <c r="A12" i="1"/>
  <c r="A15" i="1"/>
  <c r="A16" i="1"/>
  <c r="A17" i="1"/>
  <c r="H14" i="8"/>
  <c r="E62" i="11"/>
  <c r="I60" i="46"/>
  <c r="F42" i="56"/>
  <c r="F17" i="56"/>
  <c r="K20" i="57"/>
  <c r="E31" i="57"/>
  <c r="G163" i="61"/>
  <c r="N15" i="61"/>
  <c r="G52" i="61"/>
  <c r="I52" i="61"/>
  <c r="G11" i="61"/>
  <c r="N201" i="61"/>
  <c r="N5" i="61"/>
  <c r="M63" i="61"/>
  <c r="I60" i="61"/>
  <c r="G53" i="61"/>
  <c r="I53" i="61"/>
  <c r="M55" i="61"/>
  <c r="D86" i="46"/>
  <c r="H86" i="46"/>
  <c r="G86" i="46"/>
  <c r="F41" i="12"/>
  <c r="F39" i="12"/>
  <c r="F26" i="56"/>
  <c r="H24" i="8"/>
  <c r="I28" i="1"/>
  <c r="E63" i="11"/>
  <c r="E56" i="12"/>
  <c r="F40" i="12"/>
  <c r="E48" i="11"/>
  <c r="E21" i="32"/>
  <c r="G20" i="57"/>
  <c r="C26" i="57"/>
  <c r="D96" i="46"/>
  <c r="N17" i="61"/>
  <c r="N14" i="61"/>
  <c r="I223" i="61"/>
  <c r="N18" i="61"/>
  <c r="G5" i="61"/>
  <c r="I5" i="61"/>
  <c r="N4" i="61"/>
  <c r="N195" i="61"/>
  <c r="N198" i="61"/>
  <c r="J49" i="61"/>
  <c r="M49" i="61"/>
  <c r="J57" i="61"/>
  <c r="M57" i="61"/>
  <c r="N13" i="61"/>
  <c r="N119" i="61"/>
  <c r="N147" i="61"/>
  <c r="G17" i="61"/>
  <c r="I17" i="61"/>
  <c r="G13" i="61"/>
  <c r="I13" i="61"/>
  <c r="N192" i="61"/>
  <c r="M155" i="61"/>
  <c r="N11" i="61"/>
  <c r="N193" i="61"/>
  <c r="N52" i="61"/>
  <c r="M64" i="61"/>
  <c r="M62" i="61"/>
  <c r="M60" i="61"/>
  <c r="G51" i="61"/>
  <c r="N57" i="61"/>
  <c r="N200" i="61"/>
  <c r="G54" i="61"/>
  <c r="I54" i="61"/>
  <c r="J4" i="61"/>
  <c r="J8" i="61"/>
  <c r="J59" i="61"/>
  <c r="M59" i="61"/>
  <c r="F12" i="56"/>
  <c r="E13" i="32"/>
  <c r="H20" i="57"/>
  <c r="D26" i="57"/>
  <c r="E237" i="61"/>
  <c r="J55" i="46"/>
  <c r="C118" i="46"/>
  <c r="J53" i="46"/>
  <c r="C116" i="46"/>
  <c r="J54" i="46"/>
  <c r="C117" i="46"/>
  <c r="G90" i="46"/>
  <c r="C101" i="46"/>
  <c r="C103" i="46"/>
  <c r="E49" i="11"/>
  <c r="E25" i="71"/>
  <c r="A12" i="2"/>
  <c r="A13" i="2"/>
  <c r="J20" i="57"/>
  <c r="D27" i="57"/>
  <c r="D28" i="57"/>
  <c r="I20" i="57"/>
  <c r="C27" i="57"/>
  <c r="D103" i="46"/>
  <c r="H103" i="46"/>
  <c r="G103" i="46"/>
  <c r="G24" i="26"/>
  <c r="A11" i="26"/>
  <c r="A12" i="26"/>
  <c r="A13" i="26"/>
  <c r="A14" i="26"/>
  <c r="A15" i="26"/>
  <c r="A16" i="26"/>
  <c r="A17" i="26"/>
  <c r="A18" i="26"/>
  <c r="A19" i="26"/>
  <c r="A20" i="26"/>
  <c r="J27" i="8"/>
  <c r="G13" i="2"/>
  <c r="G14" i="2"/>
  <c r="D101" i="46"/>
  <c r="H101" i="46"/>
  <c r="G101" i="46"/>
  <c r="M13" i="61"/>
  <c r="I57" i="61"/>
  <c r="M50" i="61"/>
  <c r="I4" i="61"/>
  <c r="K28" i="1"/>
  <c r="F20" i="17"/>
  <c r="K103" i="1"/>
  <c r="K104" i="1"/>
  <c r="E61" i="11"/>
  <c r="E54" i="12"/>
  <c r="E68" i="12"/>
  <c r="D25" i="71"/>
  <c r="C88" i="46"/>
  <c r="H43" i="44"/>
  <c r="A15" i="17"/>
  <c r="A16" i="17"/>
  <c r="A17" i="17"/>
  <c r="A18" i="17"/>
  <c r="A19" i="17"/>
  <c r="A20" i="17"/>
  <c r="A21" i="17"/>
  <c r="A22" i="17"/>
  <c r="A23" i="17"/>
  <c r="C97" i="46"/>
  <c r="H99" i="46"/>
  <c r="G99" i="46"/>
  <c r="H100" i="46"/>
  <c r="J52" i="46"/>
  <c r="C115" i="46"/>
  <c r="D74" i="46"/>
  <c r="H97" i="46"/>
  <c r="H88" i="46"/>
  <c r="G88" i="46"/>
  <c r="H76" i="46"/>
  <c r="D60" i="46"/>
  <c r="C145" i="46"/>
  <c r="H57" i="46"/>
  <c r="H58" i="46"/>
  <c r="A17" i="7"/>
  <c r="A18" i="7"/>
  <c r="A19" i="7"/>
  <c r="A20" i="7"/>
  <c r="A21" i="7"/>
  <c r="A22" i="7"/>
  <c r="A23" i="7"/>
  <c r="A24" i="7"/>
  <c r="A25" i="7"/>
  <c r="B197" i="71"/>
  <c r="D75" i="46"/>
  <c r="E78" i="46"/>
  <c r="C78" i="46"/>
  <c r="E79" i="46"/>
  <c r="I79" i="46"/>
  <c r="G79" i="46"/>
  <c r="C79" i="46"/>
  <c r="E80" i="46"/>
  <c r="C80" i="46"/>
  <c r="E81" i="46"/>
  <c r="I81" i="46"/>
  <c r="G81" i="46"/>
  <c r="C81" i="46"/>
  <c r="E82" i="46"/>
  <c r="C82" i="46"/>
  <c r="E83" i="46"/>
  <c r="I83" i="46"/>
  <c r="G83" i="46"/>
  <c r="C83" i="46"/>
  <c r="E84" i="46"/>
  <c r="C84" i="46"/>
  <c r="D89" i="46"/>
  <c r="D93" i="46"/>
  <c r="D77" i="46"/>
  <c r="C77" i="46"/>
  <c r="E85" i="46"/>
  <c r="C85" i="46"/>
  <c r="D87" i="46"/>
  <c r="C87" i="46"/>
  <c r="D95" i="46"/>
  <c r="G98" i="46"/>
  <c r="I18" i="1"/>
  <c r="G77" i="44"/>
  <c r="A31" i="44"/>
  <c r="A47" i="11"/>
  <c r="H39" i="12"/>
  <c r="A12" i="8"/>
  <c r="A11" i="56"/>
  <c r="A12" i="56"/>
  <c r="E115" i="46"/>
  <c r="E145" i="71"/>
  <c r="E144" i="71"/>
  <c r="E69" i="8"/>
  <c r="A23" i="22"/>
  <c r="A14" i="32"/>
  <c r="A20" i="32"/>
  <c r="A27" i="12"/>
  <c r="D48" i="71"/>
  <c r="E48" i="71"/>
  <c r="E55" i="71"/>
  <c r="D55" i="71"/>
  <c r="A6" i="31"/>
  <c r="A7" i="31"/>
  <c r="A8" i="31"/>
  <c r="B39" i="31"/>
  <c r="C60" i="46"/>
  <c r="G97" i="46"/>
  <c r="E40" i="12"/>
  <c r="E52" i="11"/>
  <c r="E55" i="12"/>
  <c r="E66" i="11"/>
  <c r="E26" i="57"/>
  <c r="C28" i="57"/>
  <c r="E27" i="57"/>
  <c r="G100" i="46"/>
  <c r="M37" i="61"/>
  <c r="L60" i="46"/>
  <c r="A25" i="65"/>
  <c r="B8" i="65"/>
  <c r="J37" i="61"/>
  <c r="N8" i="61"/>
  <c r="E239" i="61"/>
  <c r="E240" i="61"/>
  <c r="M147" i="61"/>
  <c r="N80" i="61"/>
  <c r="I51" i="61"/>
  <c r="I80" i="61"/>
  <c r="M48" i="61"/>
  <c r="M80" i="61"/>
  <c r="J80" i="61"/>
  <c r="N37" i="61"/>
  <c r="G37" i="61"/>
  <c r="I8" i="61"/>
  <c r="G8" i="61"/>
  <c r="C74" i="46"/>
  <c r="E106" i="46"/>
  <c r="F22" i="17"/>
  <c r="F23" i="17"/>
  <c r="H233" i="61"/>
  <c r="I229" i="61"/>
  <c r="I163" i="61"/>
  <c r="I175" i="61"/>
  <c r="G175" i="61"/>
  <c r="N217" i="61"/>
  <c r="M175" i="61"/>
  <c r="N175" i="61"/>
  <c r="I11" i="61"/>
  <c r="I37" i="61"/>
  <c r="A44" i="46"/>
  <c r="A52" i="46"/>
  <c r="A53" i="46"/>
  <c r="A54" i="46"/>
  <c r="A55" i="46"/>
  <c r="E62" i="46"/>
  <c r="A30" i="57"/>
  <c r="A31" i="57"/>
  <c r="G31" i="57"/>
  <c r="C77" i="26"/>
  <c r="F55" i="71"/>
  <c r="E58" i="7"/>
  <c r="A18" i="1"/>
  <c r="A21" i="1"/>
  <c r="E242" i="61"/>
  <c r="M4" i="61"/>
  <c r="M8" i="61"/>
  <c r="E41" i="12"/>
  <c r="E32" i="71"/>
  <c r="F28" i="56"/>
  <c r="A23" i="26"/>
  <c r="A24" i="26"/>
  <c r="A25" i="26"/>
  <c r="G23" i="26"/>
  <c r="D32" i="71"/>
  <c r="G76" i="46"/>
  <c r="F115" i="71"/>
  <c r="G41" i="44"/>
  <c r="E25" i="7"/>
  <c r="E13" i="2"/>
  <c r="E14" i="2"/>
  <c r="A14" i="2"/>
  <c r="D34" i="71"/>
  <c r="E34" i="71"/>
  <c r="D23" i="7"/>
  <c r="H56" i="44"/>
  <c r="H57" i="44"/>
  <c r="H59" i="44"/>
  <c r="G16" i="12"/>
  <c r="J57" i="8"/>
  <c r="J43" i="8"/>
  <c r="C144" i="46"/>
  <c r="H42" i="46"/>
  <c r="K57" i="46"/>
  <c r="G57" i="46"/>
  <c r="G58" i="46"/>
  <c r="H89" i="46"/>
  <c r="G89" i="46"/>
  <c r="I84" i="46"/>
  <c r="G84" i="46"/>
  <c r="I82" i="46"/>
  <c r="G82" i="46"/>
  <c r="I80" i="46"/>
  <c r="G80" i="46"/>
  <c r="I78" i="46"/>
  <c r="G78" i="46"/>
  <c r="H75" i="46"/>
  <c r="G75" i="46"/>
  <c r="H87" i="46"/>
  <c r="G87" i="46"/>
  <c r="I85" i="46"/>
  <c r="G85" i="46"/>
  <c r="H77" i="46"/>
  <c r="G77" i="46"/>
  <c r="E114" i="71"/>
  <c r="A25" i="71"/>
  <c r="F114" i="71"/>
  <c r="F32" i="71"/>
  <c r="F25" i="71"/>
  <c r="A9" i="31"/>
  <c r="H22" i="31"/>
  <c r="A28" i="12"/>
  <c r="A29" i="12"/>
  <c r="A39" i="12"/>
  <c r="A40" i="12"/>
  <c r="A41" i="12"/>
  <c r="A42" i="12"/>
  <c r="A43" i="12"/>
  <c r="A44" i="12"/>
  <c r="I137" i="1"/>
  <c r="E83" i="7"/>
  <c r="E47" i="7"/>
  <c r="A26" i="7"/>
  <c r="A27" i="7"/>
  <c r="A28" i="7"/>
  <c r="A29" i="7"/>
  <c r="A30" i="7"/>
  <c r="A31" i="7"/>
  <c r="A32" i="7"/>
  <c r="A33" i="7"/>
  <c r="A34" i="7"/>
  <c r="A35" i="7"/>
  <c r="A36" i="7"/>
  <c r="E121" i="46"/>
  <c r="D12" i="56"/>
  <c r="J24" i="8"/>
  <c r="A24" i="22"/>
  <c r="G27" i="22"/>
  <c r="A13" i="56"/>
  <c r="A14" i="56"/>
  <c r="A15" i="56"/>
  <c r="A16" i="56"/>
  <c r="A17" i="56"/>
  <c r="A13" i="8"/>
  <c r="A14" i="8"/>
  <c r="A15" i="8"/>
  <c r="A48" i="11"/>
  <c r="H40" i="12"/>
  <c r="A32" i="44"/>
  <c r="G55" i="44"/>
  <c r="E28" i="57"/>
  <c r="C29" i="57"/>
  <c r="C31" i="57"/>
  <c r="C33" i="57"/>
  <c r="C40" i="57"/>
  <c r="C43" i="57"/>
  <c r="A26" i="65"/>
  <c r="A27" i="65"/>
  <c r="A28" i="65"/>
  <c r="A29" i="65"/>
  <c r="A30" i="65"/>
  <c r="A31" i="65"/>
  <c r="A32" i="65"/>
  <c r="A33" i="65"/>
  <c r="A34" i="65"/>
  <c r="A35" i="65"/>
  <c r="A36" i="65"/>
  <c r="B103" i="65"/>
  <c r="B98" i="65"/>
  <c r="B116" i="65"/>
  <c r="D17" i="56"/>
  <c r="K42" i="46"/>
  <c r="K43" i="46"/>
  <c r="H43" i="46"/>
  <c r="H60" i="46"/>
  <c r="K58" i="46"/>
  <c r="J57" i="46"/>
  <c r="J58" i="46"/>
  <c r="M233" i="61"/>
  <c r="J233" i="61"/>
  <c r="N233" i="61"/>
  <c r="F91" i="12"/>
  <c r="A56" i="46"/>
  <c r="A57" i="46"/>
  <c r="A58" i="46"/>
  <c r="A32" i="57"/>
  <c r="A33" i="57"/>
  <c r="E124" i="46"/>
  <c r="E243" i="61"/>
  <c r="I93" i="46"/>
  <c r="H96" i="46"/>
  <c r="I95" i="46"/>
  <c r="I94" i="46"/>
  <c r="H94" i="46"/>
  <c r="K85" i="1"/>
  <c r="E15" i="2"/>
  <c r="A15" i="2"/>
  <c r="H15" i="8"/>
  <c r="A26" i="26"/>
  <c r="A27" i="26"/>
  <c r="A28" i="26"/>
  <c r="G25" i="26"/>
  <c r="H78" i="44"/>
  <c r="H65" i="44"/>
  <c r="G42" i="46"/>
  <c r="G43" i="46"/>
  <c r="D120" i="46"/>
  <c r="A26" i="71"/>
  <c r="A27" i="71"/>
  <c r="A33" i="44"/>
  <c r="B48" i="44"/>
  <c r="G64" i="44"/>
  <c r="A18" i="8"/>
  <c r="A37" i="7"/>
  <c r="A38" i="7"/>
  <c r="A39" i="7"/>
  <c r="A40" i="7"/>
  <c r="A41" i="7"/>
  <c r="A42" i="7"/>
  <c r="A43" i="7"/>
  <c r="A44" i="7"/>
  <c r="A45" i="7"/>
  <c r="A46" i="7"/>
  <c r="A54" i="12"/>
  <c r="B40" i="31"/>
  <c r="B35" i="31"/>
  <c r="A10" i="31"/>
  <c r="A22" i="1"/>
  <c r="A23" i="1"/>
  <c r="A24" i="1"/>
  <c r="I34" i="1"/>
  <c r="A49" i="11"/>
  <c r="H41" i="12"/>
  <c r="A18" i="56"/>
  <c r="A19" i="56"/>
  <c r="A20" i="56"/>
  <c r="A26" i="22"/>
  <c r="I15" i="1"/>
  <c r="G26" i="22"/>
  <c r="A21" i="32"/>
  <c r="A22" i="32"/>
  <c r="A26" i="32"/>
  <c r="E33" i="57"/>
  <c r="E40" i="57"/>
  <c r="E43" i="57"/>
  <c r="D29" i="57"/>
  <c r="D31" i="57"/>
  <c r="D33" i="57"/>
  <c r="D40" i="57"/>
  <c r="D43" i="57"/>
  <c r="A38" i="65"/>
  <c r="A39" i="65"/>
  <c r="A40" i="65"/>
  <c r="F40" i="65"/>
  <c r="B9" i="65"/>
  <c r="B7" i="65"/>
  <c r="B94" i="65"/>
  <c r="D105" i="46"/>
  <c r="D106" i="46"/>
  <c r="H66" i="44"/>
  <c r="H79" i="44"/>
  <c r="J42" i="46"/>
  <c r="J43" i="46"/>
  <c r="J60" i="46"/>
  <c r="G60" i="46"/>
  <c r="E245" i="61"/>
  <c r="E246" i="61"/>
  <c r="E249" i="61"/>
  <c r="K132" i="1"/>
  <c r="G52" i="21"/>
  <c r="G59" i="21"/>
  <c r="G63" i="4"/>
  <c r="G58" i="4"/>
  <c r="A59" i="46"/>
  <c r="A60" i="46"/>
  <c r="E63" i="46"/>
  <c r="A41" i="65"/>
  <c r="A34" i="57"/>
  <c r="A35" i="57"/>
  <c r="A36" i="57"/>
  <c r="A37" i="57"/>
  <c r="A38" i="57"/>
  <c r="A39" i="57"/>
  <c r="A40" i="57"/>
  <c r="A41" i="57"/>
  <c r="A42" i="57"/>
  <c r="A43" i="57"/>
  <c r="A44" i="57"/>
  <c r="A45" i="57"/>
  <c r="G40" i="57"/>
  <c r="G33" i="57"/>
  <c r="G73" i="44"/>
  <c r="I85" i="64"/>
  <c r="H93" i="46"/>
  <c r="G93" i="46"/>
  <c r="H95" i="46"/>
  <c r="G95" i="46"/>
  <c r="I96" i="46"/>
  <c r="G96" i="46"/>
  <c r="G94" i="46"/>
  <c r="A47" i="7"/>
  <c r="A48" i="7"/>
  <c r="A49" i="7"/>
  <c r="A50" i="7"/>
  <c r="A51" i="7"/>
  <c r="A52" i="7"/>
  <c r="A53" i="7"/>
  <c r="A54" i="7"/>
  <c r="A55" i="7"/>
  <c r="G26" i="26"/>
  <c r="G50" i="22"/>
  <c r="F29" i="54"/>
  <c r="G54" i="22"/>
  <c r="G24" i="22"/>
  <c r="I55" i="1"/>
  <c r="A16" i="2"/>
  <c r="A17" i="2"/>
  <c r="A18" i="2"/>
  <c r="A19" i="2"/>
  <c r="A20" i="2"/>
  <c r="A21" i="2"/>
  <c r="A22" i="2"/>
  <c r="K60" i="46"/>
  <c r="G22" i="32"/>
  <c r="G27" i="26"/>
  <c r="A55" i="12"/>
  <c r="A56" i="12"/>
  <c r="A57" i="12"/>
  <c r="A58" i="12"/>
  <c r="A59" i="12"/>
  <c r="H61" i="8"/>
  <c r="B191" i="71"/>
  <c r="B194" i="71"/>
  <c r="F27" i="71"/>
  <c r="D121" i="46"/>
  <c r="H120" i="46"/>
  <c r="G120" i="46"/>
  <c r="C120" i="46"/>
  <c r="C121" i="46"/>
  <c r="F65" i="71"/>
  <c r="A32" i="71"/>
  <c r="A33" i="71"/>
  <c r="A27" i="22"/>
  <c r="H12" i="8"/>
  <c r="A26" i="1"/>
  <c r="A27" i="32"/>
  <c r="A28" i="32"/>
  <c r="A21" i="56"/>
  <c r="A22" i="56"/>
  <c r="A23" i="56"/>
  <c r="A24" i="56"/>
  <c r="A25" i="56"/>
  <c r="A26" i="56"/>
  <c r="A50" i="11"/>
  <c r="A51" i="11"/>
  <c r="A52" i="11"/>
  <c r="A61" i="11"/>
  <c r="I24" i="1"/>
  <c r="B41" i="31"/>
  <c r="B36" i="31"/>
  <c r="A18" i="31"/>
  <c r="E40" i="7"/>
  <c r="A19" i="8"/>
  <c r="A20" i="8"/>
  <c r="A21" i="8"/>
  <c r="A34" i="44"/>
  <c r="G80" i="44"/>
  <c r="A29" i="26"/>
  <c r="G29" i="26"/>
  <c r="G43" i="57"/>
  <c r="G45" i="57"/>
  <c r="D45" i="57"/>
  <c r="B10" i="31"/>
  <c r="C45" i="57"/>
  <c r="D124" i="46"/>
  <c r="A42" i="65"/>
  <c r="B95" i="65"/>
  <c r="F42" i="65"/>
  <c r="C105" i="46"/>
  <c r="C106" i="46"/>
  <c r="C124" i="46"/>
  <c r="J54" i="8"/>
  <c r="D144" i="46"/>
  <c r="A61" i="46"/>
  <c r="A62" i="46"/>
  <c r="A63" i="46"/>
  <c r="A64"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D145" i="46"/>
  <c r="A34" i="71"/>
  <c r="A35" i="71"/>
  <c r="F66" i="71"/>
  <c r="A46" i="57"/>
  <c r="A47" i="57"/>
  <c r="G9" i="31"/>
  <c r="G10" i="31"/>
  <c r="A28" i="1"/>
  <c r="A30" i="1"/>
  <c r="H54" i="12"/>
  <c r="F68" i="12"/>
  <c r="E48" i="7"/>
  <c r="E23" i="2"/>
  <c r="A23" i="2"/>
  <c r="B109" i="12"/>
  <c r="A68" i="12"/>
  <c r="A19" i="31"/>
  <c r="A20" i="31"/>
  <c r="A22" i="31"/>
  <c r="A24" i="31"/>
  <c r="A27" i="31"/>
  <c r="A56" i="7"/>
  <c r="A57" i="7"/>
  <c r="A58" i="7"/>
  <c r="A59" i="7"/>
  <c r="A60" i="7"/>
  <c r="A61" i="7"/>
  <c r="E55" i="7"/>
  <c r="A23" i="8"/>
  <c r="H29" i="8"/>
  <c r="A30" i="26"/>
  <c r="I127" i="1"/>
  <c r="G30" i="26"/>
  <c r="H21" i="8"/>
  <c r="D26" i="56"/>
  <c r="G28" i="32"/>
  <c r="A34" i="22"/>
  <c r="A41" i="44"/>
  <c r="A42" i="44"/>
  <c r="A62" i="11"/>
  <c r="A27" i="56"/>
  <c r="A28" i="56"/>
  <c r="D28" i="56"/>
  <c r="B9" i="31"/>
  <c r="A36" i="71"/>
  <c r="A37" i="71"/>
  <c r="C37" i="71"/>
  <c r="B192" i="71"/>
  <c r="B195" i="71"/>
  <c r="A43" i="65"/>
  <c r="A44" i="65"/>
  <c r="F44" i="65"/>
  <c r="F43" i="65"/>
  <c r="A31" i="1"/>
  <c r="A32" i="1"/>
  <c r="A34" i="1"/>
  <c r="I117" i="1"/>
  <c r="A104" i="46"/>
  <c r="A105" i="46"/>
  <c r="A106" i="46"/>
  <c r="A107" i="46"/>
  <c r="A115" i="46"/>
  <c r="A116" i="46"/>
  <c r="A117" i="46"/>
  <c r="A118" i="46"/>
  <c r="A119" i="46"/>
  <c r="A120" i="46"/>
  <c r="A121" i="46"/>
  <c r="A122" i="46"/>
  <c r="A123" i="46"/>
  <c r="A124" i="46"/>
  <c r="A125" i="46"/>
  <c r="G12" i="32"/>
  <c r="G26" i="32"/>
  <c r="G20" i="32"/>
  <c r="E20" i="2"/>
  <c r="A38" i="71"/>
  <c r="A39" i="71"/>
  <c r="A42" i="71"/>
  <c r="A47" i="71"/>
  <c r="A48" i="71"/>
  <c r="A49" i="71"/>
  <c r="F35" i="71"/>
  <c r="H55" i="12"/>
  <c r="F69" i="12"/>
  <c r="A35" i="22"/>
  <c r="A36" i="22"/>
  <c r="A37" i="22"/>
  <c r="A38" i="22"/>
  <c r="A39" i="22"/>
  <c r="A40" i="22"/>
  <c r="A41" i="22"/>
  <c r="A42" i="22"/>
  <c r="A43" i="22"/>
  <c r="A44" i="22"/>
  <c r="A45" i="22"/>
  <c r="A46" i="22"/>
  <c r="G49" i="22"/>
  <c r="A24" i="2"/>
  <c r="I102" i="46"/>
  <c r="H102" i="46"/>
  <c r="A34" i="56"/>
  <c r="A35" i="56"/>
  <c r="A36" i="56"/>
  <c r="A37" i="56"/>
  <c r="A38" i="56"/>
  <c r="E63" i="7"/>
  <c r="A69" i="12"/>
  <c r="A70" i="12"/>
  <c r="A71" i="12"/>
  <c r="A81" i="12"/>
  <c r="A82" i="12"/>
  <c r="A83" i="12"/>
  <c r="A84" i="12"/>
  <c r="A85" i="12"/>
  <c r="A86" i="12"/>
  <c r="B38" i="31"/>
  <c r="H27" i="31"/>
  <c r="A62" i="7"/>
  <c r="A63" i="7"/>
  <c r="E59" i="7"/>
  <c r="B98" i="44"/>
  <c r="A43" i="44"/>
  <c r="A37" i="26"/>
  <c r="G78" i="26"/>
  <c r="A63" i="11"/>
  <c r="B99" i="44"/>
  <c r="A24" i="8"/>
  <c r="G91" i="12"/>
  <c r="A45" i="65"/>
  <c r="A46" i="65"/>
  <c r="A47" i="65"/>
  <c r="A48" i="65"/>
  <c r="A49" i="65"/>
  <c r="A50" i="65"/>
  <c r="A51" i="65"/>
  <c r="A52" i="65"/>
  <c r="A53" i="65"/>
  <c r="A54" i="65"/>
  <c r="F41" i="65"/>
  <c r="I151" i="1"/>
  <c r="A39" i="1"/>
  <c r="A40" i="1"/>
  <c r="A41" i="1"/>
  <c r="I35" i="1"/>
  <c r="B125" i="46"/>
  <c r="H56" i="12"/>
  <c r="F70" i="12"/>
  <c r="E64" i="7"/>
  <c r="E69" i="7"/>
  <c r="E25" i="2"/>
  <c r="A25" i="2"/>
  <c r="G102" i="46"/>
  <c r="A25" i="8"/>
  <c r="G53" i="22"/>
  <c r="A64" i="7"/>
  <c r="A65" i="7"/>
  <c r="B110" i="12"/>
  <c r="A90" i="12"/>
  <c r="A54" i="71"/>
  <c r="A55" i="71"/>
  <c r="A56" i="71"/>
  <c r="F67" i="71"/>
  <c r="G44" i="44"/>
  <c r="A44" i="44"/>
  <c r="A43" i="1"/>
  <c r="A44" i="1"/>
  <c r="A49" i="22"/>
  <c r="A64" i="11"/>
  <c r="A65" i="11"/>
  <c r="A66" i="11"/>
  <c r="A73" i="11"/>
  <c r="A74" i="11"/>
  <c r="A75" i="11"/>
  <c r="A76" i="11"/>
  <c r="A77" i="11"/>
  <c r="A78" i="11"/>
  <c r="A79" i="11"/>
  <c r="A80" i="11"/>
  <c r="A81" i="11"/>
  <c r="A82" i="11"/>
  <c r="A83" i="11"/>
  <c r="A84" i="11"/>
  <c r="A85" i="11"/>
  <c r="A38" i="26"/>
  <c r="A39" i="26"/>
  <c r="A40" i="26"/>
  <c r="A41" i="26"/>
  <c r="A42" i="26"/>
  <c r="A43" i="26"/>
  <c r="C79" i="26"/>
  <c r="A39" i="56"/>
  <c r="A40" i="56"/>
  <c r="A55" i="65"/>
  <c r="A56" i="65"/>
  <c r="A57" i="65"/>
  <c r="A58" i="65"/>
  <c r="A59" i="65"/>
  <c r="A60" i="65"/>
  <c r="A61" i="65"/>
  <c r="A62" i="65"/>
  <c r="A63" i="65"/>
  <c r="A64" i="65"/>
  <c r="A65" i="65"/>
  <c r="A66" i="65"/>
  <c r="A67" i="65"/>
  <c r="A68" i="65"/>
  <c r="A69" i="65"/>
  <c r="A70" i="65"/>
  <c r="A71" i="65"/>
  <c r="A72" i="65"/>
  <c r="A73" i="65"/>
  <c r="A74" i="65"/>
  <c r="A75" i="65"/>
  <c r="A76" i="65"/>
  <c r="A77" i="65"/>
  <c r="I41" i="1"/>
  <c r="A26" i="8"/>
  <c r="A27" i="8"/>
  <c r="A29" i="8"/>
  <c r="I126" i="1"/>
  <c r="E7" i="2"/>
  <c r="A26" i="2"/>
  <c r="A27" i="2"/>
  <c r="A28" i="2"/>
  <c r="E65" i="7"/>
  <c r="D40" i="56"/>
  <c r="A66" i="7"/>
  <c r="A67" i="7"/>
  <c r="A68" i="7"/>
  <c r="A69" i="7"/>
  <c r="A70" i="7"/>
  <c r="A50" i="22"/>
  <c r="A51" i="22"/>
  <c r="H13" i="8"/>
  <c r="A91" i="12"/>
  <c r="A92" i="12"/>
  <c r="H47" i="11"/>
  <c r="H48" i="11"/>
  <c r="H49" i="11"/>
  <c r="A57" i="71"/>
  <c r="A58" i="71"/>
  <c r="F68" i="71"/>
  <c r="A41" i="56"/>
  <c r="A42" i="56"/>
  <c r="E21" i="2"/>
  <c r="D42" i="56"/>
  <c r="A86" i="11"/>
  <c r="G87" i="44"/>
  <c r="A55" i="44"/>
  <c r="A44" i="26"/>
  <c r="A45" i="1"/>
  <c r="B115" i="65"/>
  <c r="A53" i="22"/>
  <c r="A78" i="65"/>
  <c r="A79" i="65"/>
  <c r="A80" i="65"/>
  <c r="A81" i="65"/>
  <c r="A82" i="65"/>
  <c r="A83" i="65"/>
  <c r="A84" i="65"/>
  <c r="A85" i="65"/>
  <c r="A86" i="65"/>
  <c r="A87" i="65"/>
  <c r="A88" i="65"/>
  <c r="A89" i="65"/>
  <c r="A90" i="65"/>
  <c r="A91" i="65"/>
  <c r="B109" i="65"/>
  <c r="G90" i="12"/>
  <c r="H41" i="8"/>
  <c r="A33" i="8"/>
  <c r="H30" i="8"/>
  <c r="I132" i="15"/>
  <c r="I91" i="15"/>
  <c r="I71" i="15"/>
  <c r="A65" i="71"/>
  <c r="A66" i="71"/>
  <c r="F49" i="71"/>
  <c r="F56" i="71"/>
  <c r="E28" i="2"/>
  <c r="A29" i="2"/>
  <c r="A30" i="2"/>
  <c r="A31" i="2"/>
  <c r="A32" i="2"/>
  <c r="I40" i="1"/>
  <c r="G28" i="26"/>
  <c r="G92" i="12"/>
  <c r="A71" i="7"/>
  <c r="E71" i="7"/>
  <c r="A45" i="26"/>
  <c r="A46" i="26"/>
  <c r="A47" i="26"/>
  <c r="A48" i="26"/>
  <c r="A49" i="26"/>
  <c r="A50" i="26"/>
  <c r="C73" i="26"/>
  <c r="A54" i="22"/>
  <c r="A55" i="22"/>
  <c r="I16" i="1"/>
  <c r="G51" i="22"/>
  <c r="A93" i="12"/>
  <c r="A94" i="12"/>
  <c r="G98" i="12"/>
  <c r="A95" i="11"/>
  <c r="A96" i="11"/>
  <c r="A97" i="11"/>
  <c r="A98" i="11"/>
  <c r="A99" i="11"/>
  <c r="A100" i="11"/>
  <c r="A101" i="11"/>
  <c r="A102" i="11"/>
  <c r="A103" i="11"/>
  <c r="A104" i="11"/>
  <c r="A105" i="11"/>
  <c r="A106" i="11"/>
  <c r="A107" i="11"/>
  <c r="A108" i="11"/>
  <c r="A118" i="11"/>
  <c r="H62" i="11"/>
  <c r="H61" i="11"/>
  <c r="H63" i="11"/>
  <c r="A56" i="44"/>
  <c r="A57" i="44"/>
  <c r="G59" i="44"/>
  <c r="A46" i="1"/>
  <c r="A47" i="1"/>
  <c r="A48" i="1"/>
  <c r="B119" i="65"/>
  <c r="B108" i="65"/>
  <c r="H34" i="8"/>
  <c r="A34" i="8"/>
  <c r="C22" i="17"/>
  <c r="A72" i="7"/>
  <c r="A73" i="7"/>
  <c r="A74" i="7"/>
  <c r="A75" i="7"/>
  <c r="A76" i="7"/>
  <c r="A77" i="7"/>
  <c r="A78" i="7"/>
  <c r="A79" i="7"/>
  <c r="A80" i="7"/>
  <c r="A81" i="7"/>
  <c r="A82" i="7"/>
  <c r="A83" i="7"/>
  <c r="A84" i="7"/>
  <c r="A85" i="7"/>
  <c r="A86" i="7"/>
  <c r="E88" i="7"/>
  <c r="A119" i="11"/>
  <c r="A120" i="11"/>
  <c r="A121" i="11"/>
  <c r="A122" i="11"/>
  <c r="A123" i="11"/>
  <c r="A124" i="11"/>
  <c r="A125" i="11"/>
  <c r="A126" i="11"/>
  <c r="A127" i="11"/>
  <c r="A128" i="11"/>
  <c r="A129" i="11"/>
  <c r="A130" i="11"/>
  <c r="F70" i="11"/>
  <c r="A87" i="7"/>
  <c r="A88" i="7"/>
  <c r="A89" i="7"/>
  <c r="C23" i="17"/>
  <c r="I53" i="1"/>
  <c r="G55" i="22"/>
  <c r="A98" i="12"/>
  <c r="G94" i="12"/>
  <c r="A67" i="71"/>
  <c r="I44" i="1"/>
  <c r="A58" i="44"/>
  <c r="A59" i="44"/>
  <c r="G65" i="44"/>
  <c r="A49" i="1"/>
  <c r="A50" i="1"/>
  <c r="A51" i="1"/>
  <c r="A52" i="1"/>
  <c r="C20" i="17"/>
  <c r="E73" i="7"/>
  <c r="A38" i="8"/>
  <c r="H55" i="8"/>
  <c r="E89" i="7"/>
  <c r="E79" i="7"/>
  <c r="A138" i="11"/>
  <c r="A139" i="11"/>
  <c r="A140" i="11"/>
  <c r="A141" i="11"/>
  <c r="A142" i="11"/>
  <c r="A143" i="11"/>
  <c r="A144" i="11"/>
  <c r="A145" i="11"/>
  <c r="A146" i="11"/>
  <c r="A147" i="11"/>
  <c r="A148" i="11"/>
  <c r="A149" i="11"/>
  <c r="A150" i="11"/>
  <c r="A158" i="11"/>
  <c r="A90" i="7"/>
  <c r="A91" i="7"/>
  <c r="I150" i="1"/>
  <c r="G90" i="44"/>
  <c r="A99" i="12"/>
  <c r="A100" i="12"/>
  <c r="A101" i="12"/>
  <c r="A53" i="1"/>
  <c r="A54" i="1"/>
  <c r="I52" i="1"/>
  <c r="A68" i="71"/>
  <c r="B193" i="71"/>
  <c r="E91" i="7"/>
  <c r="E80" i="7"/>
  <c r="E86" i="7"/>
  <c r="E84" i="7"/>
  <c r="G78" i="44"/>
  <c r="A64" i="44"/>
  <c r="B189" i="71"/>
  <c r="B190" i="71"/>
  <c r="B196" i="71"/>
  <c r="H56" i="8"/>
  <c r="A41" i="8"/>
  <c r="A42" i="8"/>
  <c r="A43" i="8"/>
  <c r="A44" i="8"/>
  <c r="A45" i="8"/>
  <c r="A48" i="8"/>
  <c r="H70" i="11"/>
  <c r="A159" i="11"/>
  <c r="A160" i="11"/>
  <c r="A161" i="11"/>
  <c r="A162" i="11"/>
  <c r="A163" i="11"/>
  <c r="A164" i="11"/>
  <c r="A165" i="11"/>
  <c r="A166" i="11"/>
  <c r="A167" i="11"/>
  <c r="A168" i="11"/>
  <c r="A169" i="11"/>
  <c r="A170" i="11"/>
  <c r="A177" i="11"/>
  <c r="A178" i="11"/>
  <c r="A179" i="11"/>
  <c r="A180" i="11"/>
  <c r="A181" i="11"/>
  <c r="A182" i="11"/>
  <c r="A183" i="11"/>
  <c r="A184" i="11"/>
  <c r="A185" i="11"/>
  <c r="A186" i="11"/>
  <c r="A187" i="11"/>
  <c r="A188" i="11"/>
  <c r="A189" i="11"/>
  <c r="A196" i="11"/>
  <c r="A197" i="11"/>
  <c r="A198" i="11"/>
  <c r="A199" i="11"/>
  <c r="A200" i="11"/>
  <c r="A201" i="11"/>
  <c r="A202" i="11"/>
  <c r="A203" i="11"/>
  <c r="A204" i="11"/>
  <c r="A205" i="11"/>
  <c r="A206" i="11"/>
  <c r="A207" i="11"/>
  <c r="A208" i="11"/>
  <c r="A215" i="11"/>
  <c r="A216" i="11"/>
  <c r="A217" i="11"/>
  <c r="A218" i="11"/>
  <c r="A219" i="11"/>
  <c r="A220" i="11"/>
  <c r="A221" i="11"/>
  <c r="A222" i="11"/>
  <c r="A223" i="11"/>
  <c r="A224" i="11"/>
  <c r="A225" i="11"/>
  <c r="A226" i="11"/>
  <c r="A227" i="11"/>
  <c r="A234" i="11"/>
  <c r="A235" i="11"/>
  <c r="A236" i="11"/>
  <c r="A237" i="11"/>
  <c r="A238" i="11"/>
  <c r="A239" i="11"/>
  <c r="A240" i="11"/>
  <c r="A241" i="11"/>
  <c r="A242" i="11"/>
  <c r="A243" i="11"/>
  <c r="A244" i="11"/>
  <c r="A245" i="11"/>
  <c r="A246" i="11"/>
  <c r="A253" i="11"/>
  <c r="A254" i="11"/>
  <c r="A255" i="11"/>
  <c r="A256" i="11"/>
  <c r="A257" i="11"/>
  <c r="A258" i="11"/>
  <c r="A259" i="11"/>
  <c r="A260" i="11"/>
  <c r="A261" i="11"/>
  <c r="A262" i="11"/>
  <c r="A263" i="11"/>
  <c r="A264" i="11"/>
  <c r="A265" i="11"/>
  <c r="A272" i="11"/>
  <c r="A273" i="11"/>
  <c r="A274" i="11"/>
  <c r="A275" i="11"/>
  <c r="A276" i="11"/>
  <c r="A277" i="11"/>
  <c r="A278" i="11"/>
  <c r="A279" i="11"/>
  <c r="A280" i="11"/>
  <c r="A281" i="11"/>
  <c r="A282" i="11"/>
  <c r="A283" i="11"/>
  <c r="A284" i="11"/>
  <c r="A291" i="11"/>
  <c r="A292" i="11"/>
  <c r="A293" i="11"/>
  <c r="A294" i="11"/>
  <c r="A295" i="11"/>
  <c r="A296" i="11"/>
  <c r="A297" i="11"/>
  <c r="A298" i="11"/>
  <c r="A299" i="11"/>
  <c r="A300" i="11"/>
  <c r="A301" i="11"/>
  <c r="A302" i="11"/>
  <c r="A303" i="11"/>
  <c r="I54" i="1"/>
  <c r="G101" i="12"/>
  <c r="A55" i="1"/>
  <c r="A56" i="1"/>
  <c r="A58" i="1"/>
  <c r="F141" i="71"/>
  <c r="A69" i="71"/>
  <c r="A65" i="44"/>
  <c r="A66" i="44"/>
  <c r="A67" i="44"/>
  <c r="A68" i="44"/>
  <c r="A69" i="44"/>
  <c r="A70" i="44"/>
  <c r="A310" i="11"/>
  <c r="A311" i="11"/>
  <c r="A312" i="11"/>
  <c r="A313" i="11"/>
  <c r="A314" i="11"/>
  <c r="A315" i="11"/>
  <c r="A316" i="11"/>
  <c r="A317" i="11"/>
  <c r="A318" i="11"/>
  <c r="A319" i="11"/>
  <c r="A320" i="11"/>
  <c r="A321" i="11"/>
  <c r="A322" i="11"/>
  <c r="A49" i="8"/>
  <c r="A50" i="8"/>
  <c r="A51" i="8"/>
  <c r="A52" i="8"/>
  <c r="A53" i="8"/>
  <c r="A54" i="8"/>
  <c r="A55" i="8"/>
  <c r="A56" i="8"/>
  <c r="A57" i="8"/>
  <c r="A58" i="8"/>
  <c r="A59" i="8"/>
  <c r="H64" i="8"/>
  <c r="G70" i="11"/>
  <c r="A71" i="44"/>
  <c r="A72" i="44"/>
  <c r="G66" i="44"/>
  <c r="I58" i="1"/>
  <c r="I56" i="1"/>
  <c r="A70" i="71"/>
  <c r="A78" i="71"/>
  <c r="F70" i="71"/>
  <c r="G79" i="44"/>
  <c r="I131" i="1"/>
  <c r="A63" i="1"/>
  <c r="A330" i="11"/>
  <c r="A331" i="11"/>
  <c r="A332" i="11"/>
  <c r="A333" i="11"/>
  <c r="A334" i="11"/>
  <c r="A335" i="11"/>
  <c r="A336" i="11"/>
  <c r="A337" i="11"/>
  <c r="A338" i="11"/>
  <c r="A339" i="11"/>
  <c r="A340" i="11"/>
  <c r="A341" i="11"/>
  <c r="G72" i="44"/>
  <c r="H59" i="8"/>
  <c r="A61" i="8"/>
  <c r="A64" i="8"/>
  <c r="A73" i="44"/>
  <c r="A74" i="44"/>
  <c r="A79" i="71"/>
  <c r="A80" i="71"/>
  <c r="A81" i="71"/>
  <c r="A82" i="71"/>
  <c r="A83" i="71"/>
  <c r="A84" i="71"/>
  <c r="A85" i="71"/>
  <c r="A86" i="71"/>
  <c r="A87" i="71"/>
  <c r="A64" i="1"/>
  <c r="A88" i="71"/>
  <c r="A89" i="71"/>
  <c r="A342" i="11"/>
  <c r="A68" i="8"/>
  <c r="G68" i="8"/>
  <c r="G74" i="44"/>
  <c r="G81" i="44"/>
  <c r="A77" i="44"/>
  <c r="A78" i="44"/>
  <c r="A79" i="44"/>
  <c r="A80" i="44"/>
  <c r="A81" i="44"/>
  <c r="A82" i="44"/>
  <c r="A83" i="44"/>
  <c r="A33" i="2"/>
  <c r="B198" i="71"/>
  <c r="A65" i="1"/>
  <c r="A90" i="71"/>
  <c r="A96" i="71"/>
  <c r="I90" i="71"/>
  <c r="A366" i="11"/>
  <c r="A367" i="11"/>
  <c r="A349" i="11"/>
  <c r="A350" i="11"/>
  <c r="A351" i="11"/>
  <c r="A352" i="11"/>
  <c r="A353" i="11"/>
  <c r="A354" i="11"/>
  <c r="A355" i="11"/>
  <c r="A356" i="11"/>
  <c r="A357" i="11"/>
  <c r="A358" i="11"/>
  <c r="A359" i="11"/>
  <c r="A360" i="11"/>
  <c r="A361" i="11"/>
  <c r="A69" i="8"/>
  <c r="A70" i="8"/>
  <c r="G70" i="8"/>
  <c r="G88" i="44"/>
  <c r="A87" i="44"/>
  <c r="A88" i="44"/>
  <c r="A89" i="44"/>
  <c r="A90" i="44"/>
  <c r="A91" i="44"/>
  <c r="A92" i="44"/>
  <c r="A93" i="44"/>
  <c r="I158" i="1"/>
  <c r="A34" i="2"/>
  <c r="A35" i="2"/>
  <c r="A36" i="2"/>
  <c r="A97" i="71"/>
  <c r="A98" i="71"/>
  <c r="A99" i="71"/>
  <c r="A100" i="71"/>
  <c r="A101" i="71"/>
  <c r="A102" i="71"/>
  <c r="A103" i="71"/>
  <c r="A104" i="71"/>
  <c r="A105" i="71"/>
  <c r="A68" i="1"/>
  <c r="I85" i="1"/>
  <c r="A106" i="71"/>
  <c r="A107" i="71"/>
  <c r="A108" i="71"/>
  <c r="A114" i="71"/>
  <c r="A115" i="71"/>
  <c r="A116" i="71"/>
  <c r="F117" i="71"/>
  <c r="I108" i="71"/>
  <c r="G25" i="12"/>
  <c r="A368" i="11"/>
  <c r="A371" i="11"/>
  <c r="A372" i="11"/>
  <c r="A71" i="8"/>
  <c r="B101" i="44"/>
  <c r="G93" i="44"/>
  <c r="G91" i="44"/>
  <c r="E36" i="2"/>
  <c r="E35" i="2"/>
  <c r="A37" i="2"/>
  <c r="A38" i="2"/>
  <c r="A39" i="2"/>
  <c r="A69" i="1"/>
  <c r="A70" i="1"/>
  <c r="G26" i="12"/>
  <c r="A373" i="11"/>
  <c r="A376" i="11"/>
  <c r="A377" i="11"/>
  <c r="A72" i="8"/>
  <c r="G72" i="8"/>
  <c r="A73" i="8"/>
  <c r="H14" i="65"/>
  <c r="G73" i="8"/>
  <c r="A40" i="2"/>
  <c r="A41" i="2"/>
  <c r="A42" i="2"/>
  <c r="F116" i="71"/>
  <c r="A117" i="71"/>
  <c r="A118" i="71"/>
  <c r="A123" i="71"/>
  <c r="F142" i="71"/>
  <c r="A73" i="1"/>
  <c r="I86" i="1"/>
  <c r="G27" i="12"/>
  <c r="A378" i="11"/>
  <c r="A379" i="11"/>
  <c r="A382" i="11"/>
  <c r="A383" i="11"/>
  <c r="A384" i="11"/>
  <c r="A385" i="11"/>
  <c r="A386" i="11"/>
  <c r="A389" i="11"/>
  <c r="A390" i="11"/>
  <c r="A391" i="11"/>
  <c r="A394" i="11"/>
  <c r="A395" i="11"/>
  <c r="A396" i="11"/>
  <c r="A399" i="11"/>
  <c r="A400" i="11"/>
  <c r="A401" i="11"/>
  <c r="A404" i="11"/>
  <c r="A405" i="11"/>
  <c r="A406" i="11"/>
  <c r="A409" i="11"/>
  <c r="A410" i="11"/>
  <c r="A411" i="11"/>
  <c r="A414" i="11"/>
  <c r="A415" i="11"/>
  <c r="A416" i="11"/>
  <c r="A419" i="11"/>
  <c r="A420" i="11"/>
  <c r="A421" i="11"/>
  <c r="A424" i="11"/>
  <c r="A425" i="11"/>
  <c r="A426" i="11"/>
  <c r="A429" i="11"/>
  <c r="A430" i="11"/>
  <c r="A431" i="11"/>
  <c r="A434" i="11"/>
  <c r="A435" i="11"/>
  <c r="A436" i="11"/>
  <c r="I75" i="1"/>
  <c r="E41" i="2"/>
  <c r="E42" i="2"/>
  <c r="A43" i="2"/>
  <c r="F118" i="71"/>
  <c r="A124" i="71"/>
  <c r="A125" i="71"/>
  <c r="A126" i="71"/>
  <c r="A127" i="71"/>
  <c r="A128" i="71"/>
  <c r="A129" i="71"/>
  <c r="A130" i="71"/>
  <c r="A131" i="71"/>
  <c r="A132" i="71"/>
  <c r="A75" i="1"/>
  <c r="A141" i="71"/>
  <c r="A142" i="71"/>
  <c r="A143" i="71"/>
  <c r="A133" i="71"/>
  <c r="A134" i="71"/>
  <c r="A135" i="71"/>
  <c r="I81" i="1"/>
  <c r="A80" i="1"/>
  <c r="I82" i="1"/>
  <c r="A44" i="2"/>
  <c r="A45" i="2"/>
  <c r="A46" i="2"/>
  <c r="A47" i="2"/>
  <c r="A48" i="2"/>
  <c r="A49" i="2"/>
  <c r="F135" i="71"/>
  <c r="B199" i="71"/>
  <c r="A50" i="2"/>
  <c r="A51" i="2"/>
  <c r="A52" i="2"/>
  <c r="A53" i="2"/>
  <c r="A54" i="2"/>
  <c r="F143" i="71"/>
  <c r="A144" i="71"/>
  <c r="A145" i="71"/>
  <c r="A146" i="71"/>
  <c r="A147" i="71"/>
  <c r="A148" i="71"/>
  <c r="A149" i="71"/>
  <c r="B37" i="31"/>
  <c r="A81" i="1"/>
  <c r="I90" i="1"/>
  <c r="A155" i="71"/>
  <c r="A156" i="71"/>
  <c r="A157" i="71"/>
  <c r="A158" i="71"/>
  <c r="A159" i="71"/>
  <c r="A160" i="71"/>
  <c r="A161" i="71"/>
  <c r="A162" i="71"/>
  <c r="A163" i="71"/>
  <c r="A164" i="71"/>
  <c r="F146" i="71"/>
  <c r="F149" i="71"/>
  <c r="F148" i="71"/>
  <c r="F147" i="71"/>
  <c r="A82" i="1"/>
  <c r="F97" i="8"/>
  <c r="I91" i="1"/>
  <c r="A174" i="71"/>
  <c r="A175" i="71"/>
  <c r="A176" i="71"/>
  <c r="A177" i="71"/>
  <c r="A178" i="71"/>
  <c r="A179" i="71"/>
  <c r="A180" i="71"/>
  <c r="A181" i="71"/>
  <c r="A182" i="71"/>
  <c r="A183" i="71"/>
  <c r="A165" i="71"/>
  <c r="A166" i="71"/>
  <c r="A167" i="71"/>
  <c r="I80" i="1"/>
  <c r="G93" i="12"/>
  <c r="I15" i="12"/>
  <c r="A85" i="1"/>
  <c r="A86" i="1"/>
  <c r="A87" i="1"/>
  <c r="I83" i="1"/>
  <c r="G100" i="12"/>
  <c r="I92" i="1"/>
  <c r="A90" i="1"/>
  <c r="A91" i="1"/>
  <c r="F96" i="8"/>
  <c r="E21" i="7"/>
  <c r="F95" i="8"/>
  <c r="A92" i="1"/>
  <c r="I95" i="1"/>
  <c r="I93" i="1"/>
  <c r="A93" i="1"/>
  <c r="F26" i="71"/>
  <c r="A95" i="1"/>
  <c r="I97" i="1"/>
  <c r="F33" i="71"/>
  <c r="E22" i="7"/>
  <c r="I118" i="1"/>
  <c r="A97" i="1"/>
  <c r="A102" i="1"/>
  <c r="I133" i="1"/>
  <c r="A103" i="1"/>
  <c r="A104" i="1"/>
  <c r="F34" i="71"/>
  <c r="I16" i="12"/>
  <c r="H43" i="8"/>
  <c r="E23" i="7"/>
  <c r="G56" i="44"/>
  <c r="I119" i="1"/>
  <c r="E48" i="2"/>
  <c r="E47" i="2"/>
  <c r="I104" i="1"/>
  <c r="A107" i="1"/>
  <c r="A108" i="1"/>
  <c r="A109" i="1"/>
  <c r="A110" i="1"/>
  <c r="A112" i="1"/>
  <c r="A114" i="1"/>
  <c r="H45" i="8"/>
  <c r="H44" i="8"/>
  <c r="I120" i="1"/>
  <c r="I110" i="1"/>
  <c r="I134" i="1"/>
  <c r="A126" i="1"/>
  <c r="I139" i="1"/>
  <c r="I112" i="1"/>
  <c r="A127" i="1"/>
  <c r="H49" i="8"/>
  <c r="H48" i="8"/>
  <c r="A128" i="1"/>
  <c r="H50" i="8"/>
  <c r="E72" i="7"/>
  <c r="I17" i="1"/>
  <c r="A129" i="1"/>
  <c r="H51" i="8"/>
  <c r="A130" i="1"/>
  <c r="H52" i="8"/>
  <c r="A131" i="1"/>
  <c r="H53" i="8"/>
  <c r="A132" i="1"/>
  <c r="H54" i="8"/>
  <c r="A133" i="1"/>
  <c r="A134" i="1"/>
  <c r="A135" i="1"/>
  <c r="A136" i="1"/>
  <c r="A137" i="1"/>
  <c r="A139" i="1"/>
  <c r="H58" i="8"/>
  <c r="H57" i="8"/>
  <c r="A141" i="1"/>
  <c r="A142" i="1"/>
  <c r="G89" i="44"/>
  <c r="E54" i="2"/>
  <c r="E53" i="2"/>
  <c r="I144" i="1"/>
  <c r="A144" i="1"/>
  <c r="I149" i="1"/>
  <c r="I142" i="1"/>
  <c r="I141" i="1"/>
  <c r="E70" i="7"/>
  <c r="A149" i="1"/>
  <c r="A150" i="1"/>
  <c r="A151" i="1"/>
  <c r="A152" i="1"/>
  <c r="A154" i="1"/>
  <c r="A157" i="1"/>
  <c r="A158" i="1"/>
  <c r="A159" i="1"/>
  <c r="G4" i="31"/>
  <c r="I157" i="1"/>
  <c r="I154" i="1"/>
  <c r="I159" i="1"/>
  <c r="K53" i="1"/>
  <c r="K54" i="1"/>
  <c r="I92" i="46"/>
  <c r="I91" i="46"/>
  <c r="I74" i="46"/>
  <c r="I106" i="46"/>
  <c r="H74" i="46"/>
  <c r="G74" i="46"/>
  <c r="H91" i="46"/>
  <c r="G91" i="46"/>
  <c r="H92" i="46"/>
  <c r="G92" i="46"/>
  <c r="C149" i="46"/>
  <c r="H105" i="46"/>
  <c r="G105" i="46"/>
  <c r="G106" i="46"/>
  <c r="H106" i="46"/>
  <c r="I118" i="46"/>
  <c r="I117" i="46"/>
  <c r="I116" i="46"/>
  <c r="I115" i="46"/>
  <c r="I121" i="46"/>
  <c r="I124" i="46"/>
  <c r="H118" i="46"/>
  <c r="G118" i="46"/>
  <c r="H115" i="46"/>
  <c r="G115" i="46"/>
  <c r="H116" i="46"/>
  <c r="G116" i="46"/>
  <c r="H117" i="46"/>
  <c r="G117" i="46"/>
  <c r="G121" i="46"/>
  <c r="G124" i="46"/>
  <c r="H121" i="46"/>
  <c r="H124" i="46"/>
  <c r="K126" i="1"/>
  <c r="G7" i="2"/>
  <c r="G15" i="2"/>
  <c r="F24" i="22"/>
  <c r="G26" i="79"/>
  <c r="G27" i="79"/>
  <c r="F54" i="22"/>
  <c r="F55" i="22"/>
  <c r="K16" i="1"/>
  <c r="D29" i="54"/>
  <c r="F50" i="22"/>
  <c r="F52" i="21"/>
  <c r="F59" i="21"/>
  <c r="F63" i="4"/>
  <c r="F58" i="4"/>
  <c r="H85" i="64"/>
  <c r="H73" i="44"/>
  <c r="H74" i="44"/>
  <c r="G31" i="79"/>
  <c r="G32" i="79"/>
  <c r="I26" i="79"/>
  <c r="I27" i="79"/>
  <c r="G38" i="79"/>
  <c r="G39" i="79"/>
  <c r="I38" i="79"/>
  <c r="I39" i="79"/>
  <c r="I31" i="79"/>
  <c r="I32" i="79"/>
  <c r="H132" i="15"/>
  <c r="H133" i="15"/>
  <c r="H71" i="15"/>
  <c r="H72" i="15"/>
  <c r="H91" i="15"/>
  <c r="H92" i="15"/>
  <c r="G25" i="2"/>
  <c r="F26" i="26"/>
  <c r="F27" i="26"/>
  <c r="K55" i="1"/>
  <c r="K56" i="1"/>
  <c r="E29" i="54"/>
  <c r="G23" i="2"/>
  <c r="J48" i="8"/>
  <c r="G28" i="2"/>
  <c r="K27" i="79"/>
  <c r="K39" i="79"/>
  <c r="F51" i="22"/>
  <c r="J13" i="8"/>
  <c r="F59" i="4"/>
  <c r="J7" i="8"/>
  <c r="F53" i="21"/>
  <c r="J20" i="8"/>
  <c r="K32" i="79"/>
  <c r="F64" i="4"/>
  <c r="K10" i="1"/>
  <c r="H86" i="64"/>
  <c r="F93" i="64"/>
  <c r="E30" i="54"/>
  <c r="E39" i="54"/>
  <c r="K11" i="1"/>
  <c r="D30" i="54"/>
  <c r="D39" i="54"/>
  <c r="F60" i="21"/>
  <c r="K23" i="1"/>
  <c r="K24" i="1"/>
  <c r="I18" i="79"/>
  <c r="G19" i="79"/>
  <c r="G17" i="79"/>
  <c r="G18" i="79"/>
  <c r="H81" i="44"/>
  <c r="H83" i="44"/>
  <c r="F27" i="22"/>
  <c r="J12" i="8"/>
  <c r="F26" i="22"/>
  <c r="K15" i="1"/>
  <c r="G71" i="15"/>
  <c r="G72" i="15"/>
  <c r="D72" i="15"/>
  <c r="D10" i="15"/>
  <c r="G91" i="15"/>
  <c r="G92" i="15"/>
  <c r="D92" i="15"/>
  <c r="D42" i="54"/>
  <c r="J8" i="8"/>
  <c r="G20" i="79"/>
  <c r="H88" i="44"/>
  <c r="I19" i="79"/>
  <c r="K19" i="79"/>
  <c r="K18" i="79"/>
  <c r="I17" i="79"/>
  <c r="G132" i="15"/>
  <c r="G133" i="15"/>
  <c r="D133" i="15"/>
  <c r="K40" i="1"/>
  <c r="K41" i="1"/>
  <c r="K58" i="1"/>
  <c r="F28" i="26"/>
  <c r="F29" i="26"/>
  <c r="F30" i="26"/>
  <c r="K127" i="1"/>
  <c r="I20" i="79"/>
  <c r="K9" i="79"/>
  <c r="K31" i="1"/>
  <c r="D11" i="15"/>
  <c r="K17" i="79"/>
  <c r="D12" i="15"/>
  <c r="D14" i="15"/>
  <c r="D24" i="15"/>
  <c r="K17" i="1"/>
  <c r="K18" i="1"/>
  <c r="D72" i="7"/>
  <c r="J49" i="8"/>
  <c r="K20" i="79"/>
  <c r="K10" i="79"/>
  <c r="J26" i="8"/>
  <c r="J14" i="8"/>
  <c r="J15" i="8"/>
  <c r="K131" i="1"/>
  <c r="J53" i="8"/>
  <c r="C13" i="64"/>
  <c r="C49" i="64"/>
  <c r="K26" i="1"/>
  <c r="C14" i="64"/>
  <c r="D71" i="21"/>
  <c r="C50" i="64"/>
  <c r="C15" i="64"/>
  <c r="D72" i="21"/>
  <c r="C51" i="64"/>
  <c r="J23" i="8"/>
  <c r="C16" i="64"/>
  <c r="D73" i="21"/>
  <c r="C52" i="64"/>
  <c r="C17" i="64"/>
  <c r="D74" i="21"/>
  <c r="C53" i="64"/>
  <c r="C18" i="64"/>
  <c r="D75" i="21"/>
  <c r="C54" i="64"/>
  <c r="C19" i="64"/>
  <c r="D76" i="21"/>
  <c r="C55" i="64"/>
  <c r="C20" i="64"/>
  <c r="D77" i="21"/>
  <c r="C56" i="64"/>
  <c r="C21" i="64"/>
  <c r="D78" i="21"/>
  <c r="C57" i="64"/>
  <c r="C22" i="64"/>
  <c r="D79" i="21"/>
  <c r="C58" i="64"/>
  <c r="C23" i="64"/>
  <c r="D80" i="21"/>
  <c r="C59" i="64"/>
  <c r="D81" i="21"/>
  <c r="D82" i="21"/>
  <c r="D109" i="21"/>
  <c r="C60" i="64"/>
  <c r="D13" i="64"/>
  <c r="D49" i="64"/>
  <c r="D112" i="21"/>
  <c r="D14" i="64"/>
  <c r="E71" i="21"/>
  <c r="D50" i="64"/>
  <c r="D129" i="21"/>
  <c r="D121" i="21"/>
  <c r="D123" i="21"/>
  <c r="D122" i="21"/>
  <c r="D124" i="21"/>
  <c r="D127" i="21"/>
  <c r="D119" i="21"/>
  <c r="D126" i="21"/>
  <c r="D128" i="21"/>
  <c r="D130" i="21"/>
  <c r="D125" i="21"/>
  <c r="D120" i="21"/>
  <c r="D15" i="64"/>
  <c r="E72" i="21"/>
  <c r="D51" i="64"/>
  <c r="D131" i="21"/>
  <c r="D13" i="21"/>
  <c r="D16" i="64"/>
  <c r="E73" i="21"/>
  <c r="D52" i="64"/>
  <c r="D14" i="21"/>
  <c r="D17" i="64"/>
  <c r="E74" i="21"/>
  <c r="D53" i="64"/>
  <c r="D15" i="21"/>
  <c r="D18" i="64"/>
  <c r="E75" i="21"/>
  <c r="D54" i="64"/>
  <c r="D16" i="21"/>
  <c r="D19" i="64"/>
  <c r="E76" i="21"/>
  <c r="D55" i="64"/>
  <c r="D17" i="21"/>
  <c r="D20" i="64"/>
  <c r="E77" i="21"/>
  <c r="D56" i="64"/>
  <c r="D18" i="21"/>
  <c r="D21" i="64"/>
  <c r="E78" i="21"/>
  <c r="D57" i="64"/>
  <c r="D19" i="21"/>
  <c r="D22" i="64"/>
  <c r="E79" i="21"/>
  <c r="D58" i="64"/>
  <c r="D20" i="21"/>
  <c r="D23" i="64"/>
  <c r="D25" i="4"/>
  <c r="E80" i="21"/>
  <c r="D59" i="64"/>
  <c r="D21" i="21"/>
  <c r="E81" i="21"/>
  <c r="E82" i="21"/>
  <c r="D60" i="64"/>
  <c r="D22" i="21"/>
  <c r="E109" i="21"/>
  <c r="I24" i="64"/>
  <c r="C125" i="48"/>
  <c r="E125" i="48"/>
  <c r="F24" i="64"/>
  <c r="C122" i="48"/>
  <c r="E122" i="48"/>
  <c r="G24" i="64"/>
  <c r="C123" i="48"/>
  <c r="E123" i="48"/>
  <c r="L183" i="4"/>
  <c r="L191" i="4"/>
  <c r="L24" i="64"/>
  <c r="C128" i="48"/>
  <c r="E128" i="48"/>
  <c r="F183" i="4"/>
  <c r="F191" i="4"/>
  <c r="G183" i="4"/>
  <c r="G191" i="4"/>
  <c r="G198" i="4"/>
  <c r="K183" i="4"/>
  <c r="K191" i="4"/>
  <c r="K203" i="4"/>
  <c r="K24" i="64"/>
  <c r="C127" i="48"/>
  <c r="E127" i="48"/>
  <c r="J24" i="64"/>
  <c r="C126" i="48"/>
  <c r="E126" i="48"/>
  <c r="J183" i="4"/>
  <c r="J191" i="4"/>
  <c r="J209" i="4"/>
  <c r="M24" i="4"/>
  <c r="H183" i="4"/>
  <c r="H191" i="4"/>
  <c r="H24" i="64"/>
  <c r="C124" i="48"/>
  <c r="E124" i="48"/>
  <c r="E183" i="4"/>
  <c r="E191" i="4"/>
  <c r="E24" i="64"/>
  <c r="C121" i="48"/>
  <c r="I183" i="4"/>
  <c r="I191" i="4"/>
  <c r="E121" i="48"/>
  <c r="E130" i="48"/>
  <c r="E131" i="48"/>
  <c r="G13" i="4"/>
  <c r="M24" i="64"/>
  <c r="M183" i="4"/>
  <c r="M191" i="4"/>
  <c r="K209" i="4"/>
  <c r="E201" i="4"/>
  <c r="E207" i="4"/>
  <c r="E200" i="4"/>
  <c r="D36" i="7"/>
  <c r="D40" i="7"/>
  <c r="D23" i="21"/>
  <c r="E112" i="21"/>
  <c r="J206" i="4"/>
  <c r="J204" i="4"/>
  <c r="J202" i="4"/>
  <c r="J207" i="4"/>
  <c r="J199" i="4"/>
  <c r="J201" i="4"/>
  <c r="J200" i="4"/>
  <c r="J205" i="4"/>
  <c r="J198" i="4"/>
  <c r="J208" i="4"/>
  <c r="J203" i="4"/>
  <c r="G200" i="4"/>
  <c r="G202" i="4"/>
  <c r="G207" i="4"/>
  <c r="G204" i="4"/>
  <c r="G199" i="4"/>
  <c r="G205" i="4"/>
  <c r="G208" i="4"/>
  <c r="G203" i="4"/>
  <c r="G206" i="4"/>
  <c r="G209" i="4"/>
  <c r="G201" i="4"/>
  <c r="L201" i="4"/>
  <c r="L199" i="4"/>
  <c r="L208" i="4"/>
  <c r="L205" i="4"/>
  <c r="L203" i="4"/>
  <c r="L200" i="4"/>
  <c r="L202" i="4"/>
  <c r="L207" i="4"/>
  <c r="L209" i="4"/>
  <c r="L204" i="4"/>
  <c r="L198" i="4"/>
  <c r="L206" i="4"/>
  <c r="I201" i="4"/>
  <c r="I205" i="4"/>
  <c r="I204" i="4"/>
  <c r="I206" i="4"/>
  <c r="I199" i="4"/>
  <c r="I202" i="4"/>
  <c r="I198" i="4"/>
  <c r="I200" i="4"/>
  <c r="I209" i="4"/>
  <c r="I207" i="4"/>
  <c r="I208" i="4"/>
  <c r="I203" i="4"/>
  <c r="H202" i="4"/>
  <c r="H207" i="4"/>
  <c r="H199" i="4"/>
  <c r="H205" i="4"/>
  <c r="H200" i="4"/>
  <c r="H206" i="4"/>
  <c r="H209" i="4"/>
  <c r="H198" i="4"/>
  <c r="H208" i="4"/>
  <c r="H204" i="4"/>
  <c r="H203" i="4"/>
  <c r="H201" i="4"/>
  <c r="F207" i="4"/>
  <c r="F203" i="4"/>
  <c r="F204" i="4"/>
  <c r="F206" i="4"/>
  <c r="F199" i="4"/>
  <c r="F201" i="4"/>
  <c r="F208" i="4"/>
  <c r="F205" i="4"/>
  <c r="F200" i="4"/>
  <c r="F202" i="4"/>
  <c r="F198" i="4"/>
  <c r="F209" i="4"/>
  <c r="K204" i="4"/>
  <c r="K206" i="4"/>
  <c r="K200" i="4"/>
  <c r="K208" i="4"/>
  <c r="K205" i="4"/>
  <c r="K199" i="4"/>
  <c r="K207" i="4"/>
  <c r="K202" i="4"/>
  <c r="K201" i="4"/>
  <c r="K198" i="4"/>
  <c r="E209" i="4"/>
  <c r="D44" i="4"/>
  <c r="K9" i="1"/>
  <c r="K34" i="1"/>
  <c r="E204" i="4"/>
  <c r="E205" i="4"/>
  <c r="E206" i="4"/>
  <c r="E202" i="4"/>
  <c r="E198" i="4"/>
  <c r="E203" i="4"/>
  <c r="E199" i="4"/>
  <c r="E208" i="4"/>
  <c r="M203" i="4"/>
  <c r="G210" i="4"/>
  <c r="E133" i="48"/>
  <c r="M206" i="4"/>
  <c r="M209" i="4"/>
  <c r="F13" i="4"/>
  <c r="F14" i="4"/>
  <c r="F15" i="4"/>
  <c r="F16" i="4"/>
  <c r="F17" i="4"/>
  <c r="F18" i="4"/>
  <c r="F19" i="4"/>
  <c r="F20" i="4"/>
  <c r="F21" i="4"/>
  <c r="F22" i="4"/>
  <c r="F23" i="4"/>
  <c r="F210" i="4"/>
  <c r="I13" i="4"/>
  <c r="I14" i="4"/>
  <c r="I15" i="4"/>
  <c r="I16" i="4"/>
  <c r="I17" i="4"/>
  <c r="I18" i="4"/>
  <c r="I19" i="4"/>
  <c r="I20" i="4"/>
  <c r="I21" i="4"/>
  <c r="I22" i="4"/>
  <c r="I23" i="4"/>
  <c r="I210" i="4"/>
  <c r="L13" i="4"/>
  <c r="L210" i="4"/>
  <c r="J13" i="4"/>
  <c r="J14" i="4"/>
  <c r="J15" i="4"/>
  <c r="J16" i="4"/>
  <c r="J17" i="4"/>
  <c r="J18" i="4"/>
  <c r="J19" i="4"/>
  <c r="J20" i="4"/>
  <c r="J21" i="4"/>
  <c r="J22" i="4"/>
  <c r="J23" i="4"/>
  <c r="J210" i="4"/>
  <c r="M200" i="4"/>
  <c r="E13" i="4"/>
  <c r="E210" i="4"/>
  <c r="M198" i="4"/>
  <c r="M205" i="4"/>
  <c r="K13" i="4"/>
  <c r="K14" i="4"/>
  <c r="K15" i="4"/>
  <c r="K16" i="4"/>
  <c r="K17" i="4"/>
  <c r="K18" i="4"/>
  <c r="K19" i="4"/>
  <c r="K20" i="4"/>
  <c r="K21" i="4"/>
  <c r="K22" i="4"/>
  <c r="K23" i="4"/>
  <c r="K210" i="4"/>
  <c r="M207" i="4"/>
  <c r="M208" i="4"/>
  <c r="M204" i="4"/>
  <c r="M201" i="4"/>
  <c r="M199" i="4"/>
  <c r="M202" i="4"/>
  <c r="H13" i="4"/>
  <c r="H14" i="4"/>
  <c r="H15" i="4"/>
  <c r="H16" i="4"/>
  <c r="H17" i="4"/>
  <c r="H18" i="4"/>
  <c r="H19" i="4"/>
  <c r="H20" i="4"/>
  <c r="H21" i="4"/>
  <c r="H22" i="4"/>
  <c r="H23" i="4"/>
  <c r="H210" i="4"/>
  <c r="D25" i="21"/>
  <c r="L14" i="4"/>
  <c r="L15" i="4"/>
  <c r="L16" i="4"/>
  <c r="L17" i="4"/>
  <c r="L18" i="4"/>
  <c r="L19" i="4"/>
  <c r="L20" i="4"/>
  <c r="L21" i="4"/>
  <c r="L22" i="4"/>
  <c r="L23" i="4"/>
  <c r="G14" i="4"/>
  <c r="G15" i="4"/>
  <c r="G16" i="4"/>
  <c r="G17" i="4"/>
  <c r="G18" i="4"/>
  <c r="G19" i="4"/>
  <c r="G20" i="4"/>
  <c r="G21" i="4"/>
  <c r="G22" i="4"/>
  <c r="G23" i="4"/>
  <c r="E119" i="21"/>
  <c r="E13" i="21"/>
  <c r="E129" i="21"/>
  <c r="E120" i="21"/>
  <c r="E127" i="21"/>
  <c r="E121" i="21"/>
  <c r="E130" i="21"/>
  <c r="E124" i="21"/>
  <c r="E125" i="21"/>
  <c r="E126" i="21"/>
  <c r="E123" i="21"/>
  <c r="E122" i="21"/>
  <c r="E128" i="21"/>
  <c r="G13" i="64"/>
  <c r="M13" i="4"/>
  <c r="L47" i="48"/>
  <c r="L48" i="48"/>
  <c r="L49" i="48"/>
  <c r="L78" i="48"/>
  <c r="L79" i="48"/>
  <c r="L50" i="48"/>
  <c r="L51" i="48"/>
  <c r="L80" i="48"/>
  <c r="L81" i="48"/>
  <c r="L52" i="48"/>
  <c r="L53" i="48"/>
  <c r="L82" i="48"/>
  <c r="L54" i="48"/>
  <c r="L83" i="48"/>
  <c r="L55" i="48"/>
  <c r="L84" i="48"/>
  <c r="L85" i="48"/>
  <c r="L56" i="48"/>
  <c r="L86" i="48"/>
  <c r="L57" i="48"/>
  <c r="L87" i="48"/>
  <c r="L58" i="48"/>
  <c r="L88" i="48"/>
  <c r="L59" i="48"/>
  <c r="L89" i="48"/>
  <c r="L60" i="48"/>
  <c r="L90" i="48"/>
  <c r="L61" i="48"/>
  <c r="L62" i="48"/>
  <c r="L91" i="48"/>
  <c r="L63" i="48"/>
  <c r="L92" i="48"/>
  <c r="L64" i="48"/>
  <c r="L93" i="48"/>
  <c r="L94" i="48"/>
  <c r="L65" i="48"/>
  <c r="L66" i="48"/>
  <c r="L95" i="48"/>
  <c r="L67" i="48"/>
  <c r="L96" i="48"/>
  <c r="L68" i="48"/>
  <c r="L97" i="48"/>
  <c r="L98" i="48"/>
  <c r="L99" i="48"/>
  <c r="E14" i="4"/>
  <c r="M210" i="4"/>
  <c r="G49" i="64"/>
  <c r="L46" i="48"/>
  <c r="M46" i="48"/>
  <c r="N46" i="48"/>
  <c r="L77" i="48"/>
  <c r="M77" i="48"/>
  <c r="N77" i="48"/>
  <c r="G16" i="64"/>
  <c r="G17" i="64"/>
  <c r="H14" i="64"/>
  <c r="G15" i="64"/>
  <c r="L14" i="64"/>
  <c r="G14" i="64"/>
  <c r="E131" i="21"/>
  <c r="J14" i="64"/>
  <c r="E14" i="64"/>
  <c r="I14" i="64"/>
  <c r="F13" i="64"/>
  <c r="K13" i="64"/>
  <c r="L13" i="64"/>
  <c r="I13" i="64"/>
  <c r="J13" i="64"/>
  <c r="E13" i="64"/>
  <c r="H13" i="64"/>
  <c r="L19" i="48"/>
  <c r="L34" i="48"/>
  <c r="L30" i="48"/>
  <c r="L27" i="48"/>
  <c r="L35" i="48"/>
  <c r="L31" i="48"/>
  <c r="L23" i="48"/>
  <c r="L26" i="48"/>
  <c r="L18" i="48"/>
  <c r="L22" i="48"/>
  <c r="L29" i="48"/>
  <c r="L25" i="48"/>
  <c r="M78" i="48"/>
  <c r="L21" i="48"/>
  <c r="L17" i="48"/>
  <c r="L28" i="48"/>
  <c r="L24" i="48"/>
  <c r="L20" i="48"/>
  <c r="L16" i="48"/>
  <c r="L33" i="48"/>
  <c r="N14" i="48"/>
  <c r="L36" i="48"/>
  <c r="L32" i="48"/>
  <c r="L15" i="48"/>
  <c r="E15" i="4"/>
  <c r="E16" i="4"/>
  <c r="E17" i="4"/>
  <c r="E18" i="4"/>
  <c r="E19" i="4"/>
  <c r="E20" i="4"/>
  <c r="M14" i="4"/>
  <c r="M14" i="64"/>
  <c r="H71" i="21"/>
  <c r="H49" i="64"/>
  <c r="I49" i="64"/>
  <c r="F49" i="64"/>
  <c r="G50" i="64"/>
  <c r="G53" i="64"/>
  <c r="E49" i="64"/>
  <c r="I50" i="64"/>
  <c r="L50" i="64"/>
  <c r="G52" i="64"/>
  <c r="L49" i="64"/>
  <c r="E50" i="64"/>
  <c r="G51" i="64"/>
  <c r="J49" i="64"/>
  <c r="K49" i="64"/>
  <c r="J50" i="64"/>
  <c r="H50" i="64"/>
  <c r="M47" i="48"/>
  <c r="L14" i="48"/>
  <c r="E14" i="21"/>
  <c r="L15" i="64"/>
  <c r="H15" i="64"/>
  <c r="G18" i="64"/>
  <c r="K14" i="64"/>
  <c r="I15" i="64"/>
  <c r="J15" i="64"/>
  <c r="F14" i="64"/>
  <c r="M13" i="64"/>
  <c r="M15" i="4"/>
  <c r="M15" i="64"/>
  <c r="E15" i="64"/>
  <c r="M15" i="48"/>
  <c r="M79" i="48"/>
  <c r="N78" i="48"/>
  <c r="M48" i="48"/>
  <c r="N47" i="48"/>
  <c r="E21" i="4"/>
  <c r="E22" i="4"/>
  <c r="E23" i="4"/>
  <c r="E20" i="64"/>
  <c r="E56" i="64"/>
  <c r="K71" i="21"/>
  <c r="H74" i="21"/>
  <c r="H75" i="21"/>
  <c r="I72" i="21"/>
  <c r="H73" i="21"/>
  <c r="M72" i="21"/>
  <c r="H72" i="21"/>
  <c r="K72" i="21"/>
  <c r="F72" i="21"/>
  <c r="J72" i="21"/>
  <c r="G71" i="21"/>
  <c r="L71" i="21"/>
  <c r="J71" i="21"/>
  <c r="M14" i="48"/>
  <c r="M49" i="64"/>
  <c r="E51" i="64"/>
  <c r="J51" i="64"/>
  <c r="G54" i="64"/>
  <c r="I51" i="64"/>
  <c r="H51" i="64"/>
  <c r="M71" i="21"/>
  <c r="F71" i="21"/>
  <c r="L51" i="64"/>
  <c r="F50" i="64"/>
  <c r="K50" i="64"/>
  <c r="I71" i="21"/>
  <c r="E15" i="21"/>
  <c r="H16" i="64"/>
  <c r="K15" i="64"/>
  <c r="G19" i="64"/>
  <c r="L16" i="64"/>
  <c r="E16" i="64"/>
  <c r="M16" i="4"/>
  <c r="M16" i="64"/>
  <c r="F15" i="64"/>
  <c r="J16" i="64"/>
  <c r="I16" i="64"/>
  <c r="M16" i="48"/>
  <c r="N15" i="48"/>
  <c r="N79" i="48"/>
  <c r="M80" i="48"/>
  <c r="M49" i="48"/>
  <c r="N48" i="48"/>
  <c r="L72" i="21"/>
  <c r="K73" i="21"/>
  <c r="I73" i="21"/>
  <c r="J73" i="21"/>
  <c r="G72" i="21"/>
  <c r="F73" i="21"/>
  <c r="M73" i="21"/>
  <c r="H76" i="21"/>
  <c r="J52" i="64"/>
  <c r="K51" i="64"/>
  <c r="F51" i="64"/>
  <c r="E52" i="64"/>
  <c r="M50" i="64"/>
  <c r="L52" i="64"/>
  <c r="I52" i="64"/>
  <c r="G55" i="64"/>
  <c r="H52" i="64"/>
  <c r="N71" i="21"/>
  <c r="E16" i="21"/>
  <c r="F16" i="64"/>
  <c r="G20" i="64"/>
  <c r="L17" i="64"/>
  <c r="K16" i="64"/>
  <c r="I17" i="64"/>
  <c r="J17" i="64"/>
  <c r="M17" i="4"/>
  <c r="M17" i="64"/>
  <c r="E17" i="64"/>
  <c r="H17" i="64"/>
  <c r="M17" i="48"/>
  <c r="N16" i="48"/>
  <c r="N80" i="48"/>
  <c r="M81" i="48"/>
  <c r="N72" i="21"/>
  <c r="M50" i="48"/>
  <c r="N49" i="48"/>
  <c r="N17" i="48"/>
  <c r="F74" i="21"/>
  <c r="M74" i="21"/>
  <c r="H77" i="21"/>
  <c r="J74" i="21"/>
  <c r="L73" i="21"/>
  <c r="K74" i="21"/>
  <c r="M51" i="64"/>
  <c r="H53" i="64"/>
  <c r="K52" i="64"/>
  <c r="F52" i="64"/>
  <c r="L53" i="64"/>
  <c r="E53" i="64"/>
  <c r="J53" i="64"/>
  <c r="G56" i="64"/>
  <c r="I74" i="21"/>
  <c r="G73" i="21"/>
  <c r="I53" i="64"/>
  <c r="E17" i="21"/>
  <c r="E18" i="64"/>
  <c r="G21" i="64"/>
  <c r="I18" i="64"/>
  <c r="L18" i="64"/>
  <c r="F17" i="64"/>
  <c r="M18" i="4"/>
  <c r="J18" i="64"/>
  <c r="K17" i="64"/>
  <c r="H18" i="64"/>
  <c r="N73" i="21"/>
  <c r="M18" i="48"/>
  <c r="N81" i="48"/>
  <c r="M82" i="48"/>
  <c r="M51" i="48"/>
  <c r="N50" i="48"/>
  <c r="K75" i="21"/>
  <c r="F75" i="21"/>
  <c r="I75" i="21"/>
  <c r="H78" i="21"/>
  <c r="J75" i="21"/>
  <c r="M75" i="21"/>
  <c r="G74" i="21"/>
  <c r="M52" i="64"/>
  <c r="K53" i="64"/>
  <c r="L54" i="64"/>
  <c r="J54" i="64"/>
  <c r="I54" i="64"/>
  <c r="L74" i="21"/>
  <c r="E54" i="64"/>
  <c r="H54" i="64"/>
  <c r="F53" i="64"/>
  <c r="G57" i="64"/>
  <c r="E18" i="21"/>
  <c r="M18" i="64"/>
  <c r="H19" i="64"/>
  <c r="I19" i="64"/>
  <c r="K18" i="64"/>
  <c r="J19" i="64"/>
  <c r="L19" i="64"/>
  <c r="F18" i="64"/>
  <c r="F54" i="64"/>
  <c r="G22" i="64"/>
  <c r="M19" i="4"/>
  <c r="M19" i="64"/>
  <c r="E19" i="64"/>
  <c r="M19" i="48"/>
  <c r="N18" i="48"/>
  <c r="N82" i="48"/>
  <c r="M83" i="48"/>
  <c r="M52" i="48"/>
  <c r="N51" i="48"/>
  <c r="N74" i="21"/>
  <c r="K76" i="21"/>
  <c r="I76" i="21"/>
  <c r="F76" i="21"/>
  <c r="H79" i="21"/>
  <c r="L75" i="21"/>
  <c r="M76" i="21"/>
  <c r="J76" i="21"/>
  <c r="M53" i="64"/>
  <c r="G58" i="64"/>
  <c r="J55" i="64"/>
  <c r="K54" i="64"/>
  <c r="H55" i="64"/>
  <c r="G75" i="21"/>
  <c r="N75" i="21"/>
  <c r="E55" i="64"/>
  <c r="I55" i="64"/>
  <c r="L55" i="64"/>
  <c r="G76" i="21"/>
  <c r="E19" i="21"/>
  <c r="L20" i="64"/>
  <c r="G23" i="64"/>
  <c r="G25" i="4"/>
  <c r="F19" i="64"/>
  <c r="M20" i="4"/>
  <c r="M20" i="64"/>
  <c r="F78" i="21"/>
  <c r="J20" i="64"/>
  <c r="H20" i="64"/>
  <c r="K19" i="64"/>
  <c r="I20" i="64"/>
  <c r="M20" i="48"/>
  <c r="N19" i="48"/>
  <c r="N83" i="48"/>
  <c r="M84" i="48"/>
  <c r="M53" i="48"/>
  <c r="N52" i="48"/>
  <c r="H80" i="21"/>
  <c r="M77" i="21"/>
  <c r="J77" i="21"/>
  <c r="L76" i="21"/>
  <c r="N76" i="21"/>
  <c r="I77" i="21"/>
  <c r="F77" i="21"/>
  <c r="K77" i="21"/>
  <c r="J56" i="64"/>
  <c r="L56" i="64"/>
  <c r="I56" i="64"/>
  <c r="F55" i="64"/>
  <c r="K55" i="64"/>
  <c r="H56" i="64"/>
  <c r="G59" i="64"/>
  <c r="M54" i="64"/>
  <c r="E20" i="21"/>
  <c r="I21" i="64"/>
  <c r="K20" i="64"/>
  <c r="H21" i="64"/>
  <c r="F20" i="64"/>
  <c r="J21" i="64"/>
  <c r="M21" i="4"/>
  <c r="M21" i="64"/>
  <c r="E21" i="64"/>
  <c r="L21" i="64"/>
  <c r="M21" i="48"/>
  <c r="N20" i="48"/>
  <c r="N84" i="48"/>
  <c r="M85" i="48"/>
  <c r="M54" i="48"/>
  <c r="N53" i="48"/>
  <c r="M78" i="21"/>
  <c r="K78" i="21"/>
  <c r="G77" i="21"/>
  <c r="I78" i="21"/>
  <c r="H81" i="21"/>
  <c r="H82" i="21"/>
  <c r="H109" i="21"/>
  <c r="H112" i="21"/>
  <c r="H129" i="21"/>
  <c r="J78" i="21"/>
  <c r="M55" i="64"/>
  <c r="G60" i="64"/>
  <c r="E57" i="64"/>
  <c r="I57" i="64"/>
  <c r="J57" i="64"/>
  <c r="H57" i="64"/>
  <c r="L77" i="21"/>
  <c r="L57" i="64"/>
  <c r="F56" i="64"/>
  <c r="K56" i="64"/>
  <c r="E21" i="21"/>
  <c r="E22" i="64"/>
  <c r="E25" i="4"/>
  <c r="K21" i="64"/>
  <c r="H22" i="64"/>
  <c r="L22" i="64"/>
  <c r="J22" i="64"/>
  <c r="F21" i="64"/>
  <c r="I22" i="64"/>
  <c r="H125" i="21"/>
  <c r="H123" i="21"/>
  <c r="H122" i="21"/>
  <c r="H127" i="21"/>
  <c r="H119" i="21"/>
  <c r="H13" i="21"/>
  <c r="H124" i="21"/>
  <c r="H121" i="21"/>
  <c r="H130" i="21"/>
  <c r="M22" i="48"/>
  <c r="H120" i="21"/>
  <c r="H126" i="21"/>
  <c r="H128" i="21"/>
  <c r="N21" i="48"/>
  <c r="N85" i="48"/>
  <c r="M86" i="48"/>
  <c r="M55" i="48"/>
  <c r="N54" i="48"/>
  <c r="N77" i="21"/>
  <c r="J79" i="21"/>
  <c r="F79" i="21"/>
  <c r="I79" i="21"/>
  <c r="M79" i="21"/>
  <c r="L78" i="21"/>
  <c r="G78" i="21"/>
  <c r="N78" i="21"/>
  <c r="K79" i="21"/>
  <c r="M56" i="64"/>
  <c r="J58" i="64"/>
  <c r="L58" i="64"/>
  <c r="K57" i="64"/>
  <c r="E58" i="64"/>
  <c r="I58" i="64"/>
  <c r="H58" i="64"/>
  <c r="F57" i="64"/>
  <c r="E22" i="21"/>
  <c r="F22" i="64"/>
  <c r="H23" i="64"/>
  <c r="H25" i="4"/>
  <c r="E23" i="64"/>
  <c r="K22" i="64"/>
  <c r="M23" i="4"/>
  <c r="I23" i="64"/>
  <c r="I25" i="4"/>
  <c r="J23" i="64"/>
  <c r="J25" i="4"/>
  <c r="L23" i="64"/>
  <c r="L25" i="4"/>
  <c r="M22" i="4"/>
  <c r="M22" i="64"/>
  <c r="H131" i="21"/>
  <c r="M23" i="48"/>
  <c r="H14" i="21"/>
  <c r="H15" i="21"/>
  <c r="H16" i="21"/>
  <c r="H17" i="21"/>
  <c r="H18" i="21"/>
  <c r="H19" i="21"/>
  <c r="H20" i="21"/>
  <c r="H21" i="21"/>
  <c r="H22" i="21"/>
  <c r="H23" i="21"/>
  <c r="H25" i="21"/>
  <c r="N22" i="48"/>
  <c r="N86" i="48"/>
  <c r="M87" i="48"/>
  <c r="M56" i="48"/>
  <c r="N55" i="48"/>
  <c r="L79" i="21"/>
  <c r="G79" i="21"/>
  <c r="I80" i="21"/>
  <c r="M80" i="21"/>
  <c r="F80" i="21"/>
  <c r="J80" i="21"/>
  <c r="K80" i="21"/>
  <c r="H59" i="64"/>
  <c r="M57" i="64"/>
  <c r="J59" i="64"/>
  <c r="K58" i="64"/>
  <c r="F58" i="64"/>
  <c r="E59" i="64"/>
  <c r="L59" i="64"/>
  <c r="I59" i="64"/>
  <c r="E23" i="21"/>
  <c r="M23" i="64"/>
  <c r="M25" i="4"/>
  <c r="D43" i="4"/>
  <c r="J6" i="8"/>
  <c r="F23" i="64"/>
  <c r="F25" i="4"/>
  <c r="K23" i="64"/>
  <c r="K25" i="4"/>
  <c r="M24" i="48"/>
  <c r="N23" i="48"/>
  <c r="N87" i="48"/>
  <c r="M88" i="48"/>
  <c r="M57" i="48"/>
  <c r="N56" i="48"/>
  <c r="N79" i="21"/>
  <c r="L60" i="64"/>
  <c r="F81" i="21"/>
  <c r="F82" i="21"/>
  <c r="F109" i="21"/>
  <c r="K81" i="21"/>
  <c r="K82" i="21"/>
  <c r="K109" i="21"/>
  <c r="K112" i="21"/>
  <c r="K120" i="21"/>
  <c r="G80" i="21"/>
  <c r="H60" i="64"/>
  <c r="I60" i="64"/>
  <c r="L80" i="21"/>
  <c r="M81" i="21"/>
  <c r="M82" i="21"/>
  <c r="M109" i="21"/>
  <c r="M112" i="21"/>
  <c r="M129" i="21"/>
  <c r="J60" i="64"/>
  <c r="K59" i="64"/>
  <c r="M58" i="64"/>
  <c r="E60" i="64"/>
  <c r="F59" i="64"/>
  <c r="J81" i="21"/>
  <c r="J82" i="21"/>
  <c r="J109" i="21"/>
  <c r="J112" i="21"/>
  <c r="J123" i="21"/>
  <c r="I81" i="21"/>
  <c r="I82" i="21"/>
  <c r="I109" i="21"/>
  <c r="I112" i="21"/>
  <c r="I123" i="21"/>
  <c r="E25" i="21"/>
  <c r="N80" i="21"/>
  <c r="N24" i="48"/>
  <c r="M25" i="48"/>
  <c r="M120" i="21"/>
  <c r="N88" i="48"/>
  <c r="M89" i="48"/>
  <c r="M58" i="48"/>
  <c r="N57" i="48"/>
  <c r="K127" i="21"/>
  <c r="K124" i="21"/>
  <c r="K126" i="21"/>
  <c r="K123" i="21"/>
  <c r="K130" i="21"/>
  <c r="K128" i="21"/>
  <c r="K125" i="21"/>
  <c r="K119" i="21"/>
  <c r="K13" i="21"/>
  <c r="K14" i="21"/>
  <c r="K121" i="21"/>
  <c r="K129" i="21"/>
  <c r="K122" i="21"/>
  <c r="M122" i="21"/>
  <c r="L81" i="21"/>
  <c r="L82" i="21"/>
  <c r="L109" i="21"/>
  <c r="L112" i="21"/>
  <c r="L125" i="21"/>
  <c r="G81" i="21"/>
  <c r="G82" i="21"/>
  <c r="M126" i="21"/>
  <c r="M125" i="21"/>
  <c r="M119" i="21"/>
  <c r="M13" i="21"/>
  <c r="M123" i="21"/>
  <c r="M121" i="21"/>
  <c r="M124" i="21"/>
  <c r="M130" i="21"/>
  <c r="M127" i="21"/>
  <c r="M128" i="21"/>
  <c r="F60" i="64"/>
  <c r="I121" i="21"/>
  <c r="J122" i="21"/>
  <c r="K60" i="64"/>
  <c r="J121" i="21"/>
  <c r="I129" i="21"/>
  <c r="J127" i="21"/>
  <c r="J120" i="21"/>
  <c r="M59" i="64"/>
  <c r="M61" i="64"/>
  <c r="F91" i="64"/>
  <c r="F94" i="64"/>
  <c r="K129" i="1"/>
  <c r="I124" i="21"/>
  <c r="J126" i="21"/>
  <c r="J129" i="21"/>
  <c r="I128" i="21"/>
  <c r="I127" i="21"/>
  <c r="I125" i="21"/>
  <c r="I122" i="21"/>
  <c r="I130" i="21"/>
  <c r="I126" i="21"/>
  <c r="J119" i="21"/>
  <c r="J13" i="21"/>
  <c r="J128" i="21"/>
  <c r="J124" i="21"/>
  <c r="I120" i="21"/>
  <c r="I119" i="21"/>
  <c r="I13" i="21"/>
  <c r="J125" i="21"/>
  <c r="J130" i="21"/>
  <c r="L130" i="21"/>
  <c r="F112" i="21"/>
  <c r="L127" i="21"/>
  <c r="M14" i="21"/>
  <c r="N25" i="48"/>
  <c r="M26" i="48"/>
  <c r="N89" i="48"/>
  <c r="M90" i="48"/>
  <c r="K15" i="21"/>
  <c r="K16" i="21"/>
  <c r="K17" i="21"/>
  <c r="K18" i="21"/>
  <c r="K19" i="21"/>
  <c r="K20" i="21"/>
  <c r="K21" i="21"/>
  <c r="K22" i="21"/>
  <c r="K23" i="21"/>
  <c r="M59" i="48"/>
  <c r="N58" i="48"/>
  <c r="K131" i="21"/>
  <c r="N81" i="21"/>
  <c r="L129" i="21"/>
  <c r="L119" i="21"/>
  <c r="L13" i="21"/>
  <c r="L123" i="21"/>
  <c r="L120" i="21"/>
  <c r="L124" i="21"/>
  <c r="L128" i="21"/>
  <c r="L121" i="21"/>
  <c r="L122" i="21"/>
  <c r="L126" i="21"/>
  <c r="M131" i="21"/>
  <c r="M15" i="21"/>
  <c r="M16" i="21"/>
  <c r="M17" i="21"/>
  <c r="M18" i="21"/>
  <c r="M19" i="21"/>
  <c r="M20" i="21"/>
  <c r="M21" i="21"/>
  <c r="M22" i="21"/>
  <c r="M23" i="21"/>
  <c r="I14" i="21"/>
  <c r="I15" i="21"/>
  <c r="I16" i="21"/>
  <c r="I17" i="21"/>
  <c r="I18" i="21"/>
  <c r="I19" i="21"/>
  <c r="I20" i="21"/>
  <c r="I21" i="21"/>
  <c r="I22" i="21"/>
  <c r="I23" i="21"/>
  <c r="J14" i="21"/>
  <c r="J15" i="21"/>
  <c r="J16" i="21"/>
  <c r="J17" i="21"/>
  <c r="J18" i="21"/>
  <c r="J19" i="21"/>
  <c r="J20" i="21"/>
  <c r="J21" i="21"/>
  <c r="J22" i="21"/>
  <c r="J23" i="21"/>
  <c r="J131" i="21"/>
  <c r="I131" i="21"/>
  <c r="N82" i="21"/>
  <c r="G109" i="21"/>
  <c r="J51" i="8"/>
  <c r="F126" i="21"/>
  <c r="F121" i="21"/>
  <c r="F120" i="21"/>
  <c r="F119" i="21"/>
  <c r="F129" i="21"/>
  <c r="F124" i="21"/>
  <c r="F122" i="21"/>
  <c r="F128" i="21"/>
  <c r="F127" i="21"/>
  <c r="F130" i="21"/>
  <c r="F125" i="21"/>
  <c r="F123" i="21"/>
  <c r="N26" i="48"/>
  <c r="L14" i="21"/>
  <c r="M27" i="48"/>
  <c r="N90" i="48"/>
  <c r="M91" i="48"/>
  <c r="L131" i="21"/>
  <c r="K25" i="21"/>
  <c r="M60" i="48"/>
  <c r="N59" i="48"/>
  <c r="L15" i="21"/>
  <c r="L16" i="21"/>
  <c r="L17" i="21"/>
  <c r="L18" i="21"/>
  <c r="L19" i="21"/>
  <c r="L20" i="21"/>
  <c r="L21" i="21"/>
  <c r="L22" i="21"/>
  <c r="L23" i="21"/>
  <c r="M25" i="21"/>
  <c r="I25" i="21"/>
  <c r="J25" i="21"/>
  <c r="G112" i="21"/>
  <c r="N109" i="21"/>
  <c r="F131" i="21"/>
  <c r="F13" i="21"/>
  <c r="N27" i="48"/>
  <c r="M28" i="48"/>
  <c r="N91" i="48"/>
  <c r="M92" i="48"/>
  <c r="L25" i="21"/>
  <c r="M61" i="48"/>
  <c r="M29" i="48"/>
  <c r="N60" i="48"/>
  <c r="G122" i="21"/>
  <c r="N122" i="21"/>
  <c r="G120" i="21"/>
  <c r="N120" i="21"/>
  <c r="G125" i="21"/>
  <c r="N125" i="21"/>
  <c r="G128" i="21"/>
  <c r="N128" i="21"/>
  <c r="G126" i="21"/>
  <c r="N126" i="21"/>
  <c r="G129" i="21"/>
  <c r="N129" i="21"/>
  <c r="G130" i="21"/>
  <c r="N130" i="21"/>
  <c r="G127" i="21"/>
  <c r="N127" i="21"/>
  <c r="G121" i="21"/>
  <c r="N121" i="21"/>
  <c r="G123" i="21"/>
  <c r="N123" i="21"/>
  <c r="G119" i="21"/>
  <c r="G124" i="21"/>
  <c r="N124" i="21"/>
  <c r="N112" i="21"/>
  <c r="F14" i="21"/>
  <c r="N28" i="48"/>
  <c r="N92" i="48"/>
  <c r="M93" i="48"/>
  <c r="M62" i="48"/>
  <c r="N61" i="48"/>
  <c r="G13" i="21"/>
  <c r="G131" i="21"/>
  <c r="N119" i="21"/>
  <c r="N131" i="21"/>
  <c r="F15" i="21"/>
  <c r="N29" i="48"/>
  <c r="N93" i="48"/>
  <c r="M94" i="48"/>
  <c r="M30" i="48"/>
  <c r="M63" i="48"/>
  <c r="N62" i="48"/>
  <c r="N30" i="48"/>
  <c r="G14" i="21"/>
  <c r="N13" i="21"/>
  <c r="F16" i="21"/>
  <c r="N94" i="48"/>
  <c r="M95" i="48"/>
  <c r="M31" i="48"/>
  <c r="M64" i="48"/>
  <c r="M32" i="48"/>
  <c r="N63" i="48"/>
  <c r="N31" i="48"/>
  <c r="G15" i="21"/>
  <c r="N14" i="21"/>
  <c r="F17" i="21"/>
  <c r="N95" i="48"/>
  <c r="M96" i="48"/>
  <c r="M65" i="48"/>
  <c r="N64" i="48"/>
  <c r="G16" i="21"/>
  <c r="N15" i="21"/>
  <c r="F18" i="21"/>
  <c r="N32" i="48"/>
  <c r="M33" i="48"/>
  <c r="N96" i="48"/>
  <c r="M97" i="48"/>
  <c r="M66" i="48"/>
  <c r="N65" i="48"/>
  <c r="G17" i="21"/>
  <c r="N16" i="21"/>
  <c r="F19" i="21"/>
  <c r="M34" i="48"/>
  <c r="N33" i="48"/>
  <c r="N97" i="48"/>
  <c r="M98" i="48"/>
  <c r="M67" i="48"/>
  <c r="N66" i="48"/>
  <c r="G18" i="21"/>
  <c r="N17" i="21"/>
  <c r="F20" i="21"/>
  <c r="M35" i="48"/>
  <c r="N34" i="48"/>
  <c r="N98" i="48"/>
  <c r="M99" i="48"/>
  <c r="N99" i="48"/>
  <c r="M68" i="48"/>
  <c r="N67" i="48"/>
  <c r="G19" i="21"/>
  <c r="N18" i="21"/>
  <c r="F21" i="21"/>
  <c r="N35" i="48"/>
  <c r="N68" i="48"/>
  <c r="N36" i="48"/>
  <c r="M36" i="48"/>
  <c r="G20" i="21"/>
  <c r="N19" i="21"/>
  <c r="F22" i="21"/>
  <c r="N37" i="48"/>
  <c r="D78" i="7"/>
  <c r="G21" i="21"/>
  <c r="N20" i="21"/>
  <c r="F23" i="21"/>
  <c r="G22" i="21"/>
  <c r="N21" i="21"/>
  <c r="F25" i="21"/>
  <c r="G23" i="21"/>
  <c r="N22" i="21"/>
  <c r="N23" i="21"/>
  <c r="G25" i="21"/>
  <c r="N25" i="21"/>
  <c r="J18" i="8"/>
  <c r="J21" i="8"/>
  <c r="J29" i="8"/>
  <c r="J41" i="8"/>
  <c r="F90" i="12"/>
  <c r="F92" i="12"/>
  <c r="G136" i="61"/>
  <c r="G147" i="61"/>
  <c r="G59" i="61"/>
  <c r="I233" i="61"/>
  <c r="G80" i="61"/>
  <c r="G233" i="61"/>
  <c r="K75" i="1"/>
  <c r="K81" i="1"/>
  <c r="K82" i="1"/>
  <c r="E97" i="8"/>
  <c r="K92" i="1"/>
  <c r="F93" i="12"/>
  <c r="F94" i="12"/>
  <c r="K91" i="1"/>
  <c r="K80" i="1"/>
  <c r="G15" i="12"/>
  <c r="G17" i="12"/>
  <c r="G39" i="12"/>
  <c r="K90" i="1"/>
  <c r="K83" i="1"/>
  <c r="E96" i="8"/>
  <c r="E103" i="8"/>
  <c r="J42" i="8"/>
  <c r="J38" i="8"/>
  <c r="J56" i="8"/>
  <c r="K95" i="1"/>
  <c r="G56" i="12"/>
  <c r="D51" i="7"/>
  <c r="G54" i="12"/>
  <c r="E83" i="12"/>
  <c r="F83" i="12"/>
  <c r="G40" i="12"/>
  <c r="D42" i="71"/>
  <c r="E81" i="12"/>
  <c r="F81" i="12"/>
  <c r="E82" i="12"/>
  <c r="F82" i="12"/>
  <c r="G41" i="12"/>
  <c r="G55" i="12"/>
  <c r="G59" i="12"/>
  <c r="J61" i="8"/>
  <c r="J62" i="8"/>
  <c r="D55" i="7"/>
  <c r="D59" i="7"/>
  <c r="D56" i="71"/>
  <c r="E56" i="71"/>
  <c r="D49" i="71"/>
  <c r="E49" i="71"/>
  <c r="F86" i="12"/>
  <c r="F98" i="12"/>
  <c r="F101" i="12"/>
  <c r="D33" i="71"/>
  <c r="D35" i="71"/>
  <c r="D22" i="7"/>
  <c r="E33" i="71"/>
  <c r="E35" i="71"/>
  <c r="K112" i="1"/>
  <c r="K134" i="1"/>
  <c r="G44" i="12"/>
  <c r="K137" i="1"/>
  <c r="K138" i="1"/>
  <c r="E95" i="8"/>
  <c r="E98" i="8"/>
  <c r="J33" i="8"/>
  <c r="J34" i="8"/>
  <c r="J55" i="8"/>
  <c r="J59" i="8"/>
  <c r="J64" i="8"/>
  <c r="E68" i="8"/>
  <c r="K93" i="1"/>
  <c r="D21" i="7"/>
  <c r="D26" i="71"/>
  <c r="D27" i="71"/>
  <c r="K97" i="1"/>
  <c r="K133" i="1"/>
  <c r="K139" i="1"/>
  <c r="E26" i="71"/>
  <c r="E27" i="71"/>
  <c r="F97" i="71"/>
  <c r="E68" i="71"/>
  <c r="E70" i="8"/>
  <c r="E72" i="8"/>
  <c r="E102" i="71"/>
  <c r="E104" i="71"/>
  <c r="E66" i="71"/>
  <c r="E103" i="71"/>
  <c r="E100" i="71"/>
  <c r="E106" i="71"/>
  <c r="E99" i="71"/>
  <c r="E97" i="71"/>
  <c r="E96" i="71"/>
  <c r="E105" i="71"/>
  <c r="E101" i="71"/>
  <c r="E98" i="71"/>
  <c r="E81" i="71"/>
  <c r="E78" i="71"/>
  <c r="E80" i="71"/>
  <c r="E82" i="71"/>
  <c r="E86" i="71"/>
  <c r="E87" i="71"/>
  <c r="E85" i="71"/>
  <c r="E84" i="71"/>
  <c r="E83" i="71"/>
  <c r="E79" i="71"/>
  <c r="E88" i="71"/>
  <c r="D66" i="71"/>
  <c r="F96" i="71"/>
  <c r="E67" i="71"/>
  <c r="F78" i="71"/>
  <c r="D67" i="71"/>
  <c r="F79" i="71"/>
  <c r="D68" i="71"/>
  <c r="D25" i="7"/>
  <c r="E73" i="8"/>
  <c r="E14" i="65"/>
  <c r="E31" i="65"/>
  <c r="H31" i="65"/>
  <c r="E30" i="65"/>
  <c r="H30" i="65"/>
  <c r="E34" i="65"/>
  <c r="H34" i="65"/>
  <c r="E25" i="65"/>
  <c r="H25" i="65"/>
  <c r="J25" i="65"/>
  <c r="E36" i="65"/>
  <c r="H36" i="65"/>
  <c r="E27" i="65"/>
  <c r="H27" i="65"/>
  <c r="E26" i="65"/>
  <c r="H26" i="65"/>
  <c r="E28" i="65"/>
  <c r="H28" i="65"/>
  <c r="E32" i="65"/>
  <c r="H32" i="65"/>
  <c r="E35" i="65"/>
  <c r="H35" i="65"/>
  <c r="E33" i="65"/>
  <c r="H33" i="65"/>
  <c r="E29" i="65"/>
  <c r="H29" i="65"/>
  <c r="E90" i="71"/>
  <c r="H41" i="44"/>
  <c r="H44" i="44"/>
  <c r="H87" i="44"/>
  <c r="D47" i="7"/>
  <c r="D48" i="7"/>
  <c r="D63" i="7"/>
  <c r="E115" i="71"/>
  <c r="E116" i="71"/>
  <c r="D83" i="7"/>
  <c r="D84" i="7"/>
  <c r="F90" i="71"/>
  <c r="D104" i="71"/>
  <c r="D99" i="71"/>
  <c r="D103" i="71"/>
  <c r="D105" i="71"/>
  <c r="D106" i="71"/>
  <c r="D102" i="71"/>
  <c r="E65" i="71"/>
  <c r="D101" i="71"/>
  <c r="D100" i="71"/>
  <c r="D98" i="71"/>
  <c r="D97" i="71"/>
  <c r="D96" i="71"/>
  <c r="D70" i="7"/>
  <c r="K141" i="1"/>
  <c r="K144" i="1"/>
  <c r="K142" i="1"/>
  <c r="H89" i="44"/>
  <c r="F108" i="71"/>
  <c r="E108" i="71"/>
  <c r="D87" i="71"/>
  <c r="D80" i="71"/>
  <c r="D84" i="71"/>
  <c r="D82" i="71"/>
  <c r="D83" i="71"/>
  <c r="D81" i="71"/>
  <c r="D65" i="71"/>
  <c r="D86" i="71"/>
  <c r="D88" i="71"/>
  <c r="D79" i="71"/>
  <c r="D85" i="71"/>
  <c r="D78" i="71"/>
  <c r="D155" i="71"/>
  <c r="G78" i="71"/>
  <c r="D90" i="71"/>
  <c r="H78" i="71"/>
  <c r="D174" i="71"/>
  <c r="K149" i="1"/>
  <c r="C6" i="9"/>
  <c r="E142" i="71"/>
  <c r="D128" i="71"/>
  <c r="D129" i="71"/>
  <c r="D127" i="71"/>
  <c r="E117" i="71"/>
  <c r="E118" i="71"/>
  <c r="D125" i="71"/>
  <c r="D124" i="71"/>
  <c r="D133" i="71"/>
  <c r="D126" i="71"/>
  <c r="D131" i="71"/>
  <c r="D132" i="71"/>
  <c r="D130" i="71"/>
  <c r="D123" i="71"/>
  <c r="G106" i="71"/>
  <c r="H106" i="71"/>
  <c r="H92" i="44"/>
  <c r="D182" i="71"/>
  <c r="G86" i="71"/>
  <c r="H86" i="71"/>
  <c r="D163" i="71"/>
  <c r="G99" i="71"/>
  <c r="H99" i="71"/>
  <c r="D178" i="71"/>
  <c r="D159" i="71"/>
  <c r="G82" i="71"/>
  <c r="H82" i="71"/>
  <c r="G102" i="71"/>
  <c r="H102" i="71"/>
  <c r="D181" i="71"/>
  <c r="D162" i="71"/>
  <c r="G85" i="71"/>
  <c r="H85" i="71"/>
  <c r="D180" i="71"/>
  <c r="G84" i="71"/>
  <c r="H84" i="71"/>
  <c r="D161" i="71"/>
  <c r="D64" i="7"/>
  <c r="D65" i="7"/>
  <c r="D69" i="7"/>
  <c r="D71" i="7"/>
  <c r="D73" i="7"/>
  <c r="D79" i="7"/>
  <c r="D80" i="7"/>
  <c r="D86" i="7"/>
  <c r="G79" i="71"/>
  <c r="H79" i="71"/>
  <c r="D156" i="71"/>
  <c r="D175" i="71"/>
  <c r="G80" i="71"/>
  <c r="H80" i="71"/>
  <c r="D176" i="71"/>
  <c r="D157" i="71"/>
  <c r="D108" i="71"/>
  <c r="G96" i="71"/>
  <c r="H96" i="71"/>
  <c r="G105" i="71"/>
  <c r="H105" i="71"/>
  <c r="D165" i="71"/>
  <c r="G88" i="71"/>
  <c r="H88" i="71"/>
  <c r="D184" i="71"/>
  <c r="D164" i="71"/>
  <c r="G87" i="71"/>
  <c r="H87" i="71"/>
  <c r="D183" i="71"/>
  <c r="G97" i="71"/>
  <c r="H97" i="71"/>
  <c r="G103" i="71"/>
  <c r="H103" i="71"/>
  <c r="K25" i="65"/>
  <c r="L25" i="65"/>
  <c r="E141" i="71"/>
  <c r="D69" i="71"/>
  <c r="D70" i="71"/>
  <c r="G100" i="71"/>
  <c r="H100" i="71"/>
  <c r="G101" i="71"/>
  <c r="H101" i="71"/>
  <c r="G98" i="71"/>
  <c r="H98" i="71"/>
  <c r="G104" i="71"/>
  <c r="H104" i="71"/>
  <c r="D177" i="71"/>
  <c r="D158" i="71"/>
  <c r="G81" i="71"/>
  <c r="H81" i="71"/>
  <c r="D179" i="71"/>
  <c r="D160" i="71"/>
  <c r="G83" i="71"/>
  <c r="H83" i="71"/>
  <c r="E69" i="71"/>
  <c r="E70" i="71"/>
  <c r="D89" i="7"/>
  <c r="H90" i="44"/>
  <c r="H91" i="44"/>
  <c r="H93" i="44"/>
  <c r="K158" i="1"/>
  <c r="D88" i="7"/>
  <c r="D91" i="7"/>
  <c r="K150" i="1"/>
  <c r="E123" i="71"/>
  <c r="E129" i="71"/>
  <c r="E128" i="71"/>
  <c r="E124" i="71"/>
  <c r="E131" i="71"/>
  <c r="E127" i="71"/>
  <c r="E133" i="71"/>
  <c r="E125" i="71"/>
  <c r="E126" i="71"/>
  <c r="E130" i="71"/>
  <c r="E132" i="71"/>
  <c r="J26" i="65"/>
  <c r="H90" i="71"/>
  <c r="G108" i="71"/>
  <c r="E159" i="71"/>
  <c r="E178" i="71"/>
  <c r="E165" i="71"/>
  <c r="F165" i="71"/>
  <c r="E184" i="71"/>
  <c r="F184" i="71"/>
  <c r="E157" i="71"/>
  <c r="E176" i="71"/>
  <c r="F176" i="71"/>
  <c r="G176" i="71"/>
  <c r="H108" i="71"/>
  <c r="E183" i="71"/>
  <c r="E164" i="71"/>
  <c r="F164" i="71"/>
  <c r="E156" i="71"/>
  <c r="F156" i="71"/>
  <c r="G156" i="71"/>
  <c r="E175" i="71"/>
  <c r="F175" i="71"/>
  <c r="G175" i="71"/>
  <c r="E143" i="71"/>
  <c r="E174" i="71"/>
  <c r="F174" i="71"/>
  <c r="G174" i="71"/>
  <c r="D135" i="71"/>
  <c r="E155" i="71"/>
  <c r="D186" i="71"/>
  <c r="E180" i="71"/>
  <c r="F180" i="71"/>
  <c r="G180" i="71"/>
  <c r="E161" i="71"/>
  <c r="F161" i="71"/>
  <c r="G90" i="71"/>
  <c r="E181" i="71"/>
  <c r="E162" i="71"/>
  <c r="F162" i="71"/>
  <c r="F159" i="71"/>
  <c r="G159" i="71"/>
  <c r="E163" i="71"/>
  <c r="F163" i="71"/>
  <c r="G163" i="71"/>
  <c r="E182" i="71"/>
  <c r="F182" i="71"/>
  <c r="F178" i="71"/>
  <c r="E158" i="71"/>
  <c r="F158" i="71"/>
  <c r="G158" i="71"/>
  <c r="E177" i="71"/>
  <c r="E160" i="71"/>
  <c r="F160" i="71"/>
  <c r="E179" i="71"/>
  <c r="D167" i="71"/>
  <c r="G165" i="71"/>
  <c r="G184" i="71"/>
  <c r="G178" i="71"/>
  <c r="F157" i="71"/>
  <c r="G157" i="71"/>
  <c r="C7" i="9"/>
  <c r="E167" i="71"/>
  <c r="G160" i="71"/>
  <c r="F177" i="71"/>
  <c r="G177" i="71"/>
  <c r="E186" i="71"/>
  <c r="G164" i="71"/>
  <c r="F183" i="71"/>
  <c r="G183" i="71"/>
  <c r="E135" i="71"/>
  <c r="E147" i="71"/>
  <c r="E146" i="71"/>
  <c r="E149" i="71"/>
  <c r="K26" i="65"/>
  <c r="L26" i="65"/>
  <c r="F155" i="71"/>
  <c r="G162" i="71"/>
  <c r="G161" i="71"/>
  <c r="F181" i="71"/>
  <c r="G182" i="71"/>
  <c r="F179" i="71"/>
  <c r="G179" i="71"/>
  <c r="F186" i="71"/>
  <c r="F167" i="71"/>
  <c r="D19" i="31"/>
  <c r="E19" i="31"/>
  <c r="G181" i="71"/>
  <c r="G186" i="71"/>
  <c r="E148" i="71"/>
  <c r="J27" i="65"/>
  <c r="K27" i="65"/>
  <c r="G155" i="71"/>
  <c r="G167" i="71"/>
  <c r="L27" i="65"/>
  <c r="J28" i="65"/>
  <c r="K28" i="65"/>
  <c r="L28" i="65"/>
  <c r="J29" i="65"/>
  <c r="K29" i="65"/>
  <c r="L29" i="65"/>
  <c r="J30" i="65"/>
  <c r="L30" i="65"/>
  <c r="K30" i="65"/>
  <c r="J31" i="65"/>
  <c r="K31" i="65"/>
  <c r="L31" i="65"/>
  <c r="J32" i="65"/>
  <c r="K32" i="65"/>
  <c r="L32" i="65"/>
  <c r="J33" i="65"/>
  <c r="K33" i="65"/>
  <c r="L33" i="65"/>
  <c r="J34" i="65"/>
  <c r="K34" i="65"/>
  <c r="L34" i="65"/>
  <c r="J35" i="65"/>
  <c r="K35" i="65"/>
  <c r="L35" i="65"/>
  <c r="J36" i="65"/>
  <c r="K36" i="65"/>
  <c r="L36" i="65"/>
  <c r="E40" i="65"/>
  <c r="E42" i="65"/>
  <c r="E43" i="65"/>
  <c r="E44" i="65"/>
  <c r="K151" i="1"/>
  <c r="C8" i="9"/>
  <c r="C10" i="9"/>
  <c r="K154" i="1"/>
  <c r="D4" i="53"/>
  <c r="K157" i="1"/>
  <c r="K159" i="1"/>
  <c r="B4" i="31"/>
  <c r="D18" i="31"/>
  <c r="D20" i="31"/>
  <c r="F18" i="31"/>
  <c r="E18" i="31"/>
  <c r="D25" i="53"/>
  <c r="D19" i="53"/>
  <c r="D15" i="53"/>
  <c r="D24" i="53"/>
  <c r="D12" i="53"/>
  <c r="D21" i="53"/>
  <c r="D17" i="53"/>
  <c r="D16" i="53"/>
  <c r="D26" i="53"/>
  <c r="D23" i="53"/>
  <c r="D20" i="53"/>
  <c r="D22" i="53"/>
  <c r="D18" i="53"/>
  <c r="D13" i="53"/>
  <c r="L22" i="53"/>
  <c r="C37" i="53"/>
  <c r="E37" i="53"/>
  <c r="I55" i="53"/>
  <c r="E55" i="53"/>
  <c r="D48" i="53"/>
  <c r="K15" i="53"/>
  <c r="L25" i="53"/>
  <c r="E20" i="31"/>
  <c r="L24" i="53"/>
  <c r="C38" i="53"/>
  <c r="E38" i="53"/>
  <c r="I56" i="53"/>
  <c r="E56" i="53"/>
  <c r="L23" i="53"/>
  <c r="H37" i="53"/>
  <c r="J37" i="53"/>
  <c r="L19" i="53"/>
  <c r="L16" i="53"/>
  <c r="K13" i="53"/>
  <c r="M14" i="53"/>
  <c r="L21" i="53"/>
  <c r="C36" i="53"/>
  <c r="E36" i="53"/>
  <c r="I54" i="53"/>
  <c r="F20" i="31"/>
  <c r="H38" i="53"/>
  <c r="J38" i="53"/>
  <c r="L20" i="53"/>
  <c r="D59" i="53"/>
  <c r="K26" i="53"/>
  <c r="L17" i="53"/>
  <c r="H36" i="53"/>
  <c r="J36" i="53"/>
  <c r="L18" i="53"/>
  <c r="D28" i="53"/>
  <c r="K12" i="53"/>
  <c r="D46" i="53"/>
  <c r="H55" i="53"/>
  <c r="D55" i="53"/>
  <c r="C55" i="53"/>
  <c r="D52" i="53"/>
  <c r="E54" i="53"/>
  <c r="I50" i="53"/>
  <c r="E50" i="53"/>
  <c r="D50" i="53"/>
  <c r="I49" i="53"/>
  <c r="E49" i="53"/>
  <c r="D49" i="53"/>
  <c r="I58" i="53"/>
  <c r="E58" i="53"/>
  <c r="D58" i="53"/>
  <c r="I57" i="53"/>
  <c r="D53" i="53"/>
  <c r="D56" i="53"/>
  <c r="C56" i="53"/>
  <c r="H56" i="53"/>
  <c r="C48" i="53"/>
  <c r="G48" i="53"/>
  <c r="H54" i="53"/>
  <c r="D54" i="53"/>
  <c r="C54" i="53"/>
  <c r="D51" i="53"/>
  <c r="G46" i="53"/>
  <c r="C46" i="53"/>
  <c r="C59" i="53"/>
  <c r="G59" i="53"/>
  <c r="N14" i="53"/>
  <c r="L14" i="53"/>
  <c r="I47" i="53"/>
  <c r="E47" i="53"/>
  <c r="D47" i="53"/>
  <c r="H47" i="53"/>
  <c r="M49" i="53"/>
  <c r="M50" i="53"/>
  <c r="C49" i="53"/>
  <c r="H49" i="53"/>
  <c r="H50" i="53"/>
  <c r="C50" i="53"/>
  <c r="C52" i="53"/>
  <c r="M52" i="53"/>
  <c r="H52" i="53"/>
  <c r="H58" i="53"/>
  <c r="C58" i="53"/>
  <c r="M53" i="53"/>
  <c r="C53" i="53"/>
  <c r="H53" i="53"/>
  <c r="H51" i="53"/>
  <c r="M51" i="53"/>
  <c r="C51" i="53"/>
  <c r="E57" i="53"/>
  <c r="D57" i="53"/>
  <c r="K57" i="53"/>
  <c r="H57" i="53"/>
  <c r="J57" i="53"/>
  <c r="C57" i="53"/>
  <c r="M47" i="53"/>
  <c r="G47" i="53"/>
  <c r="C47" i="53"/>
  <c r="C61" i="53"/>
  <c r="D61" i="53"/>
  <c r="E61" i="53"/>
  <c r="B8" i="31"/>
  <c r="E24" i="31"/>
  <c r="E27" i="31"/>
  <c r="F24" i="31"/>
  <c r="F27" i="31"/>
  <c r="E12" i="32"/>
  <c r="E14" i="32"/>
  <c r="D24" i="31"/>
  <c r="D27" i="31"/>
  <c r="E26" i="32"/>
  <c r="E28" i="32"/>
  <c r="E20" i="32"/>
  <c r="E22" i="32"/>
</calcChain>
</file>

<file path=xl/sharedStrings.xml><?xml version="1.0" encoding="utf-8"?>
<sst xmlns="http://schemas.openxmlformats.org/spreadsheetml/2006/main" count="6744" uniqueCount="2943">
  <si>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</si>
  <si>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</si>
  <si>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</si>
  <si>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</si>
  <si>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</si>
  <si>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</si>
  <si>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</si>
  <si>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</si>
  <si>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</si>
  <si>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</si>
  <si>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</si>
  <si>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</si>
  <si>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</si>
  <si>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</si>
  <si>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</si>
  <si>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</si>
  <si>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</si>
  <si>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</si>
  <si>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</si>
  <si>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</si>
  <si>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</si>
  <si>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</si>
  <si>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</si>
  <si>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</si>
  <si>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</si>
  <si>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</si>
  <si>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</si>
  <si>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</si>
  <si>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</si>
  <si>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</si>
  <si>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</si>
  <si>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</si>
  <si>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</si>
  <si>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</si>
  <si>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</si>
  <si>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</si>
  <si>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</si>
  <si>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</si>
  <si>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</si>
  <si>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</si>
  <si>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</si>
  <si>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</si>
  <si>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</si>
  <si>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</si>
  <si>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</si>
  <si>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</si>
  <si>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</si>
  <si>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</si>
  <si>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</si>
  <si>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</si>
  <si>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</si>
  <si>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</si>
  <si>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</si>
  <si>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</si>
  <si>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</si>
  <si>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</si>
  <si>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</si>
  <si>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</si>
  <si>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</si>
  <si>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</si>
  <si>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</si>
  <si>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</si>
  <si>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</si>
  <si>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</si>
  <si>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</si>
  <si>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</si>
  <si>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</si>
  <si>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</si>
  <si>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</si>
  <si>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</si>
  <si>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</si>
  <si>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</si>
  <si>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</si>
  <si>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</si>
  <si>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</si>
  <si>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</si>
  <si>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</si>
  <si>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</si>
  <si>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</si>
  <si>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</si>
  <si>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</si>
  <si>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</si>
  <si>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</si>
  <si>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</si>
  <si>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</si>
  <si>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</si>
  <si>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</si>
  <si>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</si>
  <si>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</si>
  <si>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</si>
  <si>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</si>
  <si>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</si>
  <si>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</si>
  <si>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</si>
  <si>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</si>
  <si>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</si>
  <si>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</si>
  <si>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</si>
  <si>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</si>
  <si>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</si>
  <si>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</si>
  <si>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</si>
  <si>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</si>
  <si>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</si>
  <si>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</si>
  <si>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</si>
  <si>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</si>
  <si>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</si>
  <si>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</si>
  <si>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</si>
  <si>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</si>
  <si>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</si>
  <si>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</si>
  <si>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</si>
  <si>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</si>
  <si>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</si>
  <si>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</si>
  <si>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</si>
  <si>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</si>
  <si>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</si>
  <si>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</si>
  <si>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</si>
  <si>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</si>
  <si>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</si>
  <si>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</si>
  <si>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</si>
  <si>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</si>
  <si>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</si>
  <si>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</si>
  <si>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</si>
  <si>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</si>
  <si>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</si>
  <si>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</si>
  <si>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</si>
  <si>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</si>
  <si>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</si>
  <si>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</si>
  <si>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</si>
  <si>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</si>
  <si>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</si>
  <si>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</si>
  <si>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</si>
  <si>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</si>
  <si>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</si>
  <si>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</si>
  <si>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</si>
  <si>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</si>
  <si>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</si>
  <si>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</si>
  <si>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</si>
  <si>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</si>
  <si>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</si>
  <si>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</si>
  <si>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</si>
  <si>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</si>
  <si>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</si>
  <si>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</si>
  <si>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</si>
  <si>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</si>
  <si>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</si>
  <si>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</si>
  <si>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</si>
  <si>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</si>
  <si>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</si>
  <si>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</si>
  <si>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</si>
  <si>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</si>
  <si>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</si>
  <si>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</si>
  <si>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</si>
  <si>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</si>
  <si>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</si>
  <si>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</si>
  <si>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</si>
  <si>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</si>
  <si>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</si>
  <si>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</si>
  <si>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</si>
  <si>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</si>
  <si>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</si>
  <si>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</si>
  <si>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</si>
  <si>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</si>
  <si>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</si>
  <si>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</si>
  <si>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</si>
  <si>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</si>
  <si>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</si>
  <si>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</si>
  <si>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</si>
  <si>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</si>
  <si>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</si>
  <si>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</si>
  <si>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</si>
  <si>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</si>
  <si>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</si>
  <si>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</si>
  <si>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</si>
  <si>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</si>
  <si>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</si>
  <si>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</si>
  <si>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</si>
  <si>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</si>
  <si>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</si>
  <si>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</si>
  <si>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</si>
  <si>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</si>
  <si>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</si>
  <si>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</si>
  <si>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</si>
  <si>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</si>
  <si>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</si>
  <si>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</si>
  <si>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</si>
  <si>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</si>
  <si>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</si>
  <si>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</si>
  <si>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</si>
  <si>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</si>
  <si>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</si>
  <si>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</si>
  <si>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Yes</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</si>
  <si>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</si>
  <si>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</si>
  <si>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</si>
  <si>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</si>
  <si>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</si>
  <si>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</si>
  <si>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</si>
  <si>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</si>
  <si>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</si>
  <si>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</si>
  <si>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</si>
  <si>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</si>
  <si>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</si>
  <si>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</si>
  <si>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</si>
  <si>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</si>
  <si>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</si>
  <si>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</si>
  <si>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</si>
  <si>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</si>
  <si>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</si>
  <si>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</si>
  <si>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</si>
  <si>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</si>
  <si>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</si>
  <si>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</si>
  <si>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</si>
  <si>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</si>
  <si>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</si>
  <si>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</si>
  <si>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</si>
  <si>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</si>
  <si>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</si>
  <si>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</si>
  <si>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</si>
  <si>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</si>
  <si>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</si>
  <si>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</si>
  <si>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</si>
  <si>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</si>
  <si>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</si>
  <si>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</si>
  <si>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</si>
  <si>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</si>
  <si>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</si>
  <si>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</si>
  <si>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</si>
  <si>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</si>
  <si>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</si>
  <si>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</si>
  <si>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</si>
  <si>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</si>
  <si>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</si>
  <si>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</si>
  <si>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</si>
  <si>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</si>
  <si>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</si>
  <si>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</si>
  <si>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</si>
  <si>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</si>
  <si>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</si>
  <si>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</si>
  <si>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</si>
  <si>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</si>
  <si>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</si>
  <si>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</si>
  <si>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</si>
  <si>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</si>
  <si>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</si>
  <si>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</si>
  <si>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</si>
  <si>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</si>
  <si>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</si>
  <si>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</si>
  <si>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</si>
  <si>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</si>
  <si>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</si>
  <si>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</si>
  <si>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</si>
  <si>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</si>
  <si>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</si>
  <si>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</si>
  <si>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</si>
  <si>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</si>
  <si>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</si>
  <si>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</si>
  <si>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</si>
  <si>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</si>
  <si>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</si>
  <si>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</si>
  <si>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</si>
  <si>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</si>
  <si>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</si>
  <si>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</si>
  <si>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</si>
  <si>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</si>
  <si>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</si>
  <si>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</si>
  <si>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</si>
  <si>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</si>
  <si>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</si>
  <si>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</si>
  <si>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</si>
  <si>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</si>
  <si>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</si>
  <si>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</si>
  <si>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</si>
  <si>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</si>
  <si>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</si>
  <si>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</si>
  <si>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Transmission Plant - ISO</t>
  </si>
  <si>
    <t>Distribution Plant - ISO</t>
  </si>
  <si>
    <t>SCE Retail Sales at ISO Grid level:</t>
  </si>
  <si>
    <t>Pump Load forecast:</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</si>
  <si>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</si>
  <si>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</si>
  <si>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</si>
  <si>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</si>
  <si>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</si>
  <si>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</si>
  <si>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</si>
  <si>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</si>
  <si>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</si>
  <si>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</si>
  <si>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</si>
  <si>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</si>
  <si>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</si>
  <si>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</si>
  <si>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</si>
  <si>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</si>
  <si>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</si>
  <si>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</si>
  <si>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</si>
  <si>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</si>
  <si>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</si>
  <si>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</si>
  <si>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</si>
  <si>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</si>
  <si>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</si>
  <si>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</si>
  <si>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</si>
  <si>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</si>
  <si>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</si>
  <si>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</si>
  <si>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</si>
  <si>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</si>
  <si>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</si>
  <si>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</si>
  <si>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</si>
  <si>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</si>
  <si>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</si>
  <si>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</si>
  <si>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</si>
  <si>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</si>
  <si>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</si>
  <si>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</si>
  <si>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</si>
  <si>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</si>
  <si>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</si>
  <si>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</si>
  <si>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</si>
  <si>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</si>
  <si>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</si>
  <si>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</si>
  <si>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</si>
  <si>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</si>
  <si>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</si>
  <si>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</si>
  <si>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</si>
  <si>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</si>
  <si>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</si>
  <si>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</si>
  <si>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</si>
  <si>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</si>
  <si>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</si>
  <si>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</si>
  <si>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</si>
  <si>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</si>
  <si>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</si>
  <si>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</si>
  <si>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</si>
  <si>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</si>
  <si>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</si>
  <si>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</si>
  <si>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</si>
  <si>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</si>
  <si>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</si>
  <si>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</si>
  <si>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</si>
  <si>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</si>
  <si>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</si>
  <si>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</si>
  <si>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</si>
  <si>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</si>
  <si>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</si>
  <si>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</si>
  <si>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</si>
  <si>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</si>
  <si>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</si>
  <si>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</si>
  <si>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</si>
  <si>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</si>
  <si>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</si>
  <si>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</si>
  <si>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</si>
  <si>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</si>
  <si>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</si>
  <si>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</si>
  <si>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</si>
  <si>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</si>
  <si>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</si>
  <si>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</si>
  <si>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</si>
  <si>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</si>
  <si>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</si>
  <si>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</si>
  <si>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</si>
  <si>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</si>
  <si>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</si>
  <si>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</si>
  <si>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</si>
  <si>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</si>
  <si>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</si>
  <si>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</si>
  <si>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</si>
  <si>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</si>
  <si>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</si>
  <si>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</si>
  <si>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</si>
  <si>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</si>
  <si>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</si>
  <si>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</si>
  <si>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</si>
  <si>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</si>
  <si>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</si>
  <si>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</si>
  <si>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</si>
  <si>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</si>
  <si>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</si>
  <si>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</si>
  <si>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</si>
  <si>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</si>
  <si>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</si>
  <si>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</si>
  <si>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</si>
  <si>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</si>
  <si>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</si>
  <si>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</si>
  <si>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</si>
  <si>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</si>
  <si>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</si>
  <si>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</si>
  <si>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</si>
  <si>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</si>
  <si>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</si>
  <si>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</si>
  <si>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</si>
  <si>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</si>
  <si>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</si>
  <si>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</si>
  <si>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</si>
  <si>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</si>
  <si>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</si>
  <si>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</si>
  <si>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</si>
  <si>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</si>
  <si>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</si>
  <si>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</si>
  <si>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</si>
  <si>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</si>
  <si>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</si>
  <si>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</si>
  <si>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</si>
  <si>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</si>
  <si>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</si>
  <si>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</si>
  <si>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</si>
  <si>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</si>
  <si>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</si>
  <si>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</si>
  <si>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</si>
  <si>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</si>
  <si>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</si>
  <si>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</si>
  <si>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</si>
  <si>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</si>
  <si>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</si>
  <si>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</si>
  <si>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</si>
  <si>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</si>
  <si>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</si>
  <si>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</si>
  <si>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</si>
  <si>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</si>
  <si>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</si>
  <si>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</si>
  <si>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</si>
  <si>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</si>
  <si>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</si>
  <si>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</si>
  <si>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</si>
  <si>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</si>
  <si>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</si>
  <si>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</si>
  <si>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</si>
  <si>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</si>
  <si>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</si>
  <si>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</si>
  <si>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</si>
  <si>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</si>
  <si>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</si>
  <si>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</si>
  <si>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</si>
  <si>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</si>
  <si>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</si>
  <si>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</si>
  <si>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</si>
  <si>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</si>
  <si>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</si>
  <si>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</si>
  <si>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</si>
  <si>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</si>
  <si>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</si>
  <si>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</si>
  <si>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</si>
  <si>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</si>
  <si>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</si>
  <si>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</si>
  <si>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</si>
  <si>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</si>
  <si>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</si>
  <si>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</si>
  <si>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</si>
  <si>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</si>
  <si>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</si>
  <si>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</si>
  <si>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</si>
  <si>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</si>
  <si>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</si>
  <si>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</si>
  <si>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</si>
  <si>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</si>
  <si>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</si>
  <si>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</si>
  <si>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</si>
  <si>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</si>
  <si>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</si>
  <si>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</si>
  <si>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</si>
  <si>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</si>
  <si>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</si>
  <si>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</si>
  <si>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</si>
  <si>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</si>
  <si>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</si>
  <si>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</si>
  <si>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</si>
  <si>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</si>
  <si>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</si>
  <si>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</si>
  <si>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</si>
  <si>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</si>
  <si>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</si>
  <si>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</si>
  <si>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</si>
  <si>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</si>
  <si>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</si>
  <si>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</si>
  <si>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</si>
  <si>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</si>
  <si>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</si>
  <si>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</si>
  <si>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</si>
  <si>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</si>
  <si>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</si>
  <si>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</si>
  <si>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</si>
  <si>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</si>
  <si>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</si>
  <si>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</si>
  <si>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</si>
  <si>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</si>
  <si>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</si>
  <si>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</si>
  <si>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</si>
  <si>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</si>
  <si>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</si>
  <si>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</si>
  <si>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</si>
  <si>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</si>
  <si>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</si>
  <si>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</si>
  <si>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</si>
  <si>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</si>
  <si>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</si>
  <si>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</si>
  <si>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</si>
  <si>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</si>
  <si>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</si>
  <si>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</si>
  <si>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</si>
  <si>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</si>
  <si>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</si>
  <si>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</si>
  <si>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</si>
  <si>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</si>
  <si>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</si>
  <si>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</si>
  <si>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</si>
  <si>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</si>
  <si>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</si>
  <si>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</si>
  <si>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</si>
  <si>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</si>
  <si>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</si>
  <si>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</si>
  <si>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</si>
  <si>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</si>
  <si>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</si>
  <si>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</si>
  <si>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</si>
  <si>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</si>
  <si>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</si>
  <si>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</si>
  <si>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</si>
  <si>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</si>
  <si>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</si>
  <si>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</si>
  <si>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</si>
  <si>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</si>
  <si>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</si>
  <si>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</si>
  <si>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</si>
  <si>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</si>
  <si>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</si>
  <si>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</si>
  <si>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</si>
  <si>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</si>
  <si>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</si>
  <si>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</si>
  <si>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</si>
  <si>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</si>
  <si>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</si>
  <si>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</si>
  <si>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</si>
  <si>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</si>
  <si>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</si>
  <si>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</si>
  <si>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</si>
  <si>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</si>
  <si>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</si>
  <si>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</si>
  <si>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</si>
  <si>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</si>
  <si>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</si>
  <si>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</si>
  <si>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</si>
  <si>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</si>
  <si>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</si>
  <si>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</si>
  <si>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</si>
  <si>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</si>
  <si>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</si>
  <si>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</si>
  <si>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</si>
  <si>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</si>
  <si>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</si>
  <si>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</si>
  <si>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</si>
  <si>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</si>
  <si>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</si>
  <si>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</si>
  <si>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</si>
  <si>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</si>
  <si>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</si>
  <si>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</si>
  <si>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</si>
  <si>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</si>
  <si>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</si>
  <si>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</si>
  <si>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</si>
  <si>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</si>
  <si>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</si>
  <si>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</si>
  <si>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</si>
  <si>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</si>
  <si>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</si>
  <si>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</si>
  <si>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</si>
  <si>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</si>
  <si>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</si>
  <si>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</si>
  <si>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</si>
  <si>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</si>
  <si>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</si>
  <si>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</si>
  <si>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</si>
  <si>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</si>
  <si>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</si>
  <si>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</si>
  <si>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</si>
  <si>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</si>
  <si>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</si>
  <si>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</si>
  <si>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</si>
  <si>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</si>
  <si>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</si>
  <si>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</si>
  <si>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</si>
  <si>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</si>
  <si>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</si>
  <si>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</si>
  <si>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</si>
  <si>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</si>
  <si>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</si>
  <si>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</si>
  <si>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</si>
  <si>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</si>
  <si>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</si>
  <si>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</si>
  <si>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</si>
  <si>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</si>
  <si>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</si>
  <si>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</si>
  <si>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</si>
  <si>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</si>
  <si>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</si>
  <si>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</si>
  <si>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</si>
  <si>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</si>
  <si>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</si>
  <si>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</si>
  <si>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</si>
  <si>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</si>
  <si>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</si>
  <si>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</si>
  <si>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</si>
  <si>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</si>
  <si>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</si>
  <si>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</si>
  <si>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</si>
  <si>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</si>
  <si>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</si>
  <si>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</si>
  <si>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</si>
  <si>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</si>
  <si>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</si>
  <si>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</si>
  <si>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</si>
  <si>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</si>
  <si>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</si>
  <si>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</si>
  <si>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</si>
  <si>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</si>
  <si>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</si>
  <si>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</si>
  <si>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</si>
  <si>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</si>
  <si>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</si>
  <si>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</si>
  <si>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</si>
  <si>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</si>
  <si>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</si>
  <si>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</si>
  <si>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</si>
  <si>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</si>
  <si>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</si>
  <si>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</si>
  <si>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</si>
  <si>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</si>
  <si>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</si>
  <si>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</si>
  <si>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</si>
  <si>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</si>
  <si>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</si>
  <si>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</si>
  <si>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</si>
  <si>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</si>
  <si>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</si>
  <si>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</si>
  <si>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</si>
  <si>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</si>
  <si>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</si>
  <si>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</si>
  <si>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</si>
  <si>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</si>
  <si>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</si>
  <si>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</si>
  <si>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</si>
  <si>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</si>
  <si>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</si>
  <si>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</si>
  <si>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</si>
  <si>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</si>
  <si>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</si>
  <si>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</si>
  <si>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</si>
  <si>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</si>
  <si>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</si>
  <si>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</si>
  <si>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</si>
  <si>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</si>
  <si>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</si>
  <si>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</si>
  <si>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</si>
  <si>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</si>
  <si>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</si>
  <si>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</si>
  <si>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</si>
  <si>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</si>
  <si>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</si>
  <si>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</si>
  <si>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</si>
  <si>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</si>
  <si>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</si>
  <si>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</si>
  <si>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</si>
  <si>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</si>
  <si>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</si>
  <si>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</si>
  <si>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</si>
  <si>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</si>
  <si>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</si>
  <si>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</si>
  <si>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</si>
  <si>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</si>
  <si>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</si>
  <si>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</si>
  <si>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</si>
  <si>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</si>
  <si>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</si>
  <si>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</si>
  <si>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</si>
  <si>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</si>
  <si>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</si>
  <si>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</si>
  <si>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</si>
  <si>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</si>
  <si>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</si>
  <si>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</si>
  <si>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</si>
  <si>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</si>
  <si>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</si>
  <si>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</si>
  <si>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</si>
  <si>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</si>
  <si>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457.1 Total</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</si>
  <si>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</si>
  <si>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</si>
  <si>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</si>
  <si>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</si>
  <si>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</si>
  <si>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</si>
  <si>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</si>
  <si>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</si>
  <si>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</si>
  <si>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</si>
  <si>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</si>
  <si>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</si>
  <si>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</si>
  <si>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</si>
  <si>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</si>
  <si>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</si>
  <si>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</si>
  <si>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</si>
  <si>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</si>
  <si>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</si>
  <si>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</si>
  <si>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</si>
  <si>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</si>
  <si>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</si>
  <si>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</si>
  <si>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</si>
  <si>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</si>
  <si>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</si>
  <si>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</si>
  <si>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</si>
  <si>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</si>
  <si>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</si>
  <si>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</si>
  <si>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</si>
  <si>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</si>
  <si>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</si>
  <si>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</si>
  <si>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</si>
  <si>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</si>
  <si>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</si>
  <si>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</si>
  <si>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</si>
  <si>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</si>
  <si>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</si>
  <si>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</si>
  <si>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</si>
  <si>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</si>
  <si>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</si>
  <si>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</si>
  <si>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</si>
  <si>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</si>
  <si>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</si>
  <si>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</si>
  <si>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</si>
  <si>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</si>
  <si>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</si>
  <si>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</si>
  <si>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</si>
  <si>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</si>
  <si>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</si>
  <si>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</si>
  <si>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</si>
  <si>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</si>
  <si>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</si>
  <si>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</si>
  <si>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</si>
  <si>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</si>
  <si>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</si>
  <si>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</si>
  <si>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</si>
  <si>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</si>
  <si>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</si>
  <si>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</si>
  <si>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</si>
  <si>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</si>
  <si>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</si>
  <si>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</si>
  <si>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</si>
  <si>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</si>
  <si>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</si>
  <si>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</si>
  <si>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</si>
  <si>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</si>
  <si>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</si>
  <si>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</si>
  <si>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</si>
  <si>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</si>
  <si>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</si>
  <si>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</si>
  <si>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</si>
  <si>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</si>
  <si>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</si>
  <si>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</si>
  <si>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</si>
  <si>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</si>
  <si>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</si>
  <si>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</si>
  <si>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</si>
  <si>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</si>
  <si>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</si>
  <si>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</si>
  <si>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</si>
  <si>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</si>
  <si>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</si>
  <si>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</si>
  <si>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</si>
  <si>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</si>
  <si>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</si>
  <si>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</si>
  <si>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</si>
  <si>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</si>
  <si>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</si>
  <si>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</si>
  <si>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</si>
  <si>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</si>
  <si>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</si>
  <si>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</si>
  <si>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</si>
  <si>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</si>
  <si>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</si>
  <si>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</si>
  <si>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</si>
  <si>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</si>
  <si>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</si>
  <si>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</si>
  <si>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</si>
  <si>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</si>
  <si>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</si>
  <si>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</si>
  <si>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</si>
  <si>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</si>
  <si>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</si>
  <si>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</si>
  <si>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</si>
  <si>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</si>
  <si>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</si>
  <si>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</si>
  <si>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</si>
  <si>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</si>
  <si>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</si>
  <si>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</si>
  <si>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</si>
  <si>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</si>
  <si>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</si>
  <si>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</si>
  <si>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</si>
  <si>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</si>
  <si>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</si>
  <si>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</si>
  <si>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</si>
  <si>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</si>
  <si>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</si>
  <si>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</si>
  <si>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</si>
  <si>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</si>
  <si>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</si>
  <si>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</si>
  <si>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</si>
  <si>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</si>
  <si>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</si>
  <si>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</si>
  <si>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</si>
  <si>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</si>
  <si>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</si>
  <si>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</si>
  <si>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</si>
  <si>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</si>
  <si>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</si>
  <si>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</si>
  <si>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</si>
  <si>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</si>
  <si>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</si>
  <si>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</si>
  <si>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</si>
  <si>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</si>
  <si>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</si>
  <si>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</si>
  <si>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</si>
  <si>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</si>
  <si>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</si>
  <si>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</si>
  <si>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</si>
  <si>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</si>
  <si>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</si>
  <si>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</si>
  <si>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</si>
  <si>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</si>
  <si>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</si>
  <si>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</si>
  <si>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</si>
  <si>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</si>
  <si>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</si>
  <si>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</si>
  <si>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</si>
  <si>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</si>
  <si>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</si>
  <si>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</si>
  <si>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</si>
  <si>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</si>
  <si>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</si>
  <si>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</si>
  <si>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</si>
  <si>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</si>
  <si>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</si>
  <si>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</si>
  <si>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</si>
  <si>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</si>
  <si>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</si>
  <si>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</si>
  <si>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</si>
  <si>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</si>
  <si>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</si>
  <si>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</si>
  <si>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</si>
  <si>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</si>
  <si>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</si>
  <si>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</si>
  <si>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</si>
  <si>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</si>
  <si>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</si>
  <si>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</si>
  <si>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</si>
  <si>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</si>
  <si>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</si>
  <si>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</si>
  <si>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</si>
  <si>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</si>
  <si>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</si>
  <si>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</si>
  <si>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</si>
  <si>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</si>
  <si>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</si>
  <si>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</si>
  <si>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</si>
  <si>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</si>
  <si>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</si>
  <si>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</si>
  <si>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</si>
  <si>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</si>
  <si>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</si>
  <si>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</si>
  <si>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</si>
  <si>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</si>
  <si>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</si>
  <si>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</si>
  <si>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</si>
  <si>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</si>
  <si>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</si>
  <si>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</si>
  <si>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</si>
  <si>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</si>
  <si>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</si>
  <si>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</si>
  <si>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</si>
  <si>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</si>
  <si>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</si>
  <si>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</si>
  <si>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</si>
  <si>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</si>
  <si>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</si>
  <si>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</si>
  <si>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</si>
  <si>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</si>
  <si>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</si>
  <si>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</si>
  <si>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</si>
  <si>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</si>
  <si>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</si>
  <si>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</si>
  <si>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</si>
  <si>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</si>
  <si>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</si>
  <si>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</si>
  <si>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</si>
  <si>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</si>
  <si>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</si>
  <si>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</si>
  <si>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</si>
  <si>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</si>
  <si>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</si>
  <si>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</si>
  <si>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</si>
  <si>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</si>
  <si>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</si>
  <si>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</si>
  <si>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</si>
  <si>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</si>
  <si>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</si>
  <si>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</si>
  <si>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</si>
  <si>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</si>
  <si>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</si>
  <si>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</si>
  <si>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</si>
  <si>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</si>
  <si>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</si>
  <si>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</si>
  <si>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</si>
  <si>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</si>
  <si>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</si>
  <si>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</si>
  <si>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</si>
  <si>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</si>
  <si>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</si>
  <si>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</si>
  <si>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</si>
  <si>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</si>
  <si>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</si>
  <si>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</si>
  <si>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</si>
  <si>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</si>
  <si>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</si>
  <si>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</si>
  <si>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</si>
  <si>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</si>
  <si>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</si>
  <si>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</si>
  <si>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</si>
  <si>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</si>
  <si>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</si>
  <si>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</si>
  <si>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</si>
  <si>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</si>
  <si>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</si>
  <si>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</si>
  <si>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</si>
  <si>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</si>
  <si>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</si>
  <si>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</si>
  <si>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</si>
  <si>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</si>
  <si>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</si>
  <si>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</si>
  <si>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</si>
  <si>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</si>
  <si>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</si>
  <si>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</si>
  <si>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</si>
  <si>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</si>
  <si>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</si>
  <si>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</si>
  <si>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</si>
  <si>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</si>
  <si>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</si>
  <si>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</si>
  <si>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</si>
  <si>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</si>
  <si>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</si>
  <si>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</si>
  <si>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</si>
  <si>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</si>
  <si>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</si>
  <si>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</si>
  <si>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</si>
  <si>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</si>
  <si>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</si>
  <si>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</si>
  <si>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</si>
  <si>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</si>
  <si>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</si>
  <si>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</si>
  <si>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</si>
  <si>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</si>
  <si>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</si>
  <si>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</si>
  <si>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</si>
  <si>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</si>
  <si>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</si>
  <si>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</si>
  <si>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</si>
  <si>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</si>
  <si>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</si>
  <si>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</si>
  <si>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</si>
  <si>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</si>
  <si>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</si>
  <si>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</si>
  <si>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</si>
  <si>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</si>
  <si>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</si>
  <si>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</si>
  <si>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</si>
  <si>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</si>
  <si>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</si>
  <si>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</si>
  <si>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</si>
  <si>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</si>
  <si>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</si>
  <si>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</si>
  <si>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</si>
  <si>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</si>
  <si>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</si>
  <si>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</si>
  <si>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</si>
  <si>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</si>
  <si>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</si>
  <si>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</si>
  <si>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</si>
  <si>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</si>
  <si>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</si>
  <si>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</si>
  <si>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</si>
  <si>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</si>
  <si>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</si>
  <si>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</si>
  <si>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</si>
  <si>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</si>
  <si>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</si>
  <si>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</si>
  <si>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</si>
  <si>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</si>
  <si>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</si>
  <si>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</si>
  <si>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</si>
  <si>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</si>
  <si>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</si>
  <si>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</si>
  <si>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</si>
  <si>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</si>
  <si>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</si>
  <si>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</si>
  <si>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</si>
  <si>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</si>
  <si>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</si>
  <si>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</si>
  <si>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</si>
  <si>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</si>
  <si>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</si>
  <si>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</si>
  <si>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</si>
  <si>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</si>
  <si>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</si>
  <si>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</si>
  <si>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</si>
  <si>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</si>
  <si>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</si>
  <si>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</si>
  <si>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</si>
  <si>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</si>
  <si>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</si>
  <si>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</si>
  <si>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</si>
  <si>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</si>
  <si>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</si>
  <si>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</si>
  <si>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</si>
  <si>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</si>
  <si>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</si>
  <si>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</si>
  <si>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</si>
  <si>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</si>
  <si>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</si>
  <si>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</si>
  <si>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</si>
  <si>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</si>
  <si>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</si>
  <si>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</si>
  <si>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</si>
  <si>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</si>
  <si>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</si>
  <si>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</si>
  <si>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</si>
  <si>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</si>
  <si>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</si>
  <si>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</si>
  <si>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</si>
  <si>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</si>
  <si>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</si>
  <si>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</si>
  <si>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</si>
  <si>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</si>
  <si>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</si>
  <si>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</si>
  <si>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</si>
  <si>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</si>
  <si>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</si>
  <si>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</si>
  <si>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</si>
  <si>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</si>
  <si>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</si>
  <si>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</si>
  <si>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</si>
  <si>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</si>
  <si>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</si>
  <si>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</si>
  <si>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</si>
  <si>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</si>
  <si>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</si>
  <si>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</si>
  <si>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</si>
  <si>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</si>
  <si>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</si>
  <si>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</si>
  <si>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</si>
  <si>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</si>
  <si>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</si>
  <si>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</si>
  <si>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</si>
  <si>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</si>
  <si>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</si>
  <si>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</si>
  <si>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</si>
  <si>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</si>
  <si>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</si>
  <si>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</si>
  <si>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</si>
  <si>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</si>
  <si>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</si>
  <si>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</si>
  <si>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</si>
  <si>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</si>
  <si>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</si>
  <si>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</si>
  <si>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</si>
  <si>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</si>
  <si>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</si>
  <si>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</si>
  <si>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</si>
  <si>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</si>
  <si>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</si>
  <si>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</si>
  <si>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</si>
  <si>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</si>
  <si>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</si>
  <si>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</si>
  <si>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</si>
  <si>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</si>
  <si>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</si>
  <si>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</si>
  <si>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</si>
  <si>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</si>
  <si>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</si>
  <si>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</si>
  <si>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</si>
  <si>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</si>
  <si>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</si>
  <si>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</si>
  <si>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</si>
  <si>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</si>
  <si>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</si>
  <si>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</si>
  <si>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</si>
  <si>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</si>
  <si>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</si>
  <si>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</si>
  <si>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</si>
  <si>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</si>
  <si>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</si>
  <si>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</si>
  <si>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</si>
  <si>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</si>
  <si>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</si>
  <si>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</si>
  <si>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</si>
  <si>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</si>
  <si>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</si>
  <si>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</si>
  <si>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</si>
  <si>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</si>
  <si>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</si>
  <si>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</si>
  <si>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</si>
  <si>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</si>
  <si>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</si>
  <si>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</si>
  <si>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</si>
  <si>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</si>
  <si>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</si>
  <si>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</si>
  <si>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</si>
  <si>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</si>
  <si>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</si>
  <si>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</si>
  <si>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</si>
  <si>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</si>
  <si>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</si>
  <si>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</si>
  <si>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</si>
  <si>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</si>
  <si>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</si>
  <si>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</si>
  <si>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</si>
  <si>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</si>
  <si>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</si>
  <si>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</si>
  <si>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</si>
  <si>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</si>
  <si>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</si>
  <si>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</si>
  <si>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</si>
  <si>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</si>
  <si>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</si>
  <si>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</si>
  <si>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</si>
  <si>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</si>
  <si>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</si>
  <si>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</si>
  <si>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</si>
  <si>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</si>
  <si>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</si>
  <si>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</si>
  <si>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</si>
  <si>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</si>
  <si>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</si>
  <si>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</si>
  <si>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</si>
  <si>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</si>
  <si>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</si>
  <si>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</si>
  <si>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</si>
  <si>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</si>
  <si>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</si>
  <si>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</si>
  <si>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</si>
  <si>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</si>
  <si>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</si>
  <si>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</si>
  <si>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</si>
  <si>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</si>
  <si>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</si>
  <si>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</si>
  <si>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</si>
  <si>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</si>
  <si>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</si>
  <si>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</si>
  <si>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</si>
  <si>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</si>
  <si>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</si>
  <si>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</si>
  <si>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</si>
  <si>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</si>
  <si>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</si>
  <si>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</si>
  <si>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</si>
  <si>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</si>
  <si>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</si>
  <si>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</si>
  <si>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</si>
  <si>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</si>
  <si>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</si>
  <si>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</si>
  <si>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</si>
  <si>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</si>
  <si>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</si>
  <si>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</si>
  <si>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</si>
  <si>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</si>
  <si>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</si>
  <si>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</si>
  <si>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</si>
  <si>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</si>
  <si>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</si>
  <si>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</si>
  <si>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</si>
  <si>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</si>
  <si>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</si>
  <si>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</si>
  <si>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</si>
  <si>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</si>
  <si>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</si>
  <si>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</si>
  <si>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</si>
  <si>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</si>
  <si>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</si>
  <si>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</si>
  <si>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</si>
  <si>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</si>
  <si>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</si>
  <si>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</si>
  <si>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</si>
  <si>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</si>
  <si>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</si>
  <si>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</si>
  <si>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</si>
  <si>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</si>
  <si>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</si>
  <si>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</si>
  <si>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</si>
  <si>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</si>
  <si>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Related</t>
  </si>
  <si>
    <t>Total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</si>
  <si>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</si>
  <si>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</si>
  <si>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</si>
  <si>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</si>
  <si>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</si>
  <si>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</si>
  <si>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</si>
  <si>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</si>
  <si>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</si>
  <si>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</si>
  <si>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</si>
  <si>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</si>
  <si>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</si>
  <si>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</si>
  <si>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</si>
  <si>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</si>
  <si>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</si>
  <si>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</si>
  <si>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</si>
  <si>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</si>
  <si>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</si>
  <si>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</si>
  <si>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</si>
  <si>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</si>
  <si>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</si>
  <si>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</si>
  <si>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</si>
  <si>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</si>
  <si>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</si>
  <si>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</si>
  <si>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</si>
  <si>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</si>
  <si>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</si>
  <si>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</si>
  <si>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</si>
  <si>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</si>
  <si>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</si>
  <si>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</si>
  <si>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</si>
  <si>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</si>
  <si>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</si>
  <si>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</si>
  <si>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</si>
  <si>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</si>
  <si>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</si>
  <si>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</si>
  <si>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</si>
  <si>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</si>
  <si>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</si>
  <si>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</si>
  <si>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</si>
  <si>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</si>
  <si>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</si>
  <si>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</si>
  <si>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</si>
  <si>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</si>
  <si>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</si>
  <si>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</si>
  <si>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</si>
  <si>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</si>
  <si>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</si>
  <si>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</si>
  <si>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</si>
  <si>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</si>
  <si>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</si>
  <si>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</si>
  <si>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</si>
  <si>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</si>
  <si>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</si>
  <si>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</si>
  <si>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</si>
  <si>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</si>
  <si>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</si>
  <si>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</si>
  <si>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</si>
  <si>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</si>
  <si>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</si>
  <si>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</si>
  <si>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</si>
  <si>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</si>
  <si>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</si>
  <si>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</si>
  <si>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</si>
  <si>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</si>
  <si>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</si>
  <si>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</si>
  <si>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</si>
  <si>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</si>
  <si>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</si>
  <si>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</si>
  <si>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</si>
  <si>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</si>
  <si>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</si>
  <si>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</si>
  <si>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</si>
  <si>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</si>
  <si>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</si>
  <si>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</si>
  <si>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</si>
  <si>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</si>
  <si>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</si>
  <si>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</si>
  <si>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</si>
  <si>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</si>
  <si>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</si>
  <si>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</si>
  <si>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</si>
  <si>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</si>
  <si>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</si>
  <si>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</si>
  <si>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</si>
  <si>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</si>
  <si>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</si>
  <si>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</si>
  <si>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</si>
  <si>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</si>
  <si>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</si>
  <si>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</si>
  <si>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</si>
  <si>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</si>
  <si>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</si>
  <si>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</si>
  <si>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</si>
  <si>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</si>
  <si>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</si>
  <si>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</si>
  <si>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</si>
  <si>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</si>
  <si>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</si>
  <si>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</si>
  <si>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</si>
  <si>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</si>
  <si>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</si>
  <si>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</si>
  <si>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</si>
  <si>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</si>
  <si>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</si>
  <si>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</si>
  <si>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</si>
  <si>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</si>
  <si>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</si>
  <si>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</si>
  <si>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</si>
  <si>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</si>
  <si>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</si>
  <si>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</si>
  <si>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</si>
  <si>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</si>
  <si>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</si>
  <si>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</si>
  <si>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</si>
  <si>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</si>
  <si>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</si>
  <si>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</si>
  <si>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</si>
  <si>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</si>
  <si>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</si>
  <si>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</si>
  <si>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</si>
  <si>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</si>
  <si>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</si>
  <si>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</si>
  <si>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</si>
  <si>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</si>
  <si>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</si>
  <si>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</si>
  <si>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</si>
  <si>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</si>
  <si>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</si>
  <si>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</si>
  <si>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</si>
  <si>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</si>
  <si>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</si>
  <si>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</si>
  <si>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</si>
  <si>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</si>
  <si>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</si>
  <si>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</si>
  <si>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</si>
  <si>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</si>
  <si>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</si>
  <si>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</si>
  <si>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</si>
  <si>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</si>
  <si>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</si>
  <si>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</si>
  <si>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</si>
  <si>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</si>
  <si>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</si>
  <si>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</si>
  <si>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</si>
  <si>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</si>
  <si>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</si>
  <si>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</si>
  <si>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</si>
  <si>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</si>
  <si>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</si>
  <si>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</si>
  <si>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</si>
  <si>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</si>
  <si>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</si>
  <si>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</si>
  <si>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</si>
  <si>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</si>
  <si>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</si>
  <si>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</si>
  <si>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</si>
  <si>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</si>
  <si>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</si>
  <si>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</si>
  <si>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</si>
  <si>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</si>
  <si>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</si>
  <si>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</si>
  <si>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</si>
  <si>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</si>
  <si>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</si>
  <si>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</si>
  <si>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</si>
  <si>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</si>
  <si>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</si>
  <si>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</si>
  <si>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</si>
  <si>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</si>
  <si>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</si>
  <si>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</si>
  <si>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</si>
  <si>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</si>
  <si>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</si>
  <si>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</si>
  <si>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</si>
  <si>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</si>
  <si>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</si>
  <si>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</si>
  <si>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</si>
  <si>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</si>
  <si>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</si>
  <si>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</si>
  <si>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</si>
  <si>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</si>
  <si>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</si>
  <si>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</si>
  <si>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</si>
  <si>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</si>
  <si>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</si>
  <si>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</si>
  <si>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</si>
  <si>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</si>
  <si>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</si>
  <si>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</si>
  <si>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 approving revised ROE:</t>
  </si>
  <si>
    <t>In the event that the Return on Common Equity is revised from the initial value, enter cite to Commission Order approving the revised ROE on following line.</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</si>
  <si>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</si>
  <si>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</si>
  <si>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</si>
  <si>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</si>
  <si>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</si>
  <si>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</si>
  <si>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</si>
  <si>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</si>
  <si>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</si>
  <si>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</si>
  <si>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</si>
  <si>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</si>
  <si>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</si>
  <si>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</si>
  <si>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</si>
  <si>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</si>
  <si>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</si>
  <si>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</si>
  <si>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</si>
  <si>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</si>
  <si>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</si>
  <si>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</si>
  <si>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</si>
  <si>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</si>
  <si>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</si>
  <si>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</si>
  <si>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</si>
  <si>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</si>
  <si>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</si>
  <si>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</si>
  <si>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</si>
  <si>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</si>
  <si>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</si>
  <si>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</si>
  <si>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</si>
  <si>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</si>
  <si>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</si>
  <si>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</si>
  <si>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</si>
  <si>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</si>
  <si>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</si>
  <si>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</si>
  <si>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</si>
  <si>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</si>
  <si>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</si>
  <si>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</si>
  <si>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</si>
  <si>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</si>
  <si>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</si>
  <si>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</si>
  <si>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</si>
  <si>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</si>
  <si>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</si>
  <si>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</si>
  <si>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</si>
  <si>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</si>
  <si>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</si>
  <si>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</si>
  <si>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</si>
  <si>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</si>
  <si>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</si>
  <si>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</si>
  <si>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</si>
  <si>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</si>
  <si>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</si>
  <si>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</si>
  <si>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</si>
  <si>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</si>
  <si>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</si>
  <si>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</si>
  <si>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</si>
  <si>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</si>
  <si>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</si>
  <si>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</si>
  <si>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</si>
  <si>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</si>
  <si>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</si>
  <si>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</si>
  <si>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</si>
  <si>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</si>
  <si>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</si>
  <si>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</si>
  <si>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</si>
  <si>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</si>
  <si>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</si>
  <si>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</si>
  <si>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</si>
  <si>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</si>
  <si>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</si>
  <si>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</si>
  <si>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</si>
  <si>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</si>
  <si>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</si>
  <si>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</si>
  <si>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</si>
  <si>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</si>
  <si>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</si>
  <si>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</si>
  <si>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</si>
  <si>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</si>
  <si>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</si>
  <si>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</si>
  <si>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</si>
  <si>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</si>
  <si>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</si>
  <si>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</si>
  <si>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</si>
  <si>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</si>
  <si>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</si>
  <si>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</si>
  <si>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</si>
  <si>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</si>
  <si>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</si>
  <si>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</si>
  <si>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</si>
  <si>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</si>
  <si>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</si>
  <si>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</si>
  <si>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</si>
  <si>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</si>
  <si>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</si>
  <si>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</si>
  <si>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</si>
  <si>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</si>
  <si>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</si>
  <si>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</si>
  <si>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</si>
  <si>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</si>
  <si>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</si>
  <si>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3c) Project:</t>
  </si>
  <si>
    <t>3d) Project:</t>
  </si>
  <si>
    <t>3e) Project:</t>
  </si>
  <si>
    <t>3f) Project:</t>
  </si>
  <si>
    <t>Unload</t>
  </si>
  <si>
    <t>3g) Project:</t>
  </si>
  <si>
    <t>3h) Project:</t>
  </si>
  <si>
    <t>3i) Project:</t>
  </si>
  <si>
    <t>3j) Project:</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</si>
  <si>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</si>
  <si>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</si>
  <si>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</si>
  <si>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</si>
  <si>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</si>
  <si>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</si>
  <si>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</si>
  <si>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</si>
  <si>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</si>
  <si>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</si>
  <si>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</si>
  <si>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</si>
  <si>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</si>
  <si>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</si>
  <si>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</si>
  <si>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</si>
  <si>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</si>
  <si>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</si>
  <si>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</si>
  <si>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</si>
  <si>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</si>
  <si>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</si>
  <si>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</si>
  <si>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</si>
  <si>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</si>
  <si>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</si>
  <si>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</si>
  <si>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</si>
  <si>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</si>
  <si>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</si>
  <si>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</si>
  <si>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</si>
  <si>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</si>
  <si>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</si>
  <si>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</si>
  <si>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</si>
  <si>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</si>
  <si>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</si>
  <si>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</si>
  <si>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</si>
  <si>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</si>
  <si>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</si>
  <si>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</si>
  <si>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</si>
  <si>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</si>
  <si>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</si>
  <si>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</si>
  <si>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</si>
  <si>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</si>
  <si>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</si>
  <si>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</si>
  <si>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</si>
  <si>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</si>
  <si>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</si>
  <si>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</si>
  <si>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</si>
  <si>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</si>
  <si>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</si>
  <si>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</si>
  <si>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</si>
  <si>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</si>
  <si>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</si>
  <si>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</si>
  <si>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</si>
  <si>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</si>
  <si>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</si>
  <si>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</si>
  <si>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</si>
  <si>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</si>
  <si>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</si>
  <si>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</si>
  <si>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</si>
  <si>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</si>
  <si>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</si>
  <si>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</si>
  <si>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</si>
  <si>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</si>
  <si>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</si>
  <si>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</si>
  <si>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</si>
  <si>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</si>
  <si>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</si>
  <si>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</si>
  <si>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</si>
  <si>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</si>
  <si>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</si>
  <si>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</si>
  <si>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</si>
  <si>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</si>
  <si>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</si>
  <si>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</si>
  <si>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</si>
  <si>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</si>
  <si>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</si>
  <si>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</si>
  <si>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</si>
  <si>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</si>
  <si>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</si>
  <si>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</si>
  <si>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</si>
  <si>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</si>
  <si>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</si>
  <si>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</si>
  <si>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</si>
  <si>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</si>
  <si>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</si>
  <si>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</si>
  <si>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</si>
  <si>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</si>
  <si>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</si>
  <si>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</si>
  <si>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</si>
  <si>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</si>
  <si>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</si>
  <si>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</si>
  <si>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</si>
  <si>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</si>
  <si>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</si>
  <si>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</si>
  <si>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</si>
  <si>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</si>
  <si>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</si>
  <si>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</si>
  <si>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</si>
  <si>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</si>
  <si>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</si>
  <si>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</si>
  <si>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</si>
  <si>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</si>
  <si>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</si>
  <si>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</si>
  <si>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</si>
  <si>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</si>
  <si>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</si>
  <si>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</si>
  <si>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</si>
  <si>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</si>
  <si>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</si>
  <si>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</si>
  <si>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</si>
  <si>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</si>
  <si>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</si>
  <si>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</si>
  <si>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</si>
  <si>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</si>
  <si>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</si>
  <si>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</si>
  <si>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</si>
  <si>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</si>
  <si>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</si>
  <si>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</si>
  <si>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</si>
  <si>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</si>
  <si>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</si>
  <si>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</si>
  <si>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</si>
  <si>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</si>
  <si>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</si>
  <si>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</si>
  <si>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</si>
  <si>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</si>
  <si>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</si>
  <si>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</si>
  <si>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</si>
  <si>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</si>
  <si>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</si>
  <si>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</si>
  <si>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</si>
  <si>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</si>
  <si>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</si>
  <si>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</si>
  <si>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</si>
  <si>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</si>
  <si>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</si>
  <si>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</si>
  <si>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</si>
  <si>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</si>
  <si>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</si>
  <si>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</si>
  <si>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</si>
  <si>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</si>
  <si>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</si>
  <si>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</si>
  <si>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</si>
  <si>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</si>
  <si>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</si>
  <si>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</si>
  <si>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</si>
  <si>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</si>
  <si>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</si>
  <si>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</si>
  <si>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</si>
  <si>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</si>
  <si>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</si>
  <si>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</si>
  <si>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</si>
  <si>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</si>
  <si>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</si>
  <si>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</si>
  <si>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</si>
  <si>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</si>
  <si>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</si>
  <si>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</si>
  <si>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</si>
  <si>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</si>
  <si>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</si>
  <si>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</si>
  <si>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</si>
  <si>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</si>
  <si>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</si>
  <si>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</si>
  <si>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</si>
  <si>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</si>
  <si>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</si>
  <si>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</si>
  <si>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</si>
  <si>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</si>
  <si>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</si>
  <si>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</si>
  <si>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</si>
  <si>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</si>
  <si>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</si>
  <si>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</si>
  <si>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</si>
  <si>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</si>
  <si>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4o</t>
  </si>
  <si>
    <t>Conn-Charge - Residential</t>
  </si>
  <si>
    <t>4p</t>
  </si>
  <si>
    <t>Conn-Charge - Non-Residential</t>
  </si>
  <si>
    <t>4q</t>
  </si>
  <si>
    <t>Conn-Charge - At Pole</t>
  </si>
  <si>
    <t>6-PlantInService Line 15.</t>
  </si>
  <si>
    <t>6-PlantInService Line 16.</t>
  </si>
  <si>
    <t xml:space="preserve"> and the American Reinvestment Recovery Act for the Tehachapi Wind Energy Storage Project.</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</si>
  <si>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</si>
  <si>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</si>
  <si>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</si>
  <si>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</si>
  <si>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</si>
  <si>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</si>
  <si>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</si>
  <si>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</si>
  <si>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</si>
  <si>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</si>
  <si>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</si>
  <si>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</si>
  <si>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</si>
  <si>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</si>
  <si>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</si>
  <si>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</si>
  <si>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</si>
  <si>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</si>
  <si>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</si>
  <si>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</si>
  <si>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</si>
  <si>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</si>
  <si>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</si>
  <si>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</si>
  <si>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</si>
  <si>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</si>
  <si>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</si>
  <si>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</si>
  <si>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</si>
  <si>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</si>
  <si>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</si>
  <si>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</si>
  <si>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</si>
  <si>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</si>
  <si>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</si>
  <si>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</si>
  <si>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</si>
  <si>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</si>
  <si>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</si>
  <si>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</si>
  <si>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</si>
  <si>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</si>
  <si>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</si>
  <si>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</si>
  <si>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</si>
  <si>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</si>
  <si>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</si>
  <si>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</si>
  <si>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</si>
  <si>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</si>
  <si>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</si>
  <si>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</si>
  <si>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</si>
  <si>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</si>
  <si>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</si>
  <si>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</si>
  <si>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</si>
  <si>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t>15)  Applicable to time-of-use schedules within the GS-1 rate group</t>
  </si>
  <si>
    <t>from Line1:Col4</t>
  </si>
  <si>
    <t>= Col 7 + Col 8</t>
  </si>
  <si>
    <t>= Line35:(Col4*Col5/Col6*Col9)</t>
  </si>
  <si>
    <t>= Line35:(Col10 / total of Col10)</t>
  </si>
  <si>
    <t>Note 17</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</si>
  <si>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</si>
  <si>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</si>
  <si>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</si>
  <si>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</si>
  <si>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</si>
  <si>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</si>
  <si>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</si>
  <si>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</si>
  <si>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</si>
  <si>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</si>
  <si>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</si>
  <si>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</si>
  <si>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</si>
  <si>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</si>
  <si>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</si>
  <si>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</si>
  <si>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</si>
  <si>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</si>
  <si>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</si>
  <si>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</si>
  <si>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</si>
  <si>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</si>
  <si>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</si>
  <si>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</si>
  <si>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</si>
  <si>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</si>
  <si>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</si>
  <si>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</si>
  <si>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</si>
  <si>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</si>
  <si>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</si>
  <si>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</si>
  <si>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</si>
  <si>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</si>
  <si>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</si>
  <si>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</si>
  <si>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</si>
  <si>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</si>
  <si>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</si>
  <si>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</si>
  <si>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</si>
  <si>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</si>
  <si>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</si>
  <si>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</si>
  <si>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</si>
  <si>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</si>
  <si>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</si>
  <si>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</si>
  <si>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</si>
  <si>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</si>
  <si>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</si>
  <si>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</si>
  <si>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</si>
  <si>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</si>
  <si>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</si>
  <si>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</si>
  <si>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</si>
  <si>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</si>
  <si>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</si>
  <si>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</si>
  <si>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</si>
  <si>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</si>
  <si>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</si>
  <si>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</si>
  <si>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</si>
  <si>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</si>
  <si>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</si>
  <si>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</si>
  <si>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</si>
  <si>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</si>
  <si>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</si>
  <si>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</si>
  <si>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</si>
  <si>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</si>
  <si>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</si>
  <si>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</si>
  <si>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</si>
  <si>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</si>
  <si>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</si>
  <si>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</si>
  <si>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</si>
  <si>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</si>
  <si>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</si>
  <si>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</si>
  <si>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</si>
  <si>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</si>
  <si>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</si>
  <si>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</si>
  <si>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</si>
  <si>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</si>
  <si>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</si>
  <si>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</si>
  <si>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</si>
  <si>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</si>
  <si>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</si>
  <si>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</si>
  <si>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d) South of Kramer</t>
  </si>
  <si>
    <t>e) West of Devers</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</si>
  <si>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</si>
  <si>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</si>
  <si>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</si>
  <si>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</si>
  <si>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</si>
  <si>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</si>
  <si>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</si>
  <si>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</si>
  <si>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</si>
  <si>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</si>
  <si>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</si>
  <si>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</si>
  <si>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</si>
  <si>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</si>
  <si>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</si>
  <si>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</si>
  <si>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</si>
  <si>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</si>
  <si>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</si>
  <si>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</si>
  <si>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</si>
  <si>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</si>
  <si>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</si>
  <si>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</si>
  <si>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</si>
  <si>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</si>
  <si>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</si>
  <si>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</si>
  <si>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</si>
  <si>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</si>
  <si>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</si>
  <si>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</si>
  <si>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</si>
  <si>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</si>
  <si>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</si>
  <si>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</si>
  <si>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</si>
  <si>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</si>
  <si>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</si>
  <si>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</si>
  <si>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</si>
  <si>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</si>
  <si>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</si>
  <si>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</si>
  <si>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</si>
  <si>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</si>
  <si>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</si>
  <si>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</si>
  <si>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</si>
  <si>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</si>
  <si>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</si>
  <si>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</si>
  <si>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</si>
  <si>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</si>
  <si>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</si>
  <si>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</si>
  <si>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</si>
  <si>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</si>
  <si>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</si>
  <si>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</si>
  <si>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</si>
  <si>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a) Line Miles</t>
  </si>
  <si>
    <t>b) Underground Line Miles</t>
  </si>
  <si>
    <t>c) Circuit Breakers</t>
  </si>
  <si>
    <t>d) Distribution Circuit Breakers</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</si>
  <si>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</si>
  <si>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</si>
  <si>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</si>
  <si>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</si>
  <si>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</si>
  <si>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</si>
  <si>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</si>
  <si>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 xml:space="preserve">to a Section 205 or 206 filing.  </t>
  </si>
  <si>
    <t>100%</t>
  </si>
  <si>
    <t>0%</t>
  </si>
  <si>
    <t>6)  See Column 9 for references to source of each  Percent ISO.</t>
  </si>
  <si>
    <t xml:space="preserve">a filing at the Commission.  Investment Tax Credit Flowed Through amount shall be negative $520,000 through the Prior Year of 2018, </t>
  </si>
  <si>
    <t>negative $183,000 for the Prior Year of 2019, and $0 thereafter.</t>
  </si>
  <si>
    <t>= Prior Month C9
 - C4 + C8</t>
  </si>
  <si>
    <t>Previous Annual Update:</t>
  </si>
  <si>
    <t>Instruction 3: Classify any ADIT line items relating to refunding and retirement of debt as Plant related (Column 5).</t>
  </si>
  <si>
    <t>a) Depreciation Expense (on Lines 27 to 38) for the same month;</t>
  </si>
  <si>
    <t>1/8 (O&amp;M + A&amp;G)</t>
  </si>
  <si>
    <t>Mesa</t>
  </si>
  <si>
    <t>Alberhill</t>
  </si>
  <si>
    <t>8) Mesa</t>
  </si>
  <si>
    <t>9) Alberhill</t>
  </si>
  <si>
    <t>10) ELM Series Caps</t>
  </si>
  <si>
    <t>3k) Project:</t>
  </si>
  <si>
    <t>FF1 322.156b</t>
  </si>
  <si>
    <t>Mesa:</t>
  </si>
  <si>
    <t>Alberhill:</t>
  </si>
  <si>
    <t>ELM Series Caps: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</si>
  <si>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</si>
  <si>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</si>
  <si>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</si>
  <si>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</si>
  <si>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</si>
  <si>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</si>
  <si>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</si>
  <si>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</si>
  <si>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</si>
  <si>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 xml:space="preserve">                                                                                                                                                                                                                                                                                                                </t>
  </si>
  <si>
    <t>12eee</t>
  </si>
  <si>
    <t>Power Quality C&amp;I Customer Program</t>
  </si>
  <si>
    <t xml:space="preserve">calculated by this formula shall be entered as a One Time Adjustment on Schedule 3, ensuring that </t>
  </si>
  <si>
    <r>
      <t>3) No change in the South Georgia Income Tax Adjustment "Credits and Other" term</t>
    </r>
    <r>
      <rPr>
        <sz val="10"/>
        <rFont val="Arial"/>
        <family val="2"/>
      </rPr>
      <t xml:space="preserve"> will be made absent </t>
    </r>
  </si>
  <si>
    <t>Note 1, Note 4</t>
  </si>
  <si>
    <t>Transportation Electrification (TE) Energy Charge - $/kWh</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</si>
  <si>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</si>
  <si>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</si>
  <si>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</si>
  <si>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</si>
  <si>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Note 18</t>
  </si>
  <si>
    <t>Pump Load True-Up:</t>
  </si>
  <si>
    <t>4) The Pump Load True-Up value is equal to actual recorded less forecast Pump Load for the Prior Year.</t>
  </si>
  <si>
    <t>Line 1 + Line 2 + Line 3</t>
  </si>
  <si>
    <t>FF1 117.64c</t>
  </si>
  <si>
    <t>the Formula Rate Spreadsheet in effect during the Prior Year.</t>
  </si>
  <si>
    <t>Depreciation Rates (Percent per year)  See Instruction 1.</t>
  </si>
  <si>
    <t>1) Depreciation rates on lines 17a-17m are input based on the stated values of ISO Transmission Plant depreciation rates from Schedule 18 of</t>
  </si>
  <si>
    <t xml:space="preserve">ISO Transmission Wages and Salaries </t>
  </si>
  <si>
    <t xml:space="preserve">1) Includes any Unfunded Reserves relating to accrued expenses included in Account 925 “Injuries and Damages”, </t>
  </si>
  <si>
    <t>reduced for any expected offsetting payments.</t>
  </si>
  <si>
    <t>Total all Substations (L7 + L8 + L9)</t>
  </si>
  <si>
    <t>Total Transmission Lines (L2 + L3):</t>
  </si>
  <si>
    <r>
      <t>13) For optional time-of-use schedules within the GS-1 rate group (Line16b:Col6), = (Line1b</t>
    </r>
    <r>
      <rPr>
        <vertAlign val="subscript"/>
        <sz val="10"/>
        <rFont val="Arial"/>
        <family val="2"/>
      </rPr>
      <t>2</t>
    </r>
    <r>
      <rPr>
        <sz val="10"/>
        <rFont val="Arial"/>
        <family val="2"/>
      </rPr>
      <t>:Col11 - Line16:Col3) / Line1b:Col12 / 10^3</t>
    </r>
  </si>
  <si>
    <t>State</t>
  </si>
  <si>
    <t>14) For the non TOU-8-Standby rate group, it is the minimum of Line16i:Col7, or the total demand rate in Line1:Col10</t>
  </si>
  <si>
    <t>g) Whirlwind Substation Expansion</t>
  </si>
  <si>
    <t>k) ELM Series Caps</t>
  </si>
  <si>
    <t>FF1 263.1, Row 13, Column i</t>
  </si>
  <si>
    <t>FF1 263, Row 6, Column i</t>
  </si>
  <si>
    <t>FF1 263, Row 7, Column i</t>
  </si>
  <si>
    <t>FF1 263, Row 8, Column i</t>
  </si>
  <si>
    <t>FF1 263, Row 24, Column i</t>
  </si>
  <si>
    <t>FF1 263, Row 9, Column i</t>
  </si>
  <si>
    <t>FF1 263, Row 29, Column i</t>
  </si>
  <si>
    <t>FF1 263, Row 28, Column i</t>
  </si>
  <si>
    <t>NEM 2.0</t>
  </si>
  <si>
    <t>10aa</t>
  </si>
  <si>
    <t xml:space="preserve">Minimum Common Stock Capital Percentage (Docket No. ER19-1553) </t>
  </si>
  <si>
    <t>Prior Year Incentive Adder Reversal</t>
  </si>
  <si>
    <t>39a</t>
  </si>
  <si>
    <t>True Up Incentive Adder Reversal</t>
  </si>
  <si>
    <t>Negative of Line 39, Note 1</t>
  </si>
  <si>
    <t>1) True Up TRR Incentive Adder Reversal backs out the revenue requirement associated with any project-specific Incentive Adders</t>
  </si>
  <si>
    <t>(Line 39) for True Up Years during the term of the settlement of ER19-1553.</t>
  </si>
  <si>
    <t>5) Prior Year Incentive Adder Reversal backs out the revenue requirement associated with any project-specific Incentive Adders</t>
  </si>
  <si>
    <t>Calculation of Cost of Long-Term Debt</t>
  </si>
  <si>
    <t>Interest on Long-Term Debt -- Account 427</t>
  </si>
  <si>
    <t>FF1 117.62c</t>
  </si>
  <si>
    <t>Amortization of Debt Discount and Expense -- Account 428</t>
  </si>
  <si>
    <t>FF1 117.63c</t>
  </si>
  <si>
    <t>Amortization of Loss on Reacquired Debt -- Account 428.1</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</si>
  <si>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</si>
  <si>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</si>
  <si>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</si>
  <si>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</si>
  <si>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</si>
  <si>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</si>
  <si>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</si>
  <si>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</si>
  <si>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Cost of Preferred Stock</t>
  </si>
  <si>
    <t>Cost of Preferred Stock -- Account 437</t>
  </si>
  <si>
    <t xml:space="preserve">Enter positive </t>
  </si>
  <si>
    <t>FF1 118.29c</t>
  </si>
  <si>
    <t>Amortization of Net Gain (Loss)  From Purchases and Tender Offers</t>
  </si>
  <si>
    <t>Amortization Issuance Costs</t>
  </si>
  <si>
    <t xml:space="preserve"> Long Term Debt Advances from Associated Companies (Note 2a):</t>
  </si>
  <si>
    <t>Other Long Term Debt -- Account 224 (Note 3):</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</si>
  <si>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</si>
  <si>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</si>
  <si>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List associated securities, Face Amount, Issuance Date, Issuance Costs, Amortization Period, and Annual Amortization:</t>
  </si>
  <si>
    <t>Amortization</t>
  </si>
  <si>
    <t>Face</t>
  </si>
  <si>
    <t>Issuance</t>
  </si>
  <si>
    <t>Issue</t>
  </si>
  <si>
    <t>Date</t>
  </si>
  <si>
    <t>Costs</t>
  </si>
  <si>
    <t>(Years)</t>
  </si>
  <si>
    <t>Total Annual Amortization (sum of "Issues" listed above)</t>
  </si>
  <si>
    <t>List associated securities and event, Event Date, Amortization Amount, Amortization Period, and Annual Amortization:</t>
  </si>
  <si>
    <t>Event</t>
  </si>
  <si>
    <t>Issue/Event</t>
  </si>
  <si>
    <t>Total Annual Amortization (sum of "Issues/Events" listed above)</t>
  </si>
  <si>
    <t>DDSMS - Five Year</t>
  </si>
  <si>
    <t>Average of Line 5 and Line 10</t>
  </si>
  <si>
    <t>Account 254</t>
  </si>
  <si>
    <t>278.x Reference</t>
  </si>
  <si>
    <t>Account 182.3</t>
  </si>
  <si>
    <t>232.x Reference</t>
  </si>
  <si>
    <t>Enter FF1 Page 214 Line reference here when Line 4 is a non-zero amount:</t>
  </si>
  <si>
    <t>77a</t>
  </si>
  <si>
    <t>Negative of Line 77</t>
  </si>
  <si>
    <t>44a</t>
  </si>
  <si>
    <t>Workpaper:</t>
  </si>
  <si>
    <t>Workpaper for Line 23:</t>
  </si>
  <si>
    <t>Workpaper for Line 12:</t>
  </si>
  <si>
    <t>Workpapers for additional information:</t>
  </si>
  <si>
    <t xml:space="preserve">5) Only exclude if not already excluded in Schedule 20.  </t>
  </si>
  <si>
    <t>6) If appropriate, additional expenses may be excluded from the Wholesale Base TRR</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</si>
  <si>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</si>
  <si>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</si>
  <si>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See Instruction 6</t>
  </si>
  <si>
    <t>2) No Unfunded Reserve shall be included in Schedule 34 associated with any wildfire other than the 2017/18 Wildfire/Mudslide Events.</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</si>
  <si>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</si>
  <si>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</si>
  <si>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</si>
  <si>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Associated costs for other wildfire events are reflected in Schedule 20 "A&amp;G" and recovered on a cash basis (see Instruction 6 of Schedule 20).</t>
  </si>
  <si>
    <t xml:space="preserve">4) Includes recorded Transmission Plant-In-Service additions, retirements, transfers and adjustments.  Monthly differences from previous matrix. </t>
  </si>
  <si>
    <t xml:space="preserve">6) Monthly differences from previous matrix.  </t>
  </si>
  <si>
    <t>3) Reconciles to BOY and EOY FERC Form 1 (FF1 207, Lines 48-56 , Column g).  Workpaper:</t>
  </si>
  <si>
    <t>Amort of Debt Issuance Cost</t>
  </si>
  <si>
    <t>Executive Incentive Comp</t>
  </si>
  <si>
    <t>Bond Discount Amort</t>
  </si>
  <si>
    <t>Ins - Inj/Damages Prov</t>
  </si>
  <si>
    <t>Accrued Vacation</t>
  </si>
  <si>
    <t>Amortization of Debt Expense</t>
  </si>
  <si>
    <t>Pension &amp; PBOP</t>
  </si>
  <si>
    <t>EMS</t>
  </si>
  <si>
    <t>Refunding &amp; Retirement of Debt</t>
  </si>
  <si>
    <t>Health Care - IBNR</t>
  </si>
  <si>
    <t>Injuries and Damages - See Note 1 and Note 2</t>
  </si>
  <si>
    <t>i) Mesa</t>
  </si>
  <si>
    <t>j) Alberhill</t>
  </si>
  <si>
    <t>(Col 1)</t>
  </si>
  <si>
    <t>(Col 2)</t>
  </si>
  <si>
    <t>(Col 3)</t>
  </si>
  <si>
    <t>(Col 4)</t>
  </si>
  <si>
    <t>(Col 5)</t>
  </si>
  <si>
    <t>(Col 6)</t>
  </si>
  <si>
    <t>(Col 7)</t>
  </si>
  <si>
    <t>(Col 8)</t>
  </si>
  <si>
    <t>(Col 9)</t>
  </si>
  <si>
    <t>(Col 10)</t>
  </si>
  <si>
    <t>(Col 11)</t>
  </si>
  <si>
    <t xml:space="preserve"> = (C2) thru (C7)</t>
  </si>
  <si>
    <t>9-ADIT-3  (C8)</t>
  </si>
  <si>
    <t>= (C8) + (C9)</t>
  </si>
  <si>
    <t>`</t>
  </si>
  <si>
    <t>Beginning Deficient Def. Taxes - FERC Acct 182.3</t>
  </si>
  <si>
    <t>Beginning (Excess) Def. Taxes - FERC Acct 254</t>
  </si>
  <si>
    <t>Other Deficient ADIT Adjustments to FERC Acct 182.3</t>
  </si>
  <si>
    <t>Other Excess ADIT Adjustments to FERC Acct 254</t>
  </si>
  <si>
    <t>EDIT Amortization to FERC Acct 410.1</t>
  </si>
  <si>
    <t>EDIT Amortization to FERC Acct 411.1</t>
  </si>
  <si>
    <t>Net (Excess) Deficient Def. Taxes at Current Tax Rate</t>
  </si>
  <si>
    <t>Adjustment for New Tax Rate to FERC Acct 254/182.3</t>
  </si>
  <si>
    <t>Ending Deficient Def. Taxes - FERC Acct 182.3</t>
  </si>
  <si>
    <t>Ending (Excess) Def. Taxes - FERC Acct 254</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</si>
  <si>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</si>
  <si>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</si>
  <si>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</si>
  <si>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</si>
  <si>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</si>
  <si>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</si>
  <si>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</si>
  <si>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</si>
  <si>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</si>
  <si>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</si>
  <si>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</si>
  <si>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</si>
  <si>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</si>
  <si>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</si>
  <si>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</si>
  <si>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</si>
  <si>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</si>
  <si>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</si>
  <si>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</si>
  <si>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</si>
  <si>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</si>
  <si>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</si>
  <si>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</si>
  <si>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</si>
  <si>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</si>
  <si>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</si>
  <si>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</si>
  <si>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</si>
  <si>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</si>
  <si>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</si>
  <si>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</si>
  <si>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</si>
  <si>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</si>
  <si>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</si>
  <si>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3) Amortization subject to pending SCE private letter ruling request and/or IRS guidance developed from IRS Notice 2019-33.</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</si>
  <si>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</si>
  <si>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</si>
  <si>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</si>
  <si>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</si>
  <si>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New Rate:</t>
  </si>
  <si>
    <t>New Tax Rate Adjustment Calculation - Note 5</t>
  </si>
  <si>
    <t>(C3)xNew Rate</t>
  </si>
  <si>
    <t>= (C4) - (C5)</t>
  </si>
  <si>
    <t>9-ADIT-2  (C8)</t>
  </si>
  <si>
    <t>= (C6) - (C7)</t>
  </si>
  <si>
    <t>FERC Acct</t>
  </si>
  <si>
    <t>Accumulated Book-to-Tax Adjustments</t>
  </si>
  <si>
    <t>Accumulated DIT &amp; EDIT Balances</t>
  </si>
  <si>
    <t>Accumulated DIT Balance at New Tax Rate</t>
  </si>
  <si>
    <t>(Excess) Deficient Def. Taxes at New Tax Rate</t>
  </si>
  <si>
    <t>NET (Excess) Deficient Def. Taxes at Prior Tax Rate</t>
  </si>
  <si>
    <t>Adjustment for New Tax Rate</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</si>
  <si>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</si>
  <si>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</si>
  <si>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</si>
  <si>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</si>
  <si>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</si>
  <si>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</si>
  <si>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</si>
  <si>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Protected - Property Related </t>
  </si>
  <si>
    <t>(Excess)/Deficient Deferred Income Taxes - FERC Order 864 Worksheet</t>
  </si>
  <si>
    <t>Accumulated Deferred Income Taxes and Net (Excess)/Deficient Deferred Taxes</t>
  </si>
  <si>
    <t>1) Summary of Accumulated Deferred Income Taxes and Net (Excess)/Deficient Deferred Taxes</t>
  </si>
  <si>
    <t>a) End of Year Accumulated Deferred Income Taxes and Net (Excess)/Deficient Deferred Taxes</t>
  </si>
  <si>
    <t>c) Average of Beginning and End of Year Accumulated Deferred Income Taxes and Net (Excess)/Deficient Deferred Taxes</t>
  </si>
  <si>
    <t>b) Beginning of Year Accumulated Deferred Income Taxes and Net (Excess)/Deficient Deferred Taxes</t>
  </si>
  <si>
    <t>and Net (Excess)/Deficient Deferred Taxes</t>
  </si>
  <si>
    <t>BOY/EOY Average Balance:</t>
  </si>
  <si>
    <t>Net (Excess)/Deficient Deferred Tax Liability/Asset</t>
  </si>
  <si>
    <t>Amortization of Net (Excess)/Deficient Deferred Tax Liability Asset</t>
  </si>
  <si>
    <t>Accum Net ADIT (Liab)/Asset and Net (Excess)/Deficient ADIT Amounts</t>
  </si>
  <si>
    <t>Any other Base Transmission Revenue or refunds is included in "Other".</t>
  </si>
  <si>
    <t>10bb</t>
  </si>
  <si>
    <t>10cc</t>
  </si>
  <si>
    <t>Joint Pole - Tarriffed - PA Inspect</t>
  </si>
  <si>
    <t>Joint Pole - Non-Tarriff PA Inspect</t>
  </si>
  <si>
    <t>Gas Sales - ERRA</t>
  </si>
  <si>
    <t>Miscellaneous Electric Revenue - ERRA</t>
  </si>
  <si>
    <t>12fff</t>
  </si>
  <si>
    <t>12ggg</t>
  </si>
  <si>
    <t>15u</t>
  </si>
  <si>
    <t>RSR - Non-PTO's - RSBA</t>
  </si>
  <si>
    <t>15v</t>
  </si>
  <si>
    <t>Transmission Sales - ERRA</t>
  </si>
  <si>
    <t>4171022</t>
  </si>
  <si>
    <t>24p</t>
  </si>
  <si>
    <t>ECS - Interstate End User Tax Exempt</t>
  </si>
  <si>
    <t>24q</t>
  </si>
  <si>
    <t>ECS- EU USAC E-Rate</t>
  </si>
  <si>
    <t>3) True Up Adjustment</t>
  </si>
  <si>
    <t>4) Final True Up Adjustment</t>
  </si>
  <si>
    <t>7) Calculation of change in Non-Incentive ISO Plant:</t>
  </si>
  <si>
    <t>8) Other ISO Transmission Activity without Incentive Plant Activity (See Note 12):</t>
  </si>
  <si>
    <t>ELM</t>
  </si>
  <si>
    <t>Series Caps</t>
  </si>
  <si>
    <t>add additional projects below this line (See Instruction 3)</t>
  </si>
  <si>
    <t>2) Enter forecast project specific values on lines 55-79, 81-105, 107-131, 133-157, 159-183, 185-209, 211-235, 237-261, 263-287, 289-313, 315-339 ...</t>
  </si>
  <si>
    <t>4r</t>
  </si>
  <si>
    <t>4s</t>
  </si>
  <si>
    <t>4184515</t>
  </si>
  <si>
    <t>4186927</t>
  </si>
  <si>
    <t>AR Service Guarantee</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</si>
  <si>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</si>
  <si>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</si>
  <si>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</si>
  <si>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</si>
  <si>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</si>
  <si>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</si>
  <si>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4) Amount in Column 2 from FF1 112.3d, amount in Column 14 from FF1 112.3c, amounts in columns 3-13 from SCE internal records. </t>
  </si>
  <si>
    <t>5) Amounts in columns 2-14 are from SCE internal records.</t>
  </si>
  <si>
    <t>6) Amounts in columns 2-14 are from SCE internal records.</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</si>
  <si>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</si>
  <si>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</si>
  <si>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</si>
  <si>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2) Update Notes 5 and 6 as necessary.</t>
  </si>
  <si>
    <t>1) Total annual amortization associated with events listed in Note 6 on 5-ROR-2.</t>
  </si>
  <si>
    <t>2) Total annual amortization associated with preferred equity issues listed in Note 5 on 5-ROR-2.</t>
  </si>
  <si>
    <t>Recorded GWh (Average)</t>
  </si>
  <si>
    <t>Negative of 9-ADIT-2, Line 500, Column 7</t>
  </si>
  <si>
    <t>Does not include any project-specific ROE adders.  See Schedule 15 at Lines 31-39.</t>
  </si>
  <si>
    <t>(Line 77).  Applicable pursuant to settlement under ER19-1553.</t>
  </si>
  <si>
    <t>3l) Project:</t>
  </si>
  <si>
    <t>2) Sum of project specific values from lines 55-79, 81-105, 107-131, 133-157, 159-183, 185-209, 211-235, 237-261, 263-287, 289-313, 315-339, …</t>
  </si>
  <si>
    <t xml:space="preserve">TO2022 Draft Annual Update </t>
  </si>
  <si>
    <t>WP Schedule 3 One Time Adjustment - Prior Period</t>
  </si>
  <si>
    <t>WP Schedule 6&amp;8</t>
  </si>
  <si>
    <t>WP Schedule 6 Prior Year Corp OH Exp</t>
  </si>
  <si>
    <t>Dec 2019</t>
  </si>
  <si>
    <t>Jan 2020</t>
  </si>
  <si>
    <t>Feb 2020</t>
  </si>
  <si>
    <t>Mar 2020</t>
  </si>
  <si>
    <t>Apr 2020</t>
  </si>
  <si>
    <t>May 2020</t>
  </si>
  <si>
    <t>Jun 2020</t>
  </si>
  <si>
    <t>Jul 2020</t>
  </si>
  <si>
    <t>Aug 2020</t>
  </si>
  <si>
    <t>Sep 2020</t>
  </si>
  <si>
    <t>Oct 2020</t>
  </si>
  <si>
    <t>Nov 2020</t>
  </si>
  <si>
    <t>Dec 2020</t>
  </si>
  <si>
    <t>WP Schedule 7</t>
  </si>
  <si>
    <t>WP Schedule 10</t>
  </si>
  <si>
    <t>Riverside</t>
  </si>
  <si>
    <t>WP Schedules 10 &amp; 16</t>
  </si>
  <si>
    <t>Devers to Colorado River</t>
  </si>
  <si>
    <t>South of Kramer</t>
  </si>
  <si>
    <t>West of Devers</t>
  </si>
  <si>
    <t>Whirlwind Substation Expansion</t>
  </si>
  <si>
    <t>Colorado River Substation Expansion</t>
  </si>
  <si>
    <t>ELM Series Caps</t>
  </si>
  <si>
    <t>WP Schedule 14 Incentive Plant</t>
  </si>
  <si>
    <t>11) Riverside</t>
  </si>
  <si>
    <t>l) Riverside</t>
  </si>
  <si>
    <t>m)</t>
  </si>
  <si>
    <t>A) Rancho Vista Incentives Received:</t>
  </si>
  <si>
    <t>Cite:</t>
  </si>
  <si>
    <t>CWIP:</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</si>
  <si>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</si>
  <si>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</si>
  <si>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</si>
  <si>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</si>
  <si>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</si>
  <si>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</si>
  <si>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</si>
  <si>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</si>
  <si>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</si>
  <si>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</si>
  <si>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</si>
  <si>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</si>
  <si>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</si>
  <si>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</si>
  <si>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</si>
  <si>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</si>
  <si>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</si>
  <si>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</si>
  <si>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</si>
  <si>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</si>
  <si>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</si>
  <si>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</si>
  <si>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</si>
  <si>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</si>
  <si>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</si>
  <si>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</si>
  <si>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</si>
  <si>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</si>
  <si>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</si>
  <si>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M) Riverside</t>
  </si>
  <si>
    <t>172 FERC ¶ 61,241 at P 31</t>
  </si>
  <si>
    <t>172 FERC ¶ 61,241 at P 26</t>
  </si>
  <si>
    <t>N) Future Incentive Projects:</t>
  </si>
  <si>
    <t>WP Schedule 19 O&amp;M Cost Detail</t>
  </si>
  <si>
    <t>4t</t>
  </si>
  <si>
    <t>4184533</t>
  </si>
  <si>
    <t>Rule 21 Fast Track Application Fee</t>
  </si>
  <si>
    <t>12hhh</t>
  </si>
  <si>
    <t>4186119</t>
  </si>
  <si>
    <t>PUCRF Rate Adjustment - Electric</t>
  </si>
  <si>
    <t>12iii</t>
  </si>
  <si>
    <t>4186188</t>
  </si>
  <si>
    <t>Utility Earnings - Mono Power Co</t>
  </si>
  <si>
    <t>15w</t>
  </si>
  <si>
    <t>4171032</t>
  </si>
  <si>
    <t>Transmission Sales - PABA</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</si>
  <si>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</si>
  <si>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</si>
  <si>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</si>
  <si>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</si>
  <si>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</si>
  <si>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</si>
  <si>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</si>
  <si>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</si>
  <si>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</si>
  <si>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</si>
  <si>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</si>
  <si>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</si>
  <si>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</si>
  <si>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</si>
  <si>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</si>
  <si>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</si>
  <si>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</si>
  <si>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 xml:space="preserve">WP Schedule 22 </t>
  </si>
  <si>
    <t>Riverside:</t>
  </si>
  <si>
    <t>WP Schedule 25 Wholesale Difference</t>
  </si>
  <si>
    <t>Internal Revenue Code § 11.b</t>
  </si>
  <si>
    <t>California Rev. &amp; Tax. Cd. § 23151</t>
  </si>
  <si>
    <t>WP Schedule 27 ISO Allocators</t>
  </si>
  <si>
    <t>Present</t>
  </si>
  <si>
    <t>CPUC D. 19-05-20</t>
  </si>
  <si>
    <t>2018 – 2020</t>
  </si>
  <si>
    <t>TO2021, Docket No. ER19-1553</t>
  </si>
  <si>
    <t>Settlement of TO2019A (ER19-1553)</t>
  </si>
  <si>
    <t>169 FERC ¶ 61,177</t>
  </si>
  <si>
    <t>FF 278.6, Line 8f</t>
  </si>
  <si>
    <t>FF 232.11, Line 3f</t>
  </si>
  <si>
    <t>WP Schedule 13 Working Capital</t>
  </si>
  <si>
    <t>FF1 278.x and 232.x, see reference to right and Note 1</t>
  </si>
  <si>
    <t xml:space="preserve">1) The net excess/deficiency is derived from the net difference arising in the asset Account 182.3 offset by the balance in liability Account 254.          </t>
  </si>
  <si>
    <t>Docket No. ER21-1521</t>
  </si>
  <si>
    <t xml:space="preserve">2021 TRBAA </t>
  </si>
  <si>
    <t xml:space="preserve"> ER21-261</t>
  </si>
  <si>
    <t>Line 17, column 3</t>
  </si>
  <si>
    <t xml:space="preserve">Alberhill </t>
  </si>
  <si>
    <t>Sub</t>
  </si>
  <si>
    <t xml:space="preserve"> SCE records</t>
  </si>
  <si>
    <t>Docket No. ER19-1553</t>
  </si>
  <si>
    <t>Executive Incentive Plan</t>
  </si>
  <si>
    <t>Wildfire Reserve - Pre-2019</t>
  </si>
  <si>
    <t>Wildfire Reserve - Post 2018</t>
  </si>
  <si>
    <t>Decommissioning</t>
  </si>
  <si>
    <t>Balancing Accounts</t>
  </si>
  <si>
    <t>Property/Non-ISO</t>
  </si>
  <si>
    <t>Regulatory Assets/Liab</t>
  </si>
  <si>
    <t>Temp - Other/Non-ISO</t>
  </si>
  <si>
    <t>Net Operating Losses DTA</t>
  </si>
  <si>
    <t>C: Relates primarily to Regulated Electric Property</t>
  </si>
  <si>
    <t>C: Relates to employees in all functions</t>
  </si>
  <si>
    <t>Follows tax treatment</t>
  </si>
  <si>
    <t>Relates to Nuclear Decommissioning Costs</t>
  </si>
  <si>
    <t>Relates Entirely to CPUC Balancing Account Recovery</t>
  </si>
  <si>
    <t>Non-Rate Base Property</t>
  </si>
  <si>
    <t xml:space="preserve">Relates to Nonrecovery Balancing Account  </t>
  </si>
  <si>
    <t>Not Component of Rate Base</t>
  </si>
  <si>
    <t xml:space="preserve">NOL/DTA </t>
  </si>
  <si>
    <t>Temp - Other/Non-ISO - Gas</t>
  </si>
  <si>
    <t>Other Non-ISO Related Costs</t>
  </si>
  <si>
    <t>Temp - Other/Non-ISO - Other</t>
  </si>
  <si>
    <t>Property/Non-ISO - Gas</t>
  </si>
  <si>
    <t>Property/Non-ISO - Other</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</si>
  <si>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</si>
  <si>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</si>
  <si>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</si>
  <si>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</si>
  <si>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</si>
  <si>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</si>
  <si>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</si>
  <si>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Gas Related Costs</t>
  </si>
  <si>
    <t>Ad Valorem Lien Date Adj-Electric</t>
  </si>
  <si>
    <t>Relates Entirely to CPUC Regulated Property</t>
  </si>
  <si>
    <t>Relates Entirely to FERC Regulated Electric Property</t>
  </si>
  <si>
    <t>C: Relates to Regulated Electric Property</t>
  </si>
  <si>
    <t xml:space="preserve"> -   </t>
  </si>
  <si>
    <t>WP Schedule 9-EDIT and Amortization</t>
  </si>
  <si>
    <t>WP Schedule 34 Unfunded Reserve and Wildfire</t>
  </si>
  <si>
    <t>Schedule 28 - Workpaper Line 10</t>
  </si>
  <si>
    <t>Schedule 28 - Workpaper Line 11</t>
  </si>
  <si>
    <t>Series E 6.250%</t>
  </si>
  <si>
    <t>Series G 5.1%</t>
  </si>
  <si>
    <t>Series H 5.75%</t>
  </si>
  <si>
    <t>Series J 5.375%</t>
  </si>
  <si>
    <t>Series K 5.45%</t>
  </si>
  <si>
    <t>Series L 5.00%</t>
  </si>
  <si>
    <t>12.000% Preferred, redemption</t>
  </si>
  <si>
    <t>Series B</t>
  </si>
  <si>
    <t>Series C</t>
  </si>
  <si>
    <t>Series D</t>
  </si>
  <si>
    <t>Series F</t>
  </si>
  <si>
    <t>4.08%, 4.24%, 4.32%, and 4.78% Preferred Stock Series</t>
  </si>
  <si>
    <t>Redeemed by Series G</t>
  </si>
  <si>
    <t>Redeemed by Series K</t>
  </si>
  <si>
    <t>WP Schedule 5 ROR-2</t>
  </si>
  <si>
    <t>4u</t>
  </si>
  <si>
    <t>WDAT Pre Application Fee</t>
  </si>
  <si>
    <t>4v</t>
  </si>
  <si>
    <t>Rule 21 Pre Application Fee</t>
  </si>
  <si>
    <t>4w</t>
  </si>
  <si>
    <t>WDAT Fast Track Application Fee</t>
  </si>
  <si>
    <t>4x</t>
  </si>
  <si>
    <t>Rule 21 Supplemental Rewview Fee</t>
  </si>
  <si>
    <t>APS Palo Verde Water Sales</t>
  </si>
  <si>
    <t>Sales of Water &amp; Water Power - San Joaquin</t>
  </si>
  <si>
    <t>10dd</t>
  </si>
  <si>
    <t>Non-606 Def Operating Land &amp; Fac Rent Rev-Pass</t>
  </si>
  <si>
    <t>10ee</t>
  </si>
  <si>
    <t>Nonoperating Land &amp; Facilities Rent Expense</t>
  </si>
  <si>
    <t>CPUC D. 19-05-020</t>
  </si>
  <si>
    <t>12jjj</t>
  </si>
  <si>
    <t>Energy Reltd Srvcs-Tehachapi Storage Project (TSP)</t>
  </si>
  <si>
    <t>7a</t>
  </si>
  <si>
    <t>7b</t>
  </si>
  <si>
    <t>WP Schedule 20</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</si>
  <si>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</si>
  <si>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</si>
  <si>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</si>
  <si>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</si>
  <si>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</si>
  <si>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</si>
  <si>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</si>
  <si>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</si>
  <si>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</si>
  <si>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</si>
  <si>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</si>
  <si>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</si>
  <si>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</si>
  <si>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</si>
  <si>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</si>
  <si>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</si>
  <si>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</si>
  <si>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</si>
  <si>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</si>
  <si>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</si>
  <si>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</si>
  <si>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</si>
  <si>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</si>
  <si>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</si>
  <si>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</si>
  <si>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</si>
  <si>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</si>
  <si>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</si>
  <si>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Redemption of 4.08%, 4.24%, 4.32%  and 4.78% in the amount of $120,000,000 in August 2020</t>
  </si>
  <si>
    <t>Series G - Pro Rata Issuance Costs</t>
  </si>
  <si>
    <t>Partial redemption of $180,000,000 in September 2020</t>
  </si>
  <si>
    <t xml:space="preserve">Pro rata portion of unamortized issuance costs associated with redeemed portion to be amortized </t>
  </si>
  <si>
    <t>as part of Net Gain (Loss) From Purchase and Tender Offers.</t>
  </si>
  <si>
    <t>Updated 4/11/18 from 120 mos to 360 mos because this is a fixed security.</t>
  </si>
  <si>
    <t>WP Schedule 28 FFU</t>
  </si>
  <si>
    <t>WP Schedule 1</t>
  </si>
  <si>
    <t>WP Schedule 32 Load &amp; Pump Load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</si>
</sst>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sz val="22"/>
      <name val="Arial"/>
      <family val="2"/>
    </font>
    <font>
      <b/>
      <u/>
      <sz val="10"/>
      <color rgb="FFFF0000"/>
      <name val="Arial"/>
      <family val="2"/>
    </font>
    <font>
      <u/>
      <sz val="10"/>
      <color rgb="FFFF0000"/>
      <name val="Calibri"/>
      <family val="2"/>
      <scheme val="minor"/>
    </font>
    <font>
      <u/>
      <sz val="10"/>
      <color theme="1"/>
      <name val="Calibri"/>
      <family val="2"/>
      <scheme val="minor"/>
    </font>
    <font>
      <b/>
      <sz val="10"/>
      <name val="Calibri"/>
      <family val="2"/>
      <scheme val="minor"/>
    </font>
    <font>
      <b/>
      <u/>
      <sz val="10"/>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
      <u/>
      <sz val="11"/>
      <color theme="1"/>
      <name val="Calibri"/>
      <family val="2"/>
      <scheme val="minor"/>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9">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53897">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1" fillId="0" borderId="0"/>
    <xf numFmtId="9" fontId="21" fillId="0" borderId="0" applyFont="0" applyFill="0" applyBorder="0" applyAlignment="0" applyProtection="0"/>
    <xf numFmtId="9" fontId="44" fillId="0" borderId="0" applyFont="0" applyFill="0" applyBorder="0" applyAlignment="0" applyProtection="0"/>
    <xf numFmtId="9" fontId="24"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4" fillId="0" borderId="0"/>
    <xf numFmtId="0" fontId="44" fillId="0" borderId="0"/>
    <xf numFmtId="0" fontId="44" fillId="0" borderId="0"/>
    <xf numFmtId="0" fontId="44" fillId="0" borderId="0"/>
    <xf numFmtId="0" fontId="44" fillId="0" borderId="0"/>
    <xf numFmtId="43" fontId="54"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2" fillId="0" borderId="0"/>
    <xf numFmtId="0" fontId="73"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8" fillId="0" borderId="0" applyFont="0" applyFill="0" applyBorder="0" applyAlignment="0" applyProtection="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93" fillId="0" borderId="29" applyBorder="0">
      <alignment horizontal="left"/>
    </xf>
    <xf numFmtId="184" fontId="93" fillId="0" borderId="29"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8" fillId="70" borderId="0" applyNumberFormat="0" applyBorder="0" applyAlignment="0" applyProtection="0"/>
    <xf numFmtId="187" fontId="41" fillId="27" borderId="0" applyNumberFormat="0" applyBorder="0" applyAlignment="0" applyProtection="0"/>
    <xf numFmtId="184" fontId="41" fillId="27"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8" fillId="2"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8" fillId="71" borderId="0" applyNumberFormat="0" applyBorder="0" applyAlignment="0" applyProtection="0"/>
    <xf numFmtId="187" fontId="41" fillId="26" borderId="0" applyNumberFormat="0" applyBorder="0" applyAlignment="0" applyProtection="0"/>
    <xf numFmtId="184" fontId="41" fillId="26"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8" fillId="72" borderId="0" applyNumberFormat="0" applyBorder="0" applyAlignment="0" applyProtection="0"/>
    <xf numFmtId="187" fontId="41" fillId="32" borderId="0" applyNumberFormat="0" applyBorder="0" applyAlignment="0" applyProtection="0"/>
    <xf numFmtId="184" fontId="41" fillId="3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8" fillId="73" borderId="0" applyNumberFormat="0" applyBorder="0" applyAlignment="0" applyProtection="0"/>
    <xf numFmtId="187" fontId="41" fillId="3" borderId="0" applyNumberFormat="0" applyBorder="0" applyAlignment="0" applyProtection="0"/>
    <xf numFmtId="184" fontId="41" fillId="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8" fillId="74" borderId="0" applyNumberFormat="0" applyBorder="0" applyAlignment="0" applyProtection="0"/>
    <xf numFmtId="187" fontId="41" fillId="2" borderId="0" applyNumberFormat="0" applyBorder="0" applyAlignment="0" applyProtection="0"/>
    <xf numFmtId="184" fontId="41" fillId="2"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8" fillId="4"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8" fillId="5" borderId="0" applyNumberFormat="0" applyBorder="0" applyAlignment="0" applyProtection="0"/>
    <xf numFmtId="187" fontId="41" fillId="15" borderId="0" applyNumberFormat="0" applyBorder="0" applyAlignment="0" applyProtection="0"/>
    <xf numFmtId="184" fontId="41" fillId="1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8" fillId="72" borderId="0" applyNumberFormat="0" applyBorder="0" applyAlignment="0" applyProtection="0"/>
    <xf numFmtId="187" fontId="41" fillId="75" borderId="0" applyNumberFormat="0" applyBorder="0" applyAlignment="0" applyProtection="0"/>
    <xf numFmtId="184" fontId="41" fillId="75"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8" fillId="6" borderId="0" applyNumberFormat="0" applyBorder="0" applyAlignment="0" applyProtection="0"/>
    <xf numFmtId="187" fontId="41" fillId="74" borderId="0" applyNumberFormat="0" applyBorder="0" applyAlignment="0" applyProtection="0"/>
    <xf numFmtId="184" fontId="41" fillId="74"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0"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7" fontId="94" fillId="31"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184" fontId="94" fillId="31" borderId="0" applyNumberFormat="0" applyBorder="0" applyAlignment="0" applyProtection="0"/>
    <xf numFmtId="0" fontId="39" fillId="76"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9" fillId="76"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48" borderId="0" applyNumberFormat="0" applyBorder="0" applyAlignment="0" applyProtection="0"/>
    <xf numFmtId="182" fontId="88" fillId="48"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0"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7" fontId="94"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94" fillId="4" borderId="0" applyNumberFormat="0" applyBorder="0" applyAlignment="0" applyProtection="0"/>
    <xf numFmtId="0" fontId="39"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9"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88" fillId="52" borderId="0" applyNumberFormat="0" applyBorder="0" applyAlignment="0" applyProtection="0"/>
    <xf numFmtId="182" fontId="88" fillId="52"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0"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7" fontId="94" fillId="15"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184" fontId="94" fillId="15" borderId="0" applyNumberFormat="0" applyBorder="0" applyAlignment="0" applyProtection="0"/>
    <xf numFmtId="0" fontId="39" fillId="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9" fillId="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88" fillId="56" borderId="0" applyNumberFormat="0" applyBorder="0" applyAlignment="0" applyProtection="0"/>
    <xf numFmtId="182" fontId="88" fillId="56"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0"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94" fillId="75"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94" fillId="75" borderId="0" applyNumberFormat="0" applyBorder="0" applyAlignment="0" applyProtection="0"/>
    <xf numFmtId="0" fontId="39" fillId="77"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9" fillId="77"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88" fillId="60" borderId="0" applyNumberFormat="0" applyBorder="0" applyAlignment="0" applyProtection="0"/>
    <xf numFmtId="182" fontId="88" fillId="60"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0"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94" fillId="3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94" fillId="31" borderId="0" applyNumberFormat="0" applyBorder="0" applyAlignment="0" applyProtection="0"/>
    <xf numFmtId="0" fontId="39" fillId="78"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9" fillId="78"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64" borderId="0" applyNumberFormat="0" applyBorder="0" applyAlignment="0" applyProtection="0"/>
    <xf numFmtId="182" fontId="88" fillId="6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0"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7" fontId="94" fillId="7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184" fontId="94" fillId="74" borderId="0" applyNumberFormat="0" applyBorder="0" applyAlignment="0" applyProtection="0"/>
    <xf numFmtId="0" fontId="39" fillId="7"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9" fillId="7"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88" fillId="68" borderId="0" applyNumberFormat="0" applyBorder="0" applyAlignment="0" applyProtection="0"/>
    <xf numFmtId="182" fontId="88" fillId="68" borderId="0" applyNumberFormat="0" applyBorder="0" applyAlignment="0" applyProtection="0"/>
    <xf numFmtId="184" fontId="38" fillId="8" borderId="0" applyNumberFormat="0" applyBorder="0" applyAlignment="0" applyProtection="0"/>
    <xf numFmtId="182" fontId="38" fillId="79"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79" borderId="0" applyNumberFormat="0" applyBorder="0" applyAlignment="0" applyProtection="0"/>
    <xf numFmtId="183" fontId="38" fillId="79" borderId="0" applyNumberFormat="0" applyBorder="0" applyAlignment="0" applyProtection="0"/>
    <xf numFmtId="183"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9" borderId="0" applyNumberFormat="0" applyBorder="0" applyAlignment="0" applyProtection="0"/>
    <xf numFmtId="182" fontId="38" fillId="1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2" fontId="39" fillId="80" borderId="0" applyNumberFormat="0" applyBorder="0" applyAlignment="0" applyProtection="0"/>
    <xf numFmtId="0"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7"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4"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7"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8" fillId="12" borderId="0" applyNumberFormat="0" applyBorder="0" applyAlignment="0" applyProtection="0"/>
    <xf numFmtId="182" fontId="38" fillId="83" borderId="0" applyNumberFormat="0" applyBorder="0" applyAlignment="0" applyProtection="0"/>
    <xf numFmtId="0"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3" borderId="0" applyNumberFormat="0" applyBorder="0" applyAlignment="0" applyProtection="0"/>
    <xf numFmtId="182" fontId="38" fillId="17"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1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3" borderId="0" applyNumberFormat="0" applyBorder="0" applyAlignment="0" applyProtection="0"/>
    <xf numFmtId="183" fontId="39" fillId="13" borderId="0" applyNumberFormat="0" applyBorder="0" applyAlignment="0" applyProtection="0"/>
    <xf numFmtId="184" fontId="39" fillId="13" borderId="0" applyNumberFormat="0" applyBorder="0" applyAlignment="0" applyProtection="0"/>
    <xf numFmtId="184" fontId="39" fillId="13"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4"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7"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8" fillId="16" borderId="0" applyNumberFormat="0" applyBorder="0" applyAlignment="0" applyProtection="0"/>
    <xf numFmtId="182" fontId="38" fillId="85"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5" borderId="0" applyNumberFormat="0" applyBorder="0" applyAlignment="0" applyProtection="0"/>
    <xf numFmtId="183" fontId="38" fillId="85" borderId="0" applyNumberFormat="0" applyBorder="0" applyAlignment="0" applyProtection="0"/>
    <xf numFmtId="183"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7" borderId="0" applyNumberFormat="0" applyBorder="0" applyAlignment="0" applyProtection="0"/>
    <xf numFmtId="182" fontId="38" fillId="86"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6"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2" fontId="39" fillId="8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87" borderId="0" applyNumberFormat="0" applyBorder="0" applyAlignment="0" applyProtection="0"/>
    <xf numFmtId="183" fontId="39" fillId="87" borderId="0" applyNumberFormat="0" applyBorder="0" applyAlignment="0" applyProtection="0"/>
    <xf numFmtId="184" fontId="39" fillId="87" borderId="0" applyNumberFormat="0" applyBorder="0" applyAlignment="0" applyProtection="0"/>
    <xf numFmtId="184" fontId="39" fillId="8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88" fillId="53" borderId="0" applyNumberFormat="0" applyBorder="0" applyAlignment="0" applyProtection="0"/>
    <xf numFmtId="184" fontId="88" fillId="53"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4"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8" fillId="17" borderId="0" applyNumberFormat="0" applyBorder="0" applyAlignment="0" applyProtection="0"/>
    <xf numFmtId="182" fontId="38" fillId="8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2" fontId="38" fillId="14"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2" fontId="39" fillId="1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7" borderId="0" applyNumberFormat="0" applyBorder="0" applyAlignment="0" applyProtection="0"/>
    <xf numFmtId="183" fontId="39" fillId="17" borderId="0" applyNumberFormat="0" applyBorder="0" applyAlignment="0" applyProtection="0"/>
    <xf numFmtId="184" fontId="39" fillId="17" borderId="0" applyNumberFormat="0" applyBorder="0" applyAlignment="0" applyProtection="0"/>
    <xf numFmtId="184" fontId="39" fillId="1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88" fillId="57" borderId="0" applyNumberFormat="0" applyBorder="0" applyAlignment="0" applyProtection="0"/>
    <xf numFmtId="184" fontId="88" fillId="57"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4"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8" fillId="8" borderId="0" applyNumberFormat="0" applyBorder="0" applyAlignment="0" applyProtection="0"/>
    <xf numFmtId="182" fontId="38" fillId="16"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2" fontId="38" fillId="9" borderId="0" applyNumberFormat="0" applyBorder="0" applyAlignment="0" applyProtection="0"/>
    <xf numFmtId="182" fontId="39" fillId="80" borderId="0" applyNumberFormat="0" applyBorder="0" applyAlignment="0" applyProtection="0"/>
    <xf numFmtId="0"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7"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88" fillId="61" borderId="0" applyNumberFormat="0" applyBorder="0" applyAlignment="0" applyProtection="0"/>
    <xf numFmtId="184" fontId="88" fillId="6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4"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4" fontId="39" fillId="9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2" fontId="38" fillId="20" borderId="0" applyNumberFormat="0" applyBorder="0" applyAlignment="0" applyProtection="0"/>
    <xf numFmtId="184" fontId="38" fillId="13" borderId="0" applyNumberFormat="0" applyBorder="0" applyAlignment="0" applyProtection="0"/>
    <xf numFmtId="182" fontId="38" fillId="21"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92" borderId="0" applyNumberFormat="0" applyBorder="0" applyAlignment="0" applyProtection="0"/>
    <xf numFmtId="0"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92" borderId="0" applyNumberFormat="0" applyBorder="0" applyAlignment="0" applyProtection="0"/>
    <xf numFmtId="183" fontId="39" fillId="92" borderId="0" applyNumberFormat="0" applyBorder="0" applyAlignment="0" applyProtection="0"/>
    <xf numFmtId="184" fontId="39" fillId="92" borderId="0" applyNumberFormat="0" applyBorder="0" applyAlignment="0" applyProtection="0"/>
    <xf numFmtId="184" fontId="39" fillId="92"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7"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88" fillId="65" borderId="0" applyNumberFormat="0" applyBorder="0" applyAlignment="0" applyProtection="0"/>
    <xf numFmtId="184" fontId="88" fillId="65"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4"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30">
      <alignment horizontal="center" vertical="center"/>
    </xf>
    <xf numFmtId="189" fontId="89" fillId="95" borderId="30">
      <alignment horizontal="center" vertical="center"/>
    </xf>
    <xf numFmtId="188" fontId="22" fillId="95" borderId="30">
      <alignment horizontal="center" vertical="center"/>
    </xf>
    <xf numFmtId="0" fontId="31" fillId="0" borderId="0">
      <alignment horizontal="center" wrapText="1"/>
      <protection locked="0"/>
    </xf>
    <xf numFmtId="0"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7"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0" fontId="95" fillId="2"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2" fontId="96" fillId="20" borderId="0" applyNumberFormat="0" applyBorder="0" applyAlignment="0" applyProtection="0"/>
    <xf numFmtId="0"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7" fontId="97" fillId="13" borderId="0" applyNumberFormat="0" applyBorder="0" applyAlignment="0" applyProtection="0"/>
    <xf numFmtId="184" fontId="97" fillId="13" borderId="0" applyNumberFormat="0" applyBorder="0" applyAlignment="0" applyProtection="0"/>
    <xf numFmtId="184" fontId="79" fillId="39"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6" fillId="20"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96" fillId="20" borderId="0" applyNumberFormat="0" applyBorder="0" applyAlignment="0" applyProtection="0"/>
    <xf numFmtId="184" fontId="96" fillId="20" borderId="0" applyNumberFormat="0" applyBorder="0" applyAlignment="0" applyProtection="0"/>
    <xf numFmtId="184" fontId="96" fillId="20"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7" fontId="97" fillId="13"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7" fillId="13" borderId="0" applyNumberFormat="0" applyBorder="0" applyAlignment="0" applyProtection="0"/>
    <xf numFmtId="0"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0" fontId="97" fillId="13" borderId="0" applyNumberFormat="0" applyBorder="0" applyAlignment="0" applyProtection="0"/>
    <xf numFmtId="0"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2" fontId="79" fillId="39" borderId="0" applyNumberFormat="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7"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71" fontId="99" fillId="0" borderId="3" applyFont="0"/>
    <xf numFmtId="1" fontId="99" fillId="0" borderId="3"/>
    <xf numFmtId="9" fontId="100" fillId="0" borderId="29"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3" fillId="42" borderId="23" applyNumberFormat="0" applyAlignment="0" applyProtection="0"/>
    <xf numFmtId="0" fontId="101" fillId="75" borderId="31" applyNumberFormat="0" applyAlignment="0" applyProtection="0"/>
    <xf numFmtId="0"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0" fontId="102" fillId="96" borderId="32" applyNumberFormat="0" applyAlignment="0" applyProtection="0"/>
    <xf numFmtId="184" fontId="102" fillId="96" borderId="32" applyNumberFormat="0" applyAlignment="0" applyProtection="0"/>
    <xf numFmtId="184" fontId="101" fillId="75" borderId="31" applyNumberFormat="0" applyAlignment="0" applyProtection="0"/>
    <xf numFmtId="182" fontId="102" fillId="96" borderId="32" applyNumberFormat="0" applyAlignment="0" applyProtection="0"/>
    <xf numFmtId="0"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2" fillId="96" borderId="32"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3"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7" fontId="103" fillId="97" borderId="31" applyNumberFormat="0" applyAlignment="0" applyProtection="0"/>
    <xf numFmtId="0"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7"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1" fillId="75"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1" fillId="75" borderId="31"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83" fillId="42" borderId="23" applyNumberFormat="0" applyAlignment="0" applyProtection="0"/>
    <xf numFmtId="184" fontId="83" fillId="42" borderId="23" applyNumberFormat="0" applyAlignment="0" applyProtection="0"/>
    <xf numFmtId="0" fontId="102" fillId="96" borderId="32" applyNumberFormat="0" applyAlignment="0" applyProtection="0"/>
    <xf numFmtId="184" fontId="102" fillId="96" borderId="32" applyNumberFormat="0" applyAlignment="0" applyProtection="0"/>
    <xf numFmtId="184" fontId="83" fillId="42" borderId="23" applyNumberFormat="0" applyAlignment="0" applyProtection="0"/>
    <xf numFmtId="0"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5"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90" fontId="104" fillId="0" borderId="0" applyNumberFormat="0" applyFont="0" applyFill="0" applyBorder="0" applyProtection="0">
      <alignment horizontal="centerContinuous" wrapText="1"/>
    </xf>
    <xf numFmtId="191" fontId="21" fillId="0" borderId="0"/>
    <xf numFmtId="0" fontId="105" fillId="98" borderId="33" applyNumberFormat="0" applyAlignment="0" applyProtection="0"/>
    <xf numFmtId="0"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2" fontId="105" fillId="90" borderId="33" applyNumberFormat="0" applyAlignment="0" applyProtection="0"/>
    <xf numFmtId="0"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105" fillId="90" borderId="33" applyNumberFormat="0" applyAlignment="0" applyProtection="0"/>
    <xf numFmtId="183" fontId="105" fillId="14" borderId="33" applyNumberFormat="0" applyAlignment="0" applyProtection="0"/>
    <xf numFmtId="184" fontId="105" fillId="14" borderId="33" applyNumberFormat="0" applyAlignment="0" applyProtection="0"/>
    <xf numFmtId="183" fontId="105" fillId="90" borderId="33" applyNumberFormat="0" applyAlignment="0" applyProtection="0"/>
    <xf numFmtId="184" fontId="105" fillId="90" borderId="33" applyNumberFormat="0" applyAlignment="0" applyProtection="0"/>
    <xf numFmtId="184" fontId="105" fillId="90" borderId="33" applyNumberFormat="0" applyAlignment="0" applyProtection="0"/>
    <xf numFmtId="183" fontId="105" fillId="98" borderId="33" applyNumberFormat="0" applyAlignment="0" applyProtection="0"/>
    <xf numFmtId="184" fontId="105" fillId="98" borderId="33" applyNumberFormat="0" applyAlignment="0" applyProtection="0"/>
    <xf numFmtId="185"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7" fontId="105" fillId="14" borderId="33" applyNumberFormat="0" applyAlignment="0" applyProtection="0"/>
    <xf numFmtId="0" fontId="105" fillId="98" borderId="33" applyNumberFormat="0" applyAlignment="0" applyProtection="0"/>
    <xf numFmtId="184" fontId="105" fillId="98" borderId="33" applyNumberFormat="0" applyAlignment="0" applyProtection="0"/>
    <xf numFmtId="184" fontId="105" fillId="14" borderId="33" applyNumberFormat="0" applyAlignment="0" applyProtection="0"/>
    <xf numFmtId="0" fontId="105" fillId="98" borderId="33" applyNumberFormat="0" applyAlignment="0" applyProtection="0"/>
    <xf numFmtId="183" fontId="105" fillId="14" borderId="33" applyNumberFormat="0" applyAlignment="0" applyProtection="0"/>
    <xf numFmtId="184" fontId="105" fillId="14" borderId="33"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98" borderId="33"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5"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2" fontId="85" fillId="43" borderId="26"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06" fillId="0" borderId="0" applyNumberFormat="0" applyAlignment="0">
      <alignment horizontal="left"/>
    </xf>
    <xf numFmtId="0"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7"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92" fontId="99" fillId="0" borderId="3"/>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7" fillId="0" borderId="0" applyFont="0" applyFill="0" applyBorder="0" applyAlignment="0" applyProtection="0"/>
    <xf numFmtId="6" fontId="108"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9" fillId="0" borderId="0">
      <protection locked="0"/>
    </xf>
    <xf numFmtId="4" fontId="110" fillId="0" borderId="0" applyFont="0" applyFill="0" applyBorder="0" applyAlignment="0" applyProtection="0"/>
    <xf numFmtId="182" fontId="40" fillId="99" borderId="0" applyNumberFormat="0" applyBorder="0" applyAlignment="0" applyProtection="0"/>
    <xf numFmtId="0"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99" borderId="0" applyNumberFormat="0" applyBorder="0" applyAlignment="0" applyProtection="0"/>
    <xf numFmtId="183" fontId="40" fillId="99" borderId="0" applyNumberFormat="0" applyBorder="0" applyAlignment="0" applyProtection="0"/>
    <xf numFmtId="184" fontId="40" fillId="99" borderId="0" applyNumberFormat="0" applyBorder="0" applyAlignment="0" applyProtection="0"/>
    <xf numFmtId="184" fontId="40" fillId="99"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7"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2" fontId="40" fillId="100" borderId="0" applyNumberFormat="0" applyBorder="0" applyAlignment="0" applyProtection="0"/>
    <xf numFmtId="0"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100" borderId="0" applyNumberFormat="0" applyBorder="0" applyAlignment="0" applyProtection="0"/>
    <xf numFmtId="183" fontId="40" fillId="100" borderId="0" applyNumberFormat="0" applyBorder="0" applyAlignment="0" applyProtection="0"/>
    <xf numFmtId="184" fontId="40" fillId="100" borderId="0" applyNumberFormat="0" applyBorder="0" applyAlignment="0" applyProtection="0"/>
    <xf numFmtId="184" fontId="40" fillId="100"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7"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7"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2" fontId="40" fillId="24" borderId="0" applyNumberFormat="0" applyBorder="0" applyAlignment="0" applyProtection="0"/>
    <xf numFmtId="0" fontId="111" fillId="0" borderId="0" applyNumberFormat="0" applyAlignment="0">
      <alignment horizontal="left"/>
    </xf>
    <xf numFmtId="0"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7"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7" fontId="113" fillId="0" borderId="0" applyNumberForma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184" fontId="113" fillId="0" borderId="0" applyNumberFormat="0" applyFill="0" applyBorder="0" applyAlignment="0" applyProtection="0"/>
    <xf numFmtId="0" fontId="112"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10"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4" fillId="0" borderId="0"/>
    <xf numFmtId="0" fontId="114" fillId="7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2" fontId="38" fillId="86" borderId="0" applyNumberFormat="0" applyBorder="0" applyAlignment="0" applyProtection="0"/>
    <xf numFmtId="0"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7" fontId="114" fillId="101" borderId="0" applyNumberFormat="0" applyBorder="0" applyAlignment="0" applyProtection="0"/>
    <xf numFmtId="184" fontId="114" fillId="101" borderId="0" applyNumberFormat="0" applyBorder="0" applyAlignment="0" applyProtection="0"/>
    <xf numFmtId="184" fontId="78" fillId="38"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38" fillId="86"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7" fontId="114" fillId="10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101" borderId="0" applyNumberFormat="0" applyBorder="0" applyAlignment="0" applyProtection="0"/>
    <xf numFmtId="0" fontId="114" fillId="7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2" fontId="78"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0"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5"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7"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0" fontId="69" fillId="0" borderId="18" applyNumberFormat="0" applyAlignment="0" applyProtection="0">
      <alignment horizontal="left" vertical="center"/>
    </xf>
    <xf numFmtId="0"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5"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5"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7"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0" fontId="69" fillId="0" borderId="9">
      <alignment horizontal="left" vertical="center"/>
    </xf>
    <xf numFmtId="0"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116" fillId="0" borderId="34" applyNumberFormat="0" applyFill="0" applyAlignment="0" applyProtection="0"/>
    <xf numFmtId="0"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2" fontId="117" fillId="0" borderId="35" applyNumberFormat="0" applyFill="0" applyAlignment="0" applyProtection="0"/>
    <xf numFmtId="0"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7" fontId="117" fillId="0" borderId="35" applyNumberFormat="0" applyFill="0" applyAlignment="0" applyProtection="0"/>
    <xf numFmtId="0" fontId="116" fillId="0" borderId="34" applyNumberFormat="0" applyFill="0" applyAlignment="0" applyProtection="0"/>
    <xf numFmtId="184" fontId="116" fillId="0" borderId="34" applyNumberFormat="0" applyFill="0" applyAlignment="0" applyProtection="0"/>
    <xf numFmtId="184" fontId="117" fillId="0" borderId="35" applyNumberFormat="0" applyFill="0" applyAlignment="0" applyProtection="0"/>
    <xf numFmtId="0" fontId="116" fillId="0" borderId="34"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6" fillId="0" borderId="34"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2" fontId="75" fillId="0" borderId="20" applyNumberFormat="0" applyFill="0" applyAlignment="0" applyProtection="0"/>
    <xf numFmtId="0" fontId="118" fillId="0" borderId="36" applyNumberFormat="0" applyFill="0" applyAlignment="0" applyProtection="0"/>
    <xf numFmtId="0"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2" fontId="119" fillId="0" borderId="37" applyNumberFormat="0" applyFill="0" applyAlignment="0" applyProtection="0"/>
    <xf numFmtId="0"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119" fillId="0" borderId="37"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5"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7" fontId="119" fillId="0" borderId="36" applyNumberFormat="0" applyFill="0" applyAlignment="0" applyProtection="0"/>
    <xf numFmtId="0" fontId="118" fillId="0" borderId="36" applyNumberFormat="0" applyFill="0" applyAlignment="0" applyProtection="0"/>
    <xf numFmtId="184" fontId="118" fillId="0" borderId="36" applyNumberFormat="0" applyFill="0" applyAlignment="0" applyProtection="0"/>
    <xf numFmtId="184" fontId="119" fillId="0" borderId="36" applyNumberFormat="0" applyFill="0" applyAlignment="0" applyProtection="0"/>
    <xf numFmtId="0" fontId="118"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8" fillId="0" borderId="36"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5"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2" fontId="76" fillId="0" borderId="21" applyNumberFormat="0" applyFill="0" applyAlignment="0" applyProtection="0"/>
    <xf numFmtId="0" fontId="120" fillId="0" borderId="38" applyNumberFormat="0" applyFill="0" applyAlignment="0" applyProtection="0"/>
    <xf numFmtId="0"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2" fontId="121" fillId="0" borderId="39" applyNumberFormat="0" applyFill="0" applyAlignment="0" applyProtection="0"/>
    <xf numFmtId="0"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121" fillId="0" borderId="39"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3" fontId="121" fillId="0" borderId="39" applyNumberFormat="0" applyFill="0" applyAlignment="0" applyProtection="0"/>
    <xf numFmtId="184" fontId="121" fillId="0" borderId="39" applyNumberFormat="0" applyFill="0" applyAlignment="0" applyProtection="0"/>
    <xf numFmtId="184" fontId="121" fillId="0" borderId="39"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5"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7" fontId="121" fillId="0" borderId="40" applyNumberFormat="0" applyFill="0" applyAlignment="0" applyProtection="0"/>
    <xf numFmtId="0" fontId="120" fillId="0" borderId="38" applyNumberFormat="0" applyFill="0" applyAlignment="0" applyProtection="0"/>
    <xf numFmtId="184" fontId="120" fillId="0" borderId="38" applyNumberFormat="0" applyFill="0" applyAlignment="0" applyProtection="0"/>
    <xf numFmtId="184" fontId="121" fillId="0" borderId="40" applyNumberFormat="0" applyFill="0" applyAlignment="0" applyProtection="0"/>
    <xf numFmtId="0" fontId="120" fillId="0" borderId="38"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0" fillId="0" borderId="38"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5"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2" fontId="77" fillId="0" borderId="22"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2" fontId="121" fillId="0" borderId="0" applyNumberFormat="0" applyFill="0" applyBorder="0" applyAlignment="0" applyProtection="0"/>
    <xf numFmtId="0"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7" fontId="121"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1" fillId="0" borderId="0" applyNumberFormat="0" applyFill="0" applyBorder="0" applyAlignment="0" applyProtection="0"/>
    <xf numFmtId="0" fontId="120"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2" fontId="77"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2" fillId="0" borderId="41">
      <alignment horizontal="center"/>
    </xf>
    <xf numFmtId="0" fontId="122" fillId="0" borderId="41">
      <alignment horizontal="center"/>
    </xf>
    <xf numFmtId="183"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3" fontId="122" fillId="0" borderId="41">
      <alignment horizontal="center"/>
    </xf>
    <xf numFmtId="184" fontId="122" fillId="0" borderId="41">
      <alignment horizontal="center"/>
    </xf>
    <xf numFmtId="187" fontId="122" fillId="0" borderId="41">
      <alignment horizontal="center"/>
    </xf>
    <xf numFmtId="184" fontId="122" fillId="0" borderId="41">
      <alignment horizontal="center"/>
    </xf>
    <xf numFmtId="184" fontId="122" fillId="0" borderId="41">
      <alignment horizontal="center"/>
    </xf>
    <xf numFmtId="0" fontId="122" fillId="0" borderId="0">
      <alignment horizontal="center"/>
    </xf>
    <xf numFmtId="0" fontId="122" fillId="0" borderId="0">
      <alignment horizontal="center"/>
    </xf>
    <xf numFmtId="183"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3" fontId="122" fillId="0" borderId="0">
      <alignment horizontal="center"/>
    </xf>
    <xf numFmtId="184" fontId="122" fillId="0" borderId="0">
      <alignment horizontal="center"/>
    </xf>
    <xf numFmtId="187" fontId="122" fillId="0" borderId="0">
      <alignment horizontal="center"/>
    </xf>
    <xf numFmtId="184" fontId="122" fillId="0" borderId="0">
      <alignment horizontal="center"/>
    </xf>
    <xf numFmtId="184" fontId="122" fillId="0" borderId="0">
      <alignment horizontal="center"/>
    </xf>
    <xf numFmtId="0" fontId="110" fillId="0" borderId="0" applyProtection="0">
      <alignment horizontal="right"/>
    </xf>
    <xf numFmtId="0" fontId="110" fillId="0" borderId="0" applyProtection="0">
      <alignment horizontal="right"/>
    </xf>
    <xf numFmtId="183"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3" fontId="110" fillId="0" borderId="0" applyProtection="0">
      <alignment horizontal="right"/>
    </xf>
    <xf numFmtId="184" fontId="110" fillId="0" borderId="0" applyProtection="0">
      <alignment horizontal="right"/>
    </xf>
    <xf numFmtId="187" fontId="110" fillId="0" borderId="0" applyProtection="0">
      <alignment horizontal="right"/>
    </xf>
    <xf numFmtId="184" fontId="110" fillId="0" borderId="0" applyProtection="0">
      <alignment horizontal="right"/>
    </xf>
    <xf numFmtId="184" fontId="110"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3" fillId="0" borderId="42" applyNumberFormat="0" applyFill="0" applyAlignment="0" applyProtection="0"/>
    <xf numFmtId="185" fontId="123" fillId="0" borderId="42" applyNumberFormat="0" applyFill="0" applyAlignment="0" applyProtection="0"/>
    <xf numFmtId="0"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5"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7"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4" fillId="0" borderId="0" applyFill="0" applyBorder="0" applyAlignment="0" applyProtection="0">
      <alignment horizontal="right"/>
    </xf>
    <xf numFmtId="184" fontId="124"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0"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4" fontId="125" fillId="21" borderId="32" applyNumberFormat="0" applyAlignment="0" applyProtection="0"/>
    <xf numFmtId="184" fontId="126" fillId="74" borderId="31" applyNumberFormat="0" applyAlignment="0" applyProtection="0"/>
    <xf numFmtId="182" fontId="125" fillId="21" borderId="32"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7" fontId="81" fillId="41" borderId="23" applyNumberFormat="0" applyAlignment="0" applyProtection="0"/>
    <xf numFmtId="0"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7" fontId="125" fillId="21" borderId="31" applyNumberFormat="0" applyAlignment="0" applyProtection="0"/>
    <xf numFmtId="187"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7" fontId="125" fillId="21" borderId="31" applyNumberFormat="0" applyAlignment="0" applyProtection="0"/>
    <xf numFmtId="187"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99" fontId="127" fillId="0" borderId="0" applyFont="0" applyFill="0" applyBorder="0" applyProtection="0">
      <alignment horizontal="center"/>
    </xf>
    <xf numFmtId="183" fontId="34" fillId="34" borderId="0" applyNumberFormat="0" applyFont="0" applyBorder="0" applyAlignment="0" applyProtection="0">
      <alignment horizontal="left"/>
    </xf>
    <xf numFmtId="184" fontId="34" fillId="34" borderId="0" applyNumberFormat="0" applyFont="0" applyBorder="0" applyAlignment="0" applyProtection="0">
      <alignment horizontal="left"/>
    </xf>
    <xf numFmtId="0" fontId="128" fillId="0" borderId="43" applyNumberFormat="0" applyFill="0" applyAlignment="0" applyProtection="0"/>
    <xf numFmtId="0"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2" fontId="114" fillId="0" borderId="44" applyNumberFormat="0" applyFill="0" applyAlignment="0" applyProtection="0"/>
    <xf numFmtId="0"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114" fillId="0" borderId="44"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3" fontId="114" fillId="0" borderId="44" applyNumberFormat="0" applyFill="0" applyAlignment="0" applyProtection="0"/>
    <xf numFmtId="184" fontId="114" fillId="0" borderId="44" applyNumberFormat="0" applyFill="0" applyAlignment="0" applyProtection="0"/>
    <xf numFmtId="184" fontId="114" fillId="0" borderId="44"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5"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7" fontId="129" fillId="0" borderId="45" applyNumberFormat="0" applyFill="0" applyAlignment="0" applyProtection="0"/>
    <xf numFmtId="0" fontId="128" fillId="0" borderId="43" applyNumberFormat="0" applyFill="0" applyAlignment="0" applyProtection="0"/>
    <xf numFmtId="184" fontId="128" fillId="0" borderId="43" applyNumberFormat="0" applyFill="0" applyAlignment="0" applyProtection="0"/>
    <xf numFmtId="184" fontId="129" fillId="0" borderId="45" applyNumberFormat="0" applyFill="0" applyAlignment="0" applyProtection="0"/>
    <xf numFmtId="0" fontId="128" fillId="0" borderId="43"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8" fillId="0" borderId="43"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5"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2" fontId="84" fillId="0" borderId="25" applyNumberFormat="0" applyFill="0" applyAlignment="0" applyProtection="0"/>
    <xf numFmtId="183" fontId="130" fillId="103" borderId="0">
      <alignment horizontal="right"/>
    </xf>
    <xf numFmtId="184" fontId="130" fillId="103" borderId="0">
      <alignment horizontal="right"/>
    </xf>
    <xf numFmtId="17" fontId="131" fillId="0" borderId="0" applyFont="0" applyFill="0" applyBorder="0" applyAlignment="0" applyProtection="0">
      <alignment horizontal="centerContinuous"/>
      <protection locked="0"/>
    </xf>
    <xf numFmtId="0" fontId="132" fillId="25"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2" fontId="114"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7" fontId="132" fillId="21" borderId="0" applyNumberFormat="0" applyBorder="0" applyAlignment="0" applyProtection="0"/>
    <xf numFmtId="184" fontId="132" fillId="21" borderId="0" applyNumberFormat="0" applyBorder="0" applyAlignment="0" applyProtection="0"/>
    <xf numFmtId="184" fontId="80" fillId="40" borderId="0" applyNumberFormat="0" applyBorder="0" applyAlignment="0" applyProtection="0"/>
    <xf numFmtId="0"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14"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114" fillId="21" borderId="0" applyNumberFormat="0" applyBorder="0" applyAlignment="0" applyProtection="0"/>
    <xf numFmtId="184" fontId="114" fillId="21" borderId="0" applyNumberFormat="0" applyBorder="0" applyAlignment="0" applyProtection="0"/>
    <xf numFmtId="184" fontId="114" fillId="21"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7" fontId="80" fillId="40"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2" fontId="80" fillId="40" borderId="0" applyNumberFormat="0" applyBorder="0" applyAlignment="0" applyProtection="0"/>
    <xf numFmtId="37" fontId="133" fillId="0" borderId="0"/>
    <xf numFmtId="200" fontId="134"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5" fillId="0" borderId="0"/>
    <xf numFmtId="183" fontId="135" fillId="0" borderId="0"/>
    <xf numFmtId="184" fontId="13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5" fillId="0" borderId="0"/>
    <xf numFmtId="185" fontId="135" fillId="0" borderId="0"/>
    <xf numFmtId="183" fontId="135" fillId="0" borderId="0"/>
    <xf numFmtId="183" fontId="135" fillId="0" borderId="0"/>
    <xf numFmtId="184" fontId="135" fillId="0" borderId="0"/>
    <xf numFmtId="0" fontId="5" fillId="0" borderId="0"/>
    <xf numFmtId="183" fontId="5" fillId="0" borderId="0"/>
    <xf numFmtId="184" fontId="5" fillId="0" borderId="0"/>
    <xf numFmtId="184" fontId="5" fillId="0" borderId="0"/>
    <xf numFmtId="184" fontId="135" fillId="0" borderId="0"/>
    <xf numFmtId="185" fontId="135" fillId="0" borderId="0"/>
    <xf numFmtId="183" fontId="135" fillId="0" borderId="0"/>
    <xf numFmtId="184" fontId="135" fillId="0" borderId="0"/>
    <xf numFmtId="184" fontId="13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5" fillId="0" borderId="0"/>
    <xf numFmtId="0" fontId="135" fillId="0" borderId="0"/>
    <xf numFmtId="183" fontId="135" fillId="0" borderId="0"/>
    <xf numFmtId="184" fontId="135" fillId="0" borderId="0"/>
    <xf numFmtId="184" fontId="135" fillId="0" borderId="0"/>
    <xf numFmtId="184" fontId="135"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8"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4" fillId="0" borderId="0"/>
    <xf numFmtId="0" fontId="23" fillId="104" borderId="0"/>
    <xf numFmtId="184" fontId="23" fillId="104" borderId="0"/>
    <xf numFmtId="184" fontId="54"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4" fillId="105" borderId="0" applyBorder="0" applyAlignment="0">
      <alignment horizontal="left"/>
    </xf>
    <xf numFmtId="183" fontId="34" fillId="105" borderId="0" applyBorder="0" applyAlignment="0">
      <alignment horizontal="left"/>
    </xf>
    <xf numFmtId="184" fontId="34"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4" fillId="105" borderId="0" applyBorder="0" applyAlignment="0">
      <alignment horizontal="left"/>
    </xf>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0" fontId="5" fillId="44" borderId="27"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38"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1" fillId="26"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23" fillId="20" borderId="32"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38" fillId="26" borderId="46" applyNumberFormat="0" applyFont="0" applyAlignment="0" applyProtection="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5"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38" fillId="26" borderId="46"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0" fontId="38"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203" fontId="136" fillId="0" borderId="47" applyFont="0" applyFill="0" applyBorder="0" applyAlignment="0" applyProtection="0">
      <alignment horizontal="center"/>
      <protection locked="0"/>
    </xf>
    <xf numFmtId="203" fontId="136" fillId="0" borderId="47"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2" fillId="42" borderId="24" applyNumberFormat="0" applyAlignment="0" applyProtection="0"/>
    <xf numFmtId="0"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7"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0" fontId="137" fillId="96" borderId="48" applyNumberFormat="0" applyAlignment="0" applyProtection="0"/>
    <xf numFmtId="184" fontId="137" fillId="96" borderId="48" applyNumberFormat="0" applyAlignment="0" applyProtection="0"/>
    <xf numFmtId="184" fontId="137" fillId="75" borderId="48" applyNumberFormat="0" applyAlignment="0" applyProtection="0"/>
    <xf numFmtId="182" fontId="137" fillId="96" borderId="48" applyNumberFormat="0" applyAlignment="0" applyProtection="0"/>
    <xf numFmtId="0"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6"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3" fontId="137" fillId="96" borderId="48" applyNumberFormat="0" applyAlignment="0" applyProtection="0"/>
    <xf numFmtId="183" fontId="137" fillId="96" borderId="48" applyNumberFormat="0" applyAlignment="0" applyProtection="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5" fillId="0" borderId="0"/>
    <xf numFmtId="183" fontId="5" fillId="0" borderId="0"/>
    <xf numFmtId="184" fontId="5" fillId="0" borderId="0"/>
    <xf numFmtId="184" fontId="5" fillId="0" borderId="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137" fillId="96" borderId="48" applyNumberFormat="0" applyAlignment="0" applyProtection="0"/>
    <xf numFmtId="183" fontId="137" fillId="96" borderId="48" applyNumberFormat="0" applyAlignment="0" applyProtection="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75" borderId="48"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82" fillId="42" borderId="24" applyNumberFormat="0" applyAlignment="0" applyProtection="0"/>
    <xf numFmtId="184" fontId="82" fillId="42" borderId="24" applyNumberFormat="0" applyAlignment="0" applyProtection="0"/>
    <xf numFmtId="0" fontId="137" fillId="96" borderId="48" applyNumberFormat="0" applyAlignment="0" applyProtection="0"/>
    <xf numFmtId="184" fontId="137" fillId="96" borderId="48" applyNumberFormat="0" applyAlignment="0" applyProtection="0"/>
    <xf numFmtId="184" fontId="82" fillId="42" borderId="24" applyNumberFormat="0" applyAlignment="0" applyProtection="0"/>
    <xf numFmtId="10" fontId="138" fillId="0" borderId="49" applyFont="0" applyFill="0" applyBorder="0" applyAlignment="0" applyProtection="0">
      <alignment horizontal="center"/>
      <protection locked="0"/>
    </xf>
    <xf numFmtId="10" fontId="138"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39" fillId="0" borderId="0" applyFont="0" applyFill="0" applyBorder="0" applyProtection="0">
      <alignment horizontal="center"/>
    </xf>
    <xf numFmtId="190" fontId="139"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14" fontId="31" fillId="0" borderId="0">
      <alignment horizontal="center" wrapText="1"/>
      <protection locked="0"/>
    </xf>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135"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5"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40" fillId="0" borderId="50" applyFont="0" applyFill="0" applyBorder="0" applyAlignment="0" applyProtection="0">
      <alignment horizontal="center"/>
      <protection locked="0"/>
    </xf>
    <xf numFmtId="10" fontId="140" fillId="0" borderId="50"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4" fillId="0" borderId="0" applyFont="0" applyAlignment="0">
      <alignment horizontal="center" wrapText="1"/>
    </xf>
    <xf numFmtId="9" fontId="34"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41" fillId="0" borderId="0" applyNumberFormat="0" applyFill="0" applyBorder="0" applyProtection="0">
      <alignment horizontal="right"/>
    </xf>
    <xf numFmtId="9" fontId="141"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2" fillId="106" borderId="0" applyNumberFormat="0" applyFont="0" applyBorder="0" applyAlignment="0">
      <alignment horizontal="center"/>
    </xf>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2" fillId="106" borderId="0" applyNumberFormat="0" applyFont="0" applyBorder="0" applyAlignment="0">
      <alignment horizontal="center"/>
    </xf>
    <xf numFmtId="184" fontId="142" fillId="106" borderId="0" applyNumberFormat="0" applyFont="0" applyBorder="0" applyAlignment="0">
      <alignment horizontal="center"/>
    </xf>
    <xf numFmtId="205" fontId="143" fillId="0" borderId="0" applyNumberFormat="0" applyFill="0" applyBorder="0" applyAlignment="0" applyProtection="0">
      <alignment horizontal="left"/>
    </xf>
    <xf numFmtId="205" fontId="143"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2" applyNumberFormat="0" applyProtection="0">
      <alignment vertical="center"/>
    </xf>
    <xf numFmtId="4" fontId="23" fillId="25" borderId="32" applyNumberFormat="0" applyProtection="0">
      <alignment vertical="center"/>
    </xf>
    <xf numFmtId="0" fontId="21" fillId="0" borderId="0"/>
    <xf numFmtId="184" fontId="21" fillId="0" borderId="0"/>
    <xf numFmtId="4" fontId="23" fillId="25" borderId="32" applyNumberFormat="0" applyProtection="0">
      <alignment vertical="center"/>
    </xf>
    <xf numFmtId="184" fontId="21" fillId="0" borderId="0"/>
    <xf numFmtId="4" fontId="43" fillId="25" borderId="1"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0" fontId="5" fillId="0" borderId="0"/>
    <xf numFmtId="183" fontId="5" fillId="0" borderId="0"/>
    <xf numFmtId="184" fontId="5" fillId="0" borderId="0"/>
    <xf numFmtId="184" fontId="5" fillId="0" borderId="0"/>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4" fillId="107" borderId="32" applyNumberFormat="0" applyProtection="0">
      <alignment vertical="center"/>
    </xf>
    <xf numFmtId="184" fontId="21" fillId="0" borderId="0"/>
    <xf numFmtId="4" fontId="45" fillId="25" borderId="1"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0" fontId="5" fillId="0" borderId="0"/>
    <xf numFmtId="183" fontId="5" fillId="0" borderId="0"/>
    <xf numFmtId="184" fontId="5" fillId="0" borderId="0"/>
    <xf numFmtId="184" fontId="5" fillId="0" borderId="0"/>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5"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21" fillId="0" borderId="0"/>
    <xf numFmtId="184" fontId="21" fillId="0" borderId="0"/>
    <xf numFmtId="4" fontId="23" fillId="107" borderId="32" applyNumberFormat="0" applyProtection="0">
      <alignment horizontal="left" vertical="center" indent="1"/>
    </xf>
    <xf numFmtId="184" fontId="21" fillId="0" borderId="0"/>
    <xf numFmtId="4" fontId="43" fillId="25" borderId="1"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3" fillId="25" borderId="1" applyNumberFormat="0" applyProtection="0">
      <alignment horizontal="left" vertical="top" indent="1"/>
    </xf>
    <xf numFmtId="0" fontId="21" fillId="0" borderId="0"/>
    <xf numFmtId="184" fontId="21" fillId="0" borderId="0"/>
    <xf numFmtId="187"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21" fillId="0" borderId="0"/>
    <xf numFmtId="182" fontId="145"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43"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21" fillId="0" borderId="0"/>
    <xf numFmtId="184" fontId="21" fillId="0" borderId="0"/>
    <xf numFmtId="4" fontId="23" fillId="2" borderId="32" applyNumberFormat="0" applyProtection="0">
      <alignment horizontal="right" vertical="center"/>
    </xf>
    <xf numFmtId="4" fontId="23" fillId="2" borderId="32" applyNumberFormat="0" applyProtection="0">
      <alignment horizontal="right" vertical="center"/>
    </xf>
    <xf numFmtId="0" fontId="21" fillId="0" borderId="0"/>
    <xf numFmtId="184" fontId="21" fillId="0" borderId="0"/>
    <xf numFmtId="4" fontId="23" fillId="2" borderId="32" applyNumberFormat="0" applyProtection="0">
      <alignment horizontal="right" vertical="center"/>
    </xf>
    <xf numFmtId="184" fontId="21" fillId="0" borderId="0"/>
    <xf numFmtId="4" fontId="41" fillId="2" borderId="1"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2" applyNumberFormat="0" applyProtection="0">
      <alignment horizontal="right" vertical="center"/>
    </xf>
    <xf numFmtId="4" fontId="23" fillId="108" borderId="32" applyNumberFormat="0" applyProtection="0">
      <alignment horizontal="right" vertical="center"/>
    </xf>
    <xf numFmtId="0" fontId="21" fillId="0" borderId="0"/>
    <xf numFmtId="184" fontId="21" fillId="0" borderId="0"/>
    <xf numFmtId="4" fontId="23" fillId="108" borderId="32" applyNumberFormat="0" applyProtection="0">
      <alignment horizontal="right" vertical="center"/>
    </xf>
    <xf numFmtId="184" fontId="21" fillId="0" borderId="0"/>
    <xf numFmtId="4" fontId="41" fillId="4" borderId="1"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1" applyNumberFormat="0" applyProtection="0">
      <alignment horizontal="right" vertical="center"/>
    </xf>
    <xf numFmtId="4" fontId="23" fillId="11" borderId="51" applyNumberFormat="0" applyProtection="0">
      <alignment horizontal="right" vertical="center"/>
    </xf>
    <xf numFmtId="0" fontId="21" fillId="0" borderId="0"/>
    <xf numFmtId="184" fontId="21" fillId="0" borderId="0"/>
    <xf numFmtId="184" fontId="21" fillId="0" borderId="0"/>
    <xf numFmtId="4" fontId="41" fillId="11" borderId="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2" applyNumberFormat="0" applyProtection="0">
      <alignment horizontal="right" vertical="center"/>
    </xf>
    <xf numFmtId="4" fontId="23" fillId="6" borderId="32" applyNumberFormat="0" applyProtection="0">
      <alignment horizontal="right" vertical="center"/>
    </xf>
    <xf numFmtId="0" fontId="21" fillId="0" borderId="0"/>
    <xf numFmtId="184" fontId="21" fillId="0" borderId="0"/>
    <xf numFmtId="4" fontId="23" fillId="6" borderId="32" applyNumberFormat="0" applyProtection="0">
      <alignment horizontal="right" vertical="center"/>
    </xf>
    <xf numFmtId="184" fontId="21" fillId="0" borderId="0"/>
    <xf numFmtId="4" fontId="41" fillId="6" borderId="1"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2" applyNumberFormat="0" applyProtection="0">
      <alignment horizontal="right" vertical="center"/>
    </xf>
    <xf numFmtId="4" fontId="23" fillId="7" borderId="32" applyNumberFormat="0" applyProtection="0">
      <alignment horizontal="right" vertical="center"/>
    </xf>
    <xf numFmtId="0" fontId="21" fillId="0" borderId="0"/>
    <xf numFmtId="184" fontId="21" fillId="0" borderId="0"/>
    <xf numFmtId="4" fontId="23" fillId="7" borderId="32" applyNumberFormat="0" applyProtection="0">
      <alignment horizontal="right" vertical="center"/>
    </xf>
    <xf numFmtId="184" fontId="21" fillId="0" borderId="0"/>
    <xf numFmtId="4" fontId="41" fillId="7" borderId="1"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2" applyNumberFormat="0" applyProtection="0">
      <alignment horizontal="right" vertical="center"/>
    </xf>
    <xf numFmtId="4" fontId="23" fillId="19" borderId="32" applyNumberFormat="0" applyProtection="0">
      <alignment horizontal="right" vertical="center"/>
    </xf>
    <xf numFmtId="0" fontId="21" fillId="0" borderId="0"/>
    <xf numFmtId="184" fontId="21" fillId="0" borderId="0"/>
    <xf numFmtId="4" fontId="23" fillId="19" borderId="32" applyNumberFormat="0" applyProtection="0">
      <alignment horizontal="right" vertical="center"/>
    </xf>
    <xf numFmtId="184" fontId="21" fillId="0" borderId="0"/>
    <xf numFmtId="4" fontId="41" fillId="19" borderId="1"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2" applyNumberFormat="0" applyProtection="0">
      <alignment horizontal="right" vertical="center"/>
    </xf>
    <xf numFmtId="4" fontId="23" fillId="15" borderId="32" applyNumberFormat="0" applyProtection="0">
      <alignment horizontal="right" vertical="center"/>
    </xf>
    <xf numFmtId="0" fontId="21" fillId="0" borderId="0"/>
    <xf numFmtId="184" fontId="21" fillId="0" borderId="0"/>
    <xf numFmtId="4" fontId="23" fillId="15" borderId="32" applyNumberFormat="0" applyProtection="0">
      <alignment horizontal="right" vertical="center"/>
    </xf>
    <xf numFmtId="184" fontId="21" fillId="0" borderId="0"/>
    <xf numFmtId="4" fontId="41" fillId="15" borderId="1"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2" applyNumberFormat="0" applyProtection="0">
      <alignment horizontal="right" vertical="center"/>
    </xf>
    <xf numFmtId="4" fontId="23" fillId="28" borderId="32" applyNumberFormat="0" applyProtection="0">
      <alignment horizontal="right" vertical="center"/>
    </xf>
    <xf numFmtId="0" fontId="21" fillId="0" borderId="0"/>
    <xf numFmtId="184" fontId="21" fillId="0" borderId="0"/>
    <xf numFmtId="4" fontId="23" fillId="28" borderId="32" applyNumberFormat="0" applyProtection="0">
      <alignment horizontal="right" vertical="center"/>
    </xf>
    <xf numFmtId="184" fontId="21" fillId="0" borderId="0"/>
    <xf numFmtId="4" fontId="41" fillId="28" borderId="1"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2" applyNumberFormat="0" applyProtection="0">
      <alignment horizontal="right" vertical="center"/>
    </xf>
    <xf numFmtId="4" fontId="23" fillId="5" borderId="32" applyNumberFormat="0" applyProtection="0">
      <alignment horizontal="right" vertical="center"/>
    </xf>
    <xf numFmtId="0" fontId="21" fillId="0" borderId="0"/>
    <xf numFmtId="184" fontId="21" fillId="0" borderId="0"/>
    <xf numFmtId="4" fontId="23" fillId="5" borderId="32" applyNumberFormat="0" applyProtection="0">
      <alignment horizontal="right" vertical="center"/>
    </xf>
    <xf numFmtId="184" fontId="21" fillId="0" borderId="0"/>
    <xf numFmtId="4" fontId="41" fillId="5" borderId="1"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0" fontId="21" fillId="0" borderId="0"/>
    <xf numFmtId="184" fontId="21" fillId="0" borderId="0"/>
    <xf numFmtId="184" fontId="21" fillId="0" borderId="0"/>
    <xf numFmtId="4" fontId="43" fillId="29" borderId="2"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43"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1" fillId="30"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31"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6"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2" applyNumberFormat="0" applyProtection="0">
      <alignment horizontal="right" vertical="center"/>
    </xf>
    <xf numFmtId="4" fontId="23" fillId="27" borderId="32" applyNumberFormat="0" applyProtection="0">
      <alignment horizontal="right" vertical="center"/>
    </xf>
    <xf numFmtId="0" fontId="21" fillId="0" borderId="0"/>
    <xf numFmtId="184" fontId="21" fillId="0" borderId="0"/>
    <xf numFmtId="4" fontId="23" fillId="27" borderId="32" applyNumberFormat="0" applyProtection="0">
      <alignment horizontal="right" vertical="center"/>
    </xf>
    <xf numFmtId="184" fontId="21" fillId="0" borderId="0"/>
    <xf numFmtId="4" fontId="41" fillId="27" borderId="1"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0" fontId="21" fillId="0" borderId="0"/>
    <xf numFmtId="184" fontId="21" fillId="0" borderId="0"/>
    <xf numFmtId="184" fontId="21" fillId="0" borderId="0"/>
    <xf numFmtId="4" fontId="41" fillId="30" borderId="0"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0" fontId="21" fillId="0" borderId="0"/>
    <xf numFmtId="184" fontId="21" fillId="0" borderId="0"/>
    <xf numFmtId="184" fontId="21" fillId="0" borderId="0"/>
    <xf numFmtId="4" fontId="41" fillId="27" borderId="0"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1" fillId="0" borderId="0"/>
    <xf numFmtId="182" fontId="23" fillId="75" borderId="32"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1" fillId="0" borderId="0"/>
    <xf numFmtId="182" fontId="23" fillId="109" borderId="32"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1" fillId="0" borderId="0"/>
    <xf numFmtId="182" fontId="23" fillId="3" borderId="32"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1" fillId="0" borderId="0"/>
    <xf numFmtId="182" fontId="23" fillId="30" borderId="32"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2" applyNumberFormat="0">
      <protection locked="0"/>
    </xf>
    <xf numFmtId="184" fontId="23" fillId="32" borderId="52"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2" applyNumberFormat="0">
      <protection locked="0"/>
    </xf>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2" applyNumberFormat="0">
      <protection locked="0"/>
    </xf>
    <xf numFmtId="0" fontId="23" fillId="32" borderId="52" applyNumberFormat="0">
      <protection locked="0"/>
    </xf>
    <xf numFmtId="0" fontId="23" fillId="32" borderId="52"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184" fontId="23" fillId="32" borderId="52" applyNumberFormat="0">
      <protection locked="0"/>
    </xf>
    <xf numFmtId="182" fontId="146" fillId="31" borderId="53" applyBorder="0"/>
    <xf numFmtId="184" fontId="146" fillId="31" borderId="53" applyBorder="0"/>
    <xf numFmtId="182" fontId="146" fillId="31" borderId="53" applyBorder="0"/>
    <xf numFmtId="0"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185"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6" fillId="31" borderId="53" applyBorder="0"/>
    <xf numFmtId="184" fontId="146" fillId="31" borderId="53" applyBorder="0"/>
    <xf numFmtId="184" fontId="146" fillId="31" borderId="53" applyBorder="0"/>
    <xf numFmtId="0"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185"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6" fillId="31" borderId="53" applyBorder="0"/>
    <xf numFmtId="184" fontId="146" fillId="31" borderId="53" applyBorder="0"/>
    <xf numFmtId="184"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0"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6" fillId="31" borderId="53" applyBorder="0"/>
    <xf numFmtId="187"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0" fontId="21" fillId="0" borderId="0"/>
    <xf numFmtId="184" fontId="21" fillId="0" borderId="0"/>
    <xf numFmtId="0" fontId="21" fillId="0" borderId="0"/>
    <xf numFmtId="184" fontId="21" fillId="0" borderId="0"/>
    <xf numFmtId="4" fontId="138" fillId="26" borderId="1" applyNumberFormat="0" applyProtection="0">
      <alignment vertical="center"/>
    </xf>
    <xf numFmtId="184" fontId="21" fillId="0" borderId="0"/>
    <xf numFmtId="4" fontId="41"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0" fontId="5" fillId="0" borderId="0"/>
    <xf numFmtId="183" fontId="5" fillId="0" borderId="0"/>
    <xf numFmtId="184" fontId="5" fillId="0" borderId="0"/>
    <xf numFmtId="184" fontId="5" fillId="0" borderId="0"/>
    <xf numFmtId="4" fontId="138"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7" fillId="26" borderId="1" applyNumberFormat="0" applyProtection="0">
      <alignment vertical="center"/>
    </xf>
    <xf numFmtId="4" fontId="144" fillId="102" borderId="3" applyNumberFormat="0" applyProtection="0">
      <alignment vertical="center"/>
    </xf>
    <xf numFmtId="4" fontId="144" fillId="102" borderId="3" applyNumberFormat="0" applyProtection="0">
      <alignment vertical="center"/>
    </xf>
    <xf numFmtId="0" fontId="5" fillId="0" borderId="0"/>
    <xf numFmtId="183" fontId="5" fillId="0" borderId="0"/>
    <xf numFmtId="184" fontId="5" fillId="0" borderId="0"/>
    <xf numFmtId="184" fontId="5" fillId="0" borderId="0"/>
    <xf numFmtId="4" fontId="47" fillId="26" borderId="1" applyNumberFormat="0" applyProtection="0">
      <alignment vertical="center"/>
    </xf>
    <xf numFmtId="4" fontId="47"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8" fillId="75" borderId="1" applyNumberFormat="0" applyProtection="0">
      <alignment horizontal="left" vertical="center" indent="1"/>
    </xf>
    <xf numFmtId="184" fontId="21" fillId="0" borderId="0"/>
    <xf numFmtId="4" fontId="41" fillId="26"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8" fillId="75"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1" fillId="26" borderId="1" applyNumberFormat="0" applyProtection="0">
      <alignment horizontal="left" vertical="top" indent="1"/>
    </xf>
    <xf numFmtId="0" fontId="21" fillId="0" borderId="0"/>
    <xf numFmtId="184" fontId="21" fillId="0" borderId="0"/>
    <xf numFmtId="187"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21" fillId="0" borderId="0"/>
    <xf numFmtId="182" fontId="138"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30" borderId="1"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1" fillId="27" borderId="1" applyNumberFormat="0" applyProtection="0">
      <alignment horizontal="left" vertical="top" indent="1"/>
    </xf>
    <xf numFmtId="0" fontId="21" fillId="0" borderId="0"/>
    <xf numFmtId="184" fontId="21" fillId="0" borderId="0"/>
    <xf numFmtId="187"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21" fillId="0" borderId="0"/>
    <xf numFmtId="182" fontId="138"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8" fillId="33" borderId="0"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48"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8" fillId="32" borderId="32" applyNumberFormat="0" applyProtection="0">
      <alignment horizontal="right" vertical="center"/>
    </xf>
    <xf numFmtId="184" fontId="21" fillId="0" borderId="0"/>
    <xf numFmtId="4" fontId="42" fillId="30" borderId="1"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0" fontId="5" fillId="0" borderId="0"/>
    <xf numFmtId="183" fontId="5" fillId="0" borderId="0"/>
    <xf numFmtId="184" fontId="5" fillId="0" borderId="0"/>
    <xf numFmtId="184" fontId="5" fillId="0" borderId="0"/>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2"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149" fillId="0" borderId="0" applyNumberFormat="0" applyFill="0" applyBorder="0" applyAlignment="0">
      <alignment horizontal="center"/>
    </xf>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9" fillId="0" borderId="0" applyNumberFormat="0" applyFill="0" applyBorder="0" applyAlignment="0">
      <alignment horizontal="center"/>
    </xf>
    <xf numFmtId="184" fontId="149" fillId="0" borderId="0" applyNumberFormat="0" applyFill="0" applyBorder="0" applyAlignment="0">
      <alignment horizontal="center"/>
    </xf>
    <xf numFmtId="183" fontId="150" fillId="0" borderId="0">
      <alignment horizontal="right"/>
    </xf>
    <xf numFmtId="183" fontId="150" fillId="0" borderId="0">
      <alignment horizontal="right"/>
    </xf>
    <xf numFmtId="184" fontId="150"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51" fillId="0" borderId="0" applyBorder="0">
      <alignment horizontal="right"/>
    </xf>
    <xf numFmtId="40" fontId="151"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2" fillId="0" borderId="0">
      <alignment horizontal="left"/>
    </xf>
    <xf numFmtId="49" fontId="152"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3" fillId="112" borderId="0" applyNumberFormat="0" applyBorder="0" applyAlignment="0" applyProtection="0">
      <protection locked="0"/>
    </xf>
    <xf numFmtId="183" fontId="153" fillId="112" borderId="0" applyNumberFormat="0" applyBorder="0" applyAlignment="0" applyProtection="0">
      <protection locked="0"/>
    </xf>
    <xf numFmtId="184" fontId="153"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112" borderId="0" applyNumberFormat="0" applyBorder="0" applyAlignment="0" applyProtection="0">
      <protection locked="0"/>
    </xf>
    <xf numFmtId="0"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49" fillId="0" borderId="0" applyNumberFormat="0" applyFill="0" applyBorder="0" applyAlignment="0" applyProtection="0"/>
    <xf numFmtId="184" fontId="15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154"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15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4" fontId="74" fillId="0" borderId="0" applyNumberFormat="0" applyFill="0" applyBorder="0" applyAlignment="0" applyProtection="0"/>
    <xf numFmtId="182" fontId="74" fillId="0" borderId="0" applyNumberFormat="0" applyFill="0" applyBorder="0" applyAlignment="0" applyProtection="0"/>
    <xf numFmtId="182" fontId="52" fillId="0" borderId="28" applyNumberFormat="0" applyFill="0" applyAlignment="0" applyProtection="0"/>
    <xf numFmtId="0"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7"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4" applyNumberFormat="0" applyFill="0" applyAlignment="0" applyProtection="0"/>
    <xf numFmtId="182" fontId="40" fillId="0" borderId="55"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97" fontId="21" fillId="0" borderId="16">
      <protection locked="0"/>
    </xf>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97" fontId="21" fillId="0" borderId="16">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2" fillId="0" borderId="28" applyNumberFormat="0" applyFill="0" applyAlignment="0" applyProtection="0"/>
    <xf numFmtId="184" fontId="52" fillId="0" borderId="28"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52" fillId="0" borderId="28"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5" fillId="0" borderId="42" applyProtection="0"/>
    <xf numFmtId="3" fontId="155" fillId="0" borderId="42"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182" fontId="157"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7"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2" fontId="86" fillId="0" borderId="0" applyNumberFormat="0" applyFill="0" applyBorder="0" applyAlignment="0" applyProtection="0"/>
    <xf numFmtId="9" fontId="158" fillId="110" borderId="56" applyNumberFormat="0" applyFill="0" applyBorder="0" applyAlignment="0" applyProtection="0">
      <alignment horizontal="center"/>
      <protection locked="0"/>
    </xf>
    <xf numFmtId="9" fontId="158" fillId="110" borderId="56"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99" fillId="0" borderId="0" applyNumberFormat="0" applyFont="0" applyFill="0" applyBorder="0" applyProtection="0">
      <alignment wrapText="1"/>
    </xf>
    <xf numFmtId="190" fontId="99"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7" applyNumberFormat="0" applyFont="0" applyAlignment="0" applyProtection="0"/>
    <xf numFmtId="0" fontId="2" fillId="0" borderId="0"/>
    <xf numFmtId="43" fontId="2" fillId="0" borderId="0" applyFont="0" applyFill="0" applyBorder="0" applyAlignment="0" applyProtection="0"/>
    <xf numFmtId="41" fontId="17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554">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0" fontId="24"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24" fillId="0" borderId="0" xfId="0" applyFont="1" applyAlignment="1">
      <alignment horizontal="left" indent="1"/>
    </xf>
    <xf numFmtId="0" fontId="0" fillId="0" borderId="0" xfId="0" applyFill="1"/>
    <xf numFmtId="0" fontId="24" fillId="0" borderId="0" xfId="0" applyFont="1" applyFill="1"/>
    <xf numFmtId="0" fontId="0" fillId="0" borderId="0" xfId="0" applyAlignment="1">
      <alignment horizontal="left" indent="1"/>
    </xf>
    <xf numFmtId="0" fontId="24" fillId="0" borderId="0" xfId="28" applyFont="1"/>
    <xf numFmtId="0" fontId="24" fillId="0" borderId="0" xfId="28" applyFont="1" applyBorder="1" applyAlignment="1"/>
    <xf numFmtId="0" fontId="24" fillId="0" borderId="0" xfId="28" applyFont="1" applyBorder="1"/>
    <xf numFmtId="0" fontId="24" fillId="0" borderId="0" xfId="28" applyFont="1" applyBorder="1" applyAlignment="1">
      <alignment horizontal="left"/>
    </xf>
    <xf numFmtId="0" fontId="24" fillId="0" borderId="0" xfId="28" applyNumberFormat="1" applyFont="1" applyFill="1" applyBorder="1" applyAlignment="1">
      <alignment horizontal="left"/>
    </xf>
    <xf numFmtId="0" fontId="22" fillId="0" borderId="0" xfId="28" applyNumberFormat="1" applyFont="1" applyFill="1" applyBorder="1" applyAlignment="1">
      <alignment horizontal="left"/>
    </xf>
    <xf numFmtId="3" fontId="24" fillId="0" borderId="0" xfId="28" applyNumberFormat="1" applyFont="1" applyFill="1" applyBorder="1" applyAlignment="1"/>
    <xf numFmtId="1" fontId="24" fillId="0" borderId="0" xfId="28" applyNumberFormat="1" applyFont="1" applyFill="1" applyBorder="1" applyAlignment="1">
      <alignment horizontal="center"/>
    </xf>
    <xf numFmtId="0" fontId="25" fillId="0" borderId="0" xfId="28" applyFont="1" applyBorder="1" applyAlignment="1">
      <alignment horizontal="center"/>
    </xf>
    <xf numFmtId="0" fontId="22" fillId="0" borderId="0" xfId="28" applyFont="1" applyAlignment="1">
      <alignment horizontal="center"/>
    </xf>
    <xf numFmtId="167" fontId="24" fillId="0" borderId="0" xfId="28" applyNumberFormat="1" applyFont="1" applyFill="1" applyBorder="1" applyAlignment="1">
      <alignment horizontal="right"/>
    </xf>
    <xf numFmtId="167" fontId="24" fillId="0" borderId="0" xfId="20" applyNumberFormat="1" applyFont="1" applyFill="1" applyBorder="1" applyAlignment="1">
      <alignment horizontal="right"/>
    </xf>
    <xf numFmtId="0" fontId="25" fillId="0" borderId="0" xfId="28" applyFont="1" applyFill="1" applyBorder="1" applyAlignment="1">
      <alignment horizontal="center"/>
    </xf>
    <xf numFmtId="3" fontId="24" fillId="0" borderId="0" xfId="28" applyNumberFormat="1" applyFont="1" applyFill="1" applyBorder="1" applyAlignment="1">
      <alignment horizontal="left" indent="1"/>
    </xf>
    <xf numFmtId="0" fontId="25" fillId="0" borderId="0" xfId="28" applyFont="1" applyAlignment="1">
      <alignment horizontal="center"/>
    </xf>
    <xf numFmtId="0" fontId="24" fillId="0" borderId="0" xfId="28" applyFont="1" applyBorder="1" applyAlignment="1">
      <alignment horizontal="right"/>
    </xf>
    <xf numFmtId="164" fontId="24" fillId="0" borderId="0" xfId="20" applyNumberFormat="1" applyFont="1" applyFill="1" applyBorder="1" applyAlignment="1">
      <alignment horizontal="right"/>
    </xf>
    <xf numFmtId="0" fontId="24" fillId="0" borderId="0" xfId="28" applyNumberFormat="1" applyFont="1" applyFill="1" applyBorder="1" applyAlignment="1">
      <alignment horizontal="right"/>
    </xf>
    <xf numFmtId="167" fontId="24" fillId="0" borderId="0" xfId="28" quotePrefix="1" applyNumberFormat="1" applyFont="1" applyFill="1" applyBorder="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0" fontId="26" fillId="35" borderId="0" xfId="0" applyFont="1" applyFill="1" applyBorder="1"/>
    <xf numFmtId="0" fontId="27" fillId="35" borderId="0" xfId="0" applyFont="1" applyFill="1" applyBorder="1"/>
    <xf numFmtId="0" fontId="22" fillId="0" borderId="0" xfId="0" applyFont="1" applyFill="1" applyBorder="1"/>
    <xf numFmtId="0" fontId="24" fillId="0" borderId="0" xfId="0" applyFont="1" applyFill="1" applyBorder="1"/>
    <xf numFmtId="10" fontId="0" fillId="0" borderId="0" xfId="0" applyNumberFormat="1"/>
    <xf numFmtId="0" fontId="0" fillId="34" borderId="0" xfId="0" applyFill="1"/>
    <xf numFmtId="0" fontId="22" fillId="0" borderId="0" xfId="0" applyFont="1" applyFill="1"/>
    <xf numFmtId="0" fontId="28" fillId="0" borderId="0" xfId="0" applyFont="1" applyFill="1"/>
    <xf numFmtId="0" fontId="24" fillId="0" borderId="0" xfId="0" applyFont="1" applyFill="1" applyAlignment="1">
      <alignment horizontal="left" indent="1"/>
    </xf>
    <xf numFmtId="164" fontId="24" fillId="0" borderId="0" xfId="0" applyNumberFormat="1" applyFont="1" applyFill="1"/>
    <xf numFmtId="165" fontId="24" fillId="0" borderId="0" xfId="0" applyNumberFormat="1" applyFont="1" applyFill="1"/>
    <xf numFmtId="165" fontId="28" fillId="0" borderId="0" xfId="0" applyNumberFormat="1" applyFont="1" applyFill="1"/>
    <xf numFmtId="0" fontId="24" fillId="0" borderId="0" xfId="0" applyFont="1" applyAlignment="1">
      <alignment horizontal="left"/>
    </xf>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9" fillId="0" borderId="0" xfId="0" applyNumberFormat="1" applyFont="1"/>
    <xf numFmtId="164" fontId="28" fillId="0" borderId="0" xfId="0" applyNumberFormat="1" applyFont="1" applyAlignment="1">
      <alignment horizontal="right"/>
    </xf>
    <xf numFmtId="164" fontId="24" fillId="0" borderId="0" xfId="0" applyNumberFormat="1" applyFont="1" applyAlignment="1">
      <alignment horizontal="right"/>
    </xf>
    <xf numFmtId="0" fontId="0" fillId="0" borderId="0" xfId="0" applyBorder="1"/>
    <xf numFmtId="0" fontId="0" fillId="0" borderId="0" xfId="0" applyAlignment="1">
      <alignment horizontal="center"/>
    </xf>
    <xf numFmtId="0" fontId="25" fillId="0" borderId="0" xfId="0" applyFont="1" applyBorder="1" applyAlignment="1">
      <alignment horizontal="center"/>
    </xf>
    <xf numFmtId="164" fontId="0" fillId="0" borderId="0" xfId="0" applyNumberFormat="1" applyFill="1"/>
    <xf numFmtId="3" fontId="24" fillId="0" borderId="0" xfId="0" applyNumberFormat="1" applyFont="1" applyFill="1"/>
    <xf numFmtId="0" fontId="0" fillId="0" borderId="0" xfId="0" applyAlignment="1">
      <alignment horizontal="left"/>
    </xf>
    <xf numFmtId="0" fontId="24" fillId="0" borderId="0" xfId="0" applyFont="1" applyFill="1" applyBorder="1" applyAlignment="1">
      <alignment horizontal="left"/>
    </xf>
    <xf numFmtId="165" fontId="0" fillId="0" borderId="0" xfId="0" applyNumberFormat="1" applyFill="1"/>
    <xf numFmtId="0" fontId="22" fillId="0" borderId="0" xfId="0" applyFont="1" applyAlignment="1">
      <alignment horizontal="right"/>
    </xf>
    <xf numFmtId="0" fontId="24" fillId="0" borderId="0" xfId="0" quotePrefix="1" applyFont="1" applyFill="1" applyAlignment="1">
      <alignment horizontal="left" indent="1"/>
    </xf>
    <xf numFmtId="0" fontId="22" fillId="0" borderId="0" xfId="0" applyFont="1" applyAlignment="1">
      <alignment horizontal="left" indent="1"/>
    </xf>
    <xf numFmtId="166" fontId="0" fillId="0" borderId="0" xfId="0" applyNumberFormat="1"/>
    <xf numFmtId="0" fontId="24" fillId="0" borderId="0" xfId="0" applyFont="1" applyFill="1" applyBorder="1" applyAlignment="1">
      <alignment vertical="top"/>
    </xf>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xf numFmtId="0" fontId="28" fillId="0" borderId="0" xfId="0" applyFont="1" applyAlignment="1">
      <alignment horizontal="left"/>
    </xf>
    <xf numFmtId="0" fontId="24"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9" fillId="0" borderId="0" xfId="0" applyNumberFormat="1" applyFont="1"/>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Font="1" applyFill="1" applyBorder="1" applyAlignment="1">
      <alignment horizontal="right"/>
    </xf>
    <xf numFmtId="0" fontId="24" fillId="0" borderId="0" xfId="0" applyFont="1" applyBorder="1" applyAlignment="1">
      <alignment vertical="top"/>
    </xf>
    <xf numFmtId="0" fontId="24" fillId="0" borderId="0" xfId="0" applyFont="1" applyAlignment="1">
      <alignment horizontal="center"/>
    </xf>
    <xf numFmtId="172" fontId="0" fillId="34" borderId="0" xfId="0" applyNumberFormat="1" applyFill="1"/>
    <xf numFmtId="164" fontId="24" fillId="0" borderId="0" xfId="0" applyNumberFormat="1" applyFont="1" applyAlignment="1">
      <alignment horizontal="center"/>
    </xf>
    <xf numFmtId="0" fontId="22" fillId="0" borderId="0" xfId="0" applyFont="1" applyAlignment="1">
      <alignment wrapText="1"/>
    </xf>
    <xf numFmtId="164" fontId="28" fillId="0" borderId="0" xfId="0" applyNumberFormat="1" applyFont="1"/>
    <xf numFmtId="173" fontId="0" fillId="0" borderId="0" xfId="0" applyNumberFormat="1"/>
    <xf numFmtId="0" fontId="24" fillId="0" borderId="0" xfId="0" applyFont="1" applyAlignment="1">
      <alignment horizontal="right"/>
    </xf>
    <xf numFmtId="0" fontId="24" fillId="36" borderId="0" xfId="0" applyFont="1" applyFill="1" applyAlignment="1">
      <alignment horizontal="left" indent="1"/>
    </xf>
    <xf numFmtId="0" fontId="24"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164" fontId="24" fillId="0" borderId="0" xfId="0" applyNumberFormat="1" applyFont="1"/>
    <xf numFmtId="164" fontId="29" fillId="0" borderId="0" xfId="0" applyNumberFormat="1" applyFont="1" applyFill="1"/>
    <xf numFmtId="0" fontId="22" fillId="0" borderId="0" xfId="0" applyFont="1" applyAlignment="1">
      <alignment horizontal="left" indent="3"/>
    </xf>
    <xf numFmtId="164" fontId="24" fillId="0" borderId="0" xfId="0" quotePrefix="1" applyNumberFormat="1" applyFont="1" applyFill="1" applyAlignment="1">
      <alignment horizontal="right"/>
    </xf>
    <xf numFmtId="164" fontId="24" fillId="0" borderId="0" xfId="0" applyNumberFormat="1" applyFont="1" applyFill="1" applyAlignment="1">
      <alignment horizontal="right"/>
    </xf>
    <xf numFmtId="0" fontId="24" fillId="0" borderId="0" xfId="0" applyFont="1" applyFill="1" applyAlignment="1">
      <alignment horizontal="center"/>
    </xf>
    <xf numFmtId="164" fontId="0" fillId="36" borderId="0" xfId="0" applyNumberFormat="1" applyFill="1"/>
    <xf numFmtId="164" fontId="28" fillId="34" borderId="0" xfId="0" applyNumberFormat="1" applyFont="1" applyFill="1"/>
    <xf numFmtId="0" fontId="24" fillId="0" borderId="0" xfId="0" applyFont="1" applyFill="1" applyAlignment="1">
      <alignment horizontal="left"/>
    </xf>
    <xf numFmtId="0" fontId="22" fillId="0" borderId="0" xfId="0" applyFont="1" applyFill="1" applyAlignment="1">
      <alignment horizontal="center"/>
    </xf>
    <xf numFmtId="164" fontId="28" fillId="0" borderId="0" xfId="0" applyNumberFormat="1" applyFont="1" applyFill="1"/>
    <xf numFmtId="3" fontId="0" fillId="0" borderId="0" xfId="0" applyNumberFormat="1" applyFill="1"/>
    <xf numFmtId="0" fontId="0" fillId="0" borderId="0" xfId="0" applyFill="1" applyAlignment="1">
      <alignment horizontal="left" indent="1"/>
    </xf>
    <xf numFmtId="0" fontId="24" fillId="0" borderId="0" xfId="0" quotePrefix="1" applyFont="1" applyAlignment="1">
      <alignment horizontal="left" indent="1"/>
    </xf>
    <xf numFmtId="0" fontId="24" fillId="36" borderId="0" xfId="0" applyFont="1" applyFill="1"/>
    <xf numFmtId="164" fontId="28" fillId="36" borderId="0" xfId="0" applyNumberFormat="1" applyFont="1" applyFill="1"/>
    <xf numFmtId="166" fontId="24" fillId="0" borderId="0" xfId="0" applyNumberFormat="1" applyFont="1" applyAlignment="1">
      <alignment horizontal="left" indent="1"/>
    </xf>
    <xf numFmtId="0" fontId="28" fillId="0" borderId="0" xfId="0" applyFont="1" applyAlignment="1">
      <alignment horizontal="center"/>
    </xf>
    <xf numFmtId="0" fontId="0" fillId="37" borderId="0" xfId="0" applyFill="1"/>
    <xf numFmtId="0" fontId="25" fillId="0" borderId="0" xfId="0" applyFont="1" applyFill="1" applyBorder="1" applyAlignment="1">
      <alignment horizontal="center"/>
    </xf>
    <xf numFmtId="0" fontId="26" fillId="0" borderId="0" xfId="0" applyFont="1" applyFill="1" applyBorder="1"/>
    <xf numFmtId="0" fontId="27" fillId="0" borderId="0" xfId="0" applyFont="1" applyFill="1" applyBorder="1"/>
    <xf numFmtId="0" fontId="25" fillId="0" borderId="0" xfId="0" applyFont="1" applyFill="1" applyAlignment="1">
      <alignment horizontal="center"/>
    </xf>
    <xf numFmtId="168" fontId="24" fillId="0" borderId="0" xfId="0" applyNumberFormat="1" applyFont="1"/>
    <xf numFmtId="0" fontId="32" fillId="0" borderId="0" xfId="34" applyFont="1"/>
    <xf numFmtId="167" fontId="32" fillId="0" borderId="0" xfId="19" applyNumberFormat="1" applyFont="1" applyBorder="1"/>
    <xf numFmtId="0" fontId="32" fillId="0" borderId="0" xfId="34" applyFont="1" applyBorder="1" applyAlignment="1">
      <alignment horizontal="left"/>
    </xf>
    <xf numFmtId="0" fontId="32" fillId="0" borderId="0" xfId="34" applyFont="1" applyBorder="1"/>
    <xf numFmtId="10" fontId="32" fillId="0" borderId="0" xfId="37" applyNumberFormat="1" applyFont="1" applyBorder="1" applyAlignment="1">
      <alignment horizontal="left" indent="3"/>
    </xf>
    <xf numFmtId="0" fontId="32" fillId="0" borderId="0" xfId="34" applyFont="1" applyBorder="1" applyAlignment="1">
      <alignment horizontal="right" wrapText="1"/>
    </xf>
    <xf numFmtId="42" fontId="32" fillId="0" borderId="0" xfId="34" applyNumberFormat="1" applyFont="1"/>
    <xf numFmtId="175" fontId="32" fillId="0" borderId="0" xfId="34" applyNumberFormat="1" applyFont="1"/>
    <xf numFmtId="0" fontId="33" fillId="0" borderId="0" xfId="34" applyFont="1"/>
    <xf numFmtId="0" fontId="33" fillId="0" borderId="0" xfId="34" applyFont="1" applyBorder="1" applyAlignment="1">
      <alignment vertical="center" wrapText="1"/>
    </xf>
    <xf numFmtId="42" fontId="33" fillId="0" borderId="0" xfId="19" applyNumberFormat="1" applyFont="1" applyBorder="1" applyAlignment="1">
      <alignment vertical="center"/>
    </xf>
    <xf numFmtId="171" fontId="33" fillId="0" borderId="0" xfId="37" applyNumberFormat="1" applyFont="1" applyBorder="1" applyAlignment="1">
      <alignment horizontal="center" vertical="center"/>
    </xf>
    <xf numFmtId="164" fontId="32" fillId="0" borderId="0" xfId="19" applyNumberFormat="1" applyFont="1" applyBorder="1"/>
    <xf numFmtId="3" fontId="24" fillId="0" borderId="0" xfId="0" applyNumberFormat="1" applyFont="1"/>
    <xf numFmtId="0" fontId="32" fillId="0" borderId="0" xfId="28" applyFont="1"/>
    <xf numFmtId="164" fontId="0" fillId="0" borderId="0" xfId="0" applyNumberFormat="1" applyAlignment="1">
      <alignment horizontal="right" indent="1"/>
    </xf>
    <xf numFmtId="164" fontId="0" fillId="0" borderId="0" xfId="0" applyNumberFormat="1" applyAlignment="1"/>
    <xf numFmtId="165" fontId="34" fillId="0" borderId="0" xfId="0" applyNumberFormat="1" applyFont="1"/>
    <xf numFmtId="165" fontId="35" fillId="0" borderId="0" xfId="0" applyNumberFormat="1" applyFont="1"/>
    <xf numFmtId="166" fontId="0" fillId="0" borderId="0" xfId="0" applyNumberFormat="1" applyFill="1"/>
    <xf numFmtId="166" fontId="24" fillId="0" borderId="0" xfId="0" applyNumberFormat="1" applyFont="1" applyFill="1" applyAlignment="1">
      <alignment horizontal="left" indent="1"/>
    </xf>
    <xf numFmtId="1" fontId="24" fillId="36" borderId="0" xfId="28" applyNumberFormat="1" applyFont="1" applyFill="1" applyBorder="1" applyAlignment="1">
      <alignment horizontal="center"/>
    </xf>
    <xf numFmtId="165" fontId="24"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5" fontId="28" fillId="0" borderId="0" xfId="0" applyNumberFormat="1" applyFont="1"/>
    <xf numFmtId="164" fontId="24" fillId="36" borderId="0" xfId="19" applyNumberFormat="1" applyFont="1" applyFill="1" applyBorder="1"/>
    <xf numFmtId="164" fontId="24" fillId="0" borderId="0" xfId="19" applyNumberFormat="1" applyFont="1" applyBorder="1"/>
    <xf numFmtId="164" fontId="28" fillId="36" borderId="0" xfId="19" applyNumberFormat="1" applyFont="1" applyFill="1" applyBorder="1"/>
    <xf numFmtId="164" fontId="24" fillId="0" borderId="0" xfId="0" applyNumberFormat="1" applyFont="1" applyAlignment="1">
      <alignment horizontal="left" indent="1"/>
    </xf>
    <xf numFmtId="164" fontId="24" fillId="0" borderId="0" xfId="19" applyNumberFormat="1" applyFont="1" applyBorder="1" applyAlignment="1">
      <alignment horizontal="left" indent="1"/>
    </xf>
    <xf numFmtId="10" fontId="24" fillId="0" borderId="0" xfId="37" applyNumberFormat="1" applyFont="1" applyBorder="1" applyAlignment="1">
      <alignment horizontal="center"/>
    </xf>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applyBorder="1"/>
    <xf numFmtId="0" fontId="24" fillId="0" borderId="0" xfId="34" applyFont="1" applyBorder="1" applyAlignment="1">
      <alignment horizontal="left" indent="2"/>
    </xf>
    <xf numFmtId="0" fontId="22" fillId="0" borderId="0" xfId="34" applyFont="1" applyBorder="1" applyAlignment="1">
      <alignment horizontal="left"/>
    </xf>
    <xf numFmtId="0" fontId="22" fillId="0" borderId="0" xfId="34" applyFont="1" applyBorder="1" applyAlignment="1">
      <alignment horizontal="left" wrapText="1"/>
    </xf>
    <xf numFmtId="0" fontId="24" fillId="0" borderId="0" xfId="34" applyFont="1" applyBorder="1" applyAlignment="1">
      <alignment horizontal="left" wrapText="1"/>
    </xf>
    <xf numFmtId="0" fontId="22" fillId="0" borderId="0" xfId="34" applyFont="1" applyBorder="1" applyAlignment="1">
      <alignment vertical="center" wrapText="1"/>
    </xf>
    <xf numFmtId="0" fontId="22" fillId="0" borderId="0" xfId="34" applyFont="1"/>
    <xf numFmtId="0" fontId="22" fillId="0" borderId="0" xfId="34" applyFont="1" applyAlignment="1">
      <alignment horizontal="center"/>
    </xf>
    <xf numFmtId="0" fontId="24" fillId="0" borderId="0" xfId="34" applyFont="1"/>
    <xf numFmtId="0" fontId="24" fillId="36" borderId="0" xfId="34" applyFont="1" applyFill="1"/>
    <xf numFmtId="0" fontId="25" fillId="0" borderId="0" xfId="34" applyFont="1" applyFill="1" applyAlignment="1">
      <alignment horizontal="center"/>
    </xf>
    <xf numFmtId="167" fontId="24" fillId="0" borderId="0" xfId="19" applyNumberFormat="1" applyFont="1" applyBorder="1"/>
    <xf numFmtId="171" fontId="24" fillId="0" borderId="0" xfId="37" applyNumberFormat="1" applyFont="1" applyBorder="1" applyAlignment="1">
      <alignment horizontal="left" indent="3"/>
    </xf>
    <xf numFmtId="0" fontId="24" fillId="0" borderId="0" xfId="34" applyFont="1" applyBorder="1" applyAlignment="1">
      <alignment horizontal="left"/>
    </xf>
    <xf numFmtId="41" fontId="24" fillId="0" borderId="0" xfId="19" applyNumberFormat="1" applyFont="1" applyBorder="1"/>
    <xf numFmtId="41" fontId="24" fillId="0" borderId="0" xfId="34" applyNumberFormat="1" applyFont="1" applyBorder="1"/>
    <xf numFmtId="10" fontId="24" fillId="0" borderId="0" xfId="34" applyNumberFormat="1" applyFont="1" applyBorder="1" applyAlignment="1">
      <alignment horizontal="center"/>
    </xf>
    <xf numFmtId="10" fontId="24" fillId="0" borderId="0" xfId="37" applyNumberFormat="1" applyFont="1" applyFill="1" applyBorder="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Font="1" applyBorder="1" applyAlignment="1">
      <alignment horizontal="right" wrapText="1"/>
    </xf>
    <xf numFmtId="0" fontId="22" fillId="0" borderId="0" xfId="34" applyFont="1" applyBorder="1" applyAlignment="1">
      <alignment horizontal="left" vertical="center" wrapText="1"/>
    </xf>
    <xf numFmtId="0" fontId="53" fillId="36" borderId="0" xfId="34" applyFont="1" applyFill="1"/>
    <xf numFmtId="0" fontId="24" fillId="36" borderId="0" xfId="0" applyFont="1" applyFill="1" applyAlignment="1"/>
    <xf numFmtId="0" fontId="24" fillId="0" borderId="0" xfId="0" quotePrefix="1" applyFont="1" applyAlignment="1">
      <alignment horizontal="center" vertical="justify"/>
    </xf>
    <xf numFmtId="0" fontId="22" fillId="36" borderId="0" xfId="0" applyFont="1" applyFill="1" applyAlignment="1">
      <alignment horizontal="center"/>
    </xf>
    <xf numFmtId="0" fontId="25" fillId="36" borderId="0" xfId="0" applyFont="1" applyFill="1" applyAlignment="1">
      <alignment horizontal="center"/>
    </xf>
    <xf numFmtId="0" fontId="22" fillId="0" borderId="0" xfId="28" applyFont="1" applyFill="1" applyBorder="1" applyAlignment="1">
      <alignment horizontal="left"/>
    </xf>
    <xf numFmtId="0" fontId="22" fillId="0" borderId="0" xfId="0" applyFont="1" applyBorder="1" applyAlignment="1">
      <alignment horizontal="center"/>
    </xf>
    <xf numFmtId="0" fontId="22" fillId="0" borderId="3" xfId="0" applyFont="1" applyBorder="1" applyAlignment="1">
      <alignment horizontal="center"/>
    </xf>
    <xf numFmtId="0" fontId="22" fillId="0" borderId="3" xfId="0" applyFont="1" applyFill="1" applyBorder="1" applyAlignment="1">
      <alignment horizontal="center"/>
    </xf>
    <xf numFmtId="0" fontId="22" fillId="0" borderId="3" xfId="0" applyNumberFormat="1" applyFont="1" applyBorder="1" applyAlignment="1">
      <alignment horizontal="center" wrapText="1"/>
    </xf>
    <xf numFmtId="0" fontId="22" fillId="0" borderId="3" xfId="0" applyNumberFormat="1" applyFont="1" applyFill="1" applyBorder="1" applyAlignment="1">
      <alignment wrapText="1"/>
    </xf>
    <xf numFmtId="0" fontId="22" fillId="0" borderId="3" xfId="0" applyNumberFormat="1" applyFont="1" applyBorder="1" applyAlignment="1">
      <alignment wrapText="1"/>
    </xf>
    <xf numFmtId="0" fontId="22" fillId="0" borderId="3" xfId="0" applyFont="1" applyFill="1" applyBorder="1" applyAlignment="1">
      <alignment horizontal="center" wrapText="1"/>
    </xf>
    <xf numFmtId="0" fontId="22" fillId="0" borderId="3" xfId="0" applyFont="1" applyBorder="1" applyAlignment="1">
      <alignment horizontal="center" wrapText="1"/>
    </xf>
    <xf numFmtId="0" fontId="24" fillId="0" borderId="3" xfId="0" quotePrefix="1" applyNumberFormat="1" applyFont="1" applyFill="1" applyBorder="1" applyAlignment="1">
      <alignment horizontal="center"/>
    </xf>
    <xf numFmtId="0" fontId="24" fillId="0" borderId="3" xfId="0" quotePrefix="1" applyNumberFormat="1" applyFont="1" applyFill="1" applyBorder="1" applyAlignment="1">
      <alignment horizontal="left"/>
    </xf>
    <xf numFmtId="0" fontId="24" fillId="0" borderId="3" xfId="0" quotePrefix="1" applyNumberFormat="1" applyFont="1" applyFill="1" applyBorder="1"/>
    <xf numFmtId="0" fontId="24" fillId="0" borderId="3" xfId="0" applyFont="1" applyFill="1" applyBorder="1" applyAlignment="1">
      <alignment horizontal="center"/>
    </xf>
    <xf numFmtId="37" fontId="24" fillId="0" borderId="3" xfId="0" applyNumberFormat="1" applyFont="1" applyFill="1" applyBorder="1" applyAlignment="1">
      <alignment horizontal="center"/>
    </xf>
    <xf numFmtId="0" fontId="24" fillId="0" borderId="3" xfId="0" quotePrefix="1" applyNumberFormat="1" applyFont="1" applyBorder="1" applyAlignment="1">
      <alignment horizontal="center"/>
    </xf>
    <xf numFmtId="0" fontId="24" fillId="0" borderId="3" xfId="0" quotePrefix="1" applyNumberFormat="1" applyFont="1" applyBorder="1"/>
    <xf numFmtId="0" fontId="24" fillId="0" borderId="3" xfId="0" applyFont="1" applyBorder="1" applyAlignment="1">
      <alignment horizontal="center"/>
    </xf>
    <xf numFmtId="0" fontId="22" fillId="0" borderId="0" xfId="0" quotePrefix="1" applyNumberFormat="1" applyFont="1" applyBorder="1" applyAlignment="1">
      <alignment horizontal="center"/>
    </xf>
    <xf numFmtId="0" fontId="22" fillId="0" borderId="0" xfId="0" applyNumberFormat="1" applyFont="1" applyFill="1" applyBorder="1"/>
    <xf numFmtId="0" fontId="22" fillId="0" borderId="0" xfId="0" quotePrefix="1" applyNumberFormat="1" applyFont="1" applyBorder="1"/>
    <xf numFmtId="0" fontId="22" fillId="0" borderId="0" xfId="0" quotePrefix="1" applyNumberFormat="1" applyFont="1" applyFill="1" applyBorder="1"/>
    <xf numFmtId="37" fontId="24" fillId="0" borderId="0" xfId="0" applyNumberFormat="1" applyFont="1" applyFill="1" applyBorder="1" applyAlignment="1">
      <alignment horizontal="center"/>
    </xf>
    <xf numFmtId="0" fontId="24" fillId="0" borderId="0" xfId="0" applyFont="1" applyBorder="1" applyAlignment="1">
      <alignment horizontal="center"/>
    </xf>
    <xf numFmtId="0" fontId="24" fillId="0" borderId="0" xfId="0" quotePrefix="1" applyNumberFormat="1" applyFont="1" applyBorder="1" applyAlignment="1">
      <alignment horizontal="center"/>
    </xf>
    <xf numFmtId="0" fontId="24" fillId="0" borderId="3" xfId="0" applyFont="1" applyFill="1" applyBorder="1"/>
    <xf numFmtId="37" fontId="22" fillId="0" borderId="0" xfId="0" applyNumberFormat="1" applyFont="1" applyFill="1" applyBorder="1" applyAlignment="1">
      <alignment horizontal="center"/>
    </xf>
    <xf numFmtId="0" fontId="24" fillId="0" borderId="3" xfId="0" quotePrefix="1" applyNumberFormat="1" applyFont="1" applyBorder="1" applyAlignment="1">
      <alignment horizontal="left"/>
    </xf>
    <xf numFmtId="0" fontId="24" fillId="0" borderId="3" xfId="0" applyNumberFormat="1" applyFont="1" applyFill="1" applyBorder="1"/>
    <xf numFmtId="0" fontId="24" fillId="0" borderId="3" xfId="0" applyNumberFormat="1" applyFont="1" applyFill="1" applyBorder="1" applyAlignment="1">
      <alignment horizontal="left"/>
    </xf>
    <xf numFmtId="39" fontId="24" fillId="0" borderId="0" xfId="19" applyNumberFormat="1" applyFont="1" applyBorder="1" applyAlignment="1">
      <alignment horizontal="center"/>
    </xf>
    <xf numFmtId="0" fontId="24" fillId="0" borderId="0" xfId="0" applyFont="1" applyFill="1" applyBorder="1" applyAlignment="1">
      <alignment horizontal="center"/>
    </xf>
    <xf numFmtId="39" fontId="24" fillId="0" borderId="0" xfId="19" applyNumberFormat="1" applyFont="1" applyFill="1" applyBorder="1" applyAlignment="1">
      <alignment horizontal="center"/>
    </xf>
    <xf numFmtId="0" fontId="24" fillId="0" borderId="0" xfId="0" applyFont="1" applyBorder="1"/>
    <xf numFmtId="0" fontId="22" fillId="0" borderId="3" xfId="0" applyNumberFormat="1" applyFont="1" applyFill="1" applyBorder="1" applyAlignment="1">
      <alignment horizontal="right"/>
    </xf>
    <xf numFmtId="0" fontId="24" fillId="0" borderId="0" xfId="0" quotePrefix="1" applyNumberFormat="1" applyFont="1" applyBorder="1"/>
    <xf numFmtId="0" fontId="24" fillId="0" borderId="0" xfId="0" quotePrefix="1" applyNumberFormat="1" applyFont="1" applyFill="1" applyBorder="1"/>
    <xf numFmtId="164" fontId="24" fillId="0" borderId="0" xfId="19" applyNumberFormat="1" applyFont="1" applyBorder="1" applyAlignment="1">
      <alignment horizontal="right"/>
    </xf>
    <xf numFmtId="0" fontId="28" fillId="0" borderId="0" xfId="0" applyFont="1" applyBorder="1" applyAlignment="1">
      <alignment horizontal="center"/>
    </xf>
    <xf numFmtId="49" fontId="24" fillId="0" borderId="0" xfId="19" applyNumberFormat="1" applyFont="1" applyBorder="1" applyAlignment="1">
      <alignment horizontal="left" indent="1"/>
    </xf>
    <xf numFmtId="0" fontId="54" fillId="0" borderId="0" xfId="0" applyFont="1"/>
    <xf numFmtId="0" fontId="54" fillId="0" borderId="0" xfId="0" applyFont="1" applyAlignment="1">
      <alignment horizontal="right"/>
    </xf>
    <xf numFmtId="164" fontId="54" fillId="0" borderId="0" xfId="0" applyNumberFormat="1" applyFont="1"/>
    <xf numFmtId="0" fontId="55" fillId="0" borderId="0" xfId="0" applyFont="1" applyAlignment="1">
      <alignment horizontal="center"/>
    </xf>
    <xf numFmtId="164" fontId="54" fillId="0" borderId="0" xfId="0" applyNumberFormat="1" applyFont="1" applyFill="1"/>
    <xf numFmtId="164" fontId="54" fillId="36" borderId="0" xfId="0" applyNumberFormat="1" applyFont="1" applyFill="1"/>
    <xf numFmtId="164" fontId="54" fillId="0" borderId="0" xfId="0" applyNumberFormat="1" applyFont="1" applyAlignment="1">
      <alignment horizontal="right"/>
    </xf>
    <xf numFmtId="164" fontId="54" fillId="0" borderId="0" xfId="0" quotePrefix="1" applyNumberFormat="1" applyFont="1" applyAlignment="1">
      <alignment horizontal="center"/>
    </xf>
    <xf numFmtId="0" fontId="54" fillId="0" borderId="0" xfId="0" applyFont="1" applyFill="1"/>
    <xf numFmtId="10" fontId="54" fillId="0" borderId="0" xfId="0" applyNumberFormat="1" applyFont="1" applyFill="1"/>
    <xf numFmtId="0" fontId="52" fillId="0" borderId="0" xfId="0" applyFont="1" applyAlignment="1">
      <alignment horizontal="center"/>
    </xf>
    <xf numFmtId="0" fontId="57" fillId="0" borderId="0" xfId="0" applyFont="1" applyAlignment="1">
      <alignment horizontal="center"/>
    </xf>
    <xf numFmtId="166" fontId="54" fillId="0" borderId="0" xfId="0" applyNumberFormat="1" applyFont="1"/>
    <xf numFmtId="164" fontId="54" fillId="34" borderId="0" xfId="0" applyNumberFormat="1" applyFont="1" applyFill="1"/>
    <xf numFmtId="0" fontId="54" fillId="0" borderId="0" xfId="0" applyFont="1" applyAlignment="1">
      <alignment horizontal="left" indent="1"/>
    </xf>
    <xf numFmtId="165" fontId="54" fillId="0" borderId="0" xfId="0" applyNumberFormat="1" applyFont="1"/>
    <xf numFmtId="0" fontId="54"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ont="1" applyFill="1"/>
    <xf numFmtId="0" fontId="22" fillId="0" borderId="0" xfId="28" applyFont="1" applyFill="1" applyBorder="1" applyAlignment="1">
      <alignment horizontal="left" vertical="center"/>
    </xf>
    <xf numFmtId="0" fontId="22" fillId="0" borderId="0" xfId="28" applyFont="1" applyFill="1" applyBorder="1" applyAlignment="1">
      <alignment horizontal="center" vertical="center" wrapText="1"/>
    </xf>
    <xf numFmtId="0" fontId="22" fillId="0" borderId="0" xfId="28" applyFont="1" applyFill="1" applyBorder="1" applyAlignment="1">
      <alignment horizontal="center" vertical="center"/>
    </xf>
    <xf numFmtId="0" fontId="22" fillId="0" borderId="0" xfId="28" applyFont="1" applyFill="1" applyBorder="1" applyAlignment="1">
      <alignment horizontal="center"/>
    </xf>
    <xf numFmtId="0" fontId="22" fillId="0" borderId="0" xfId="28" applyFont="1" applyBorder="1" applyAlignment="1">
      <alignment horizontal="center" vertical="center" wrapText="1"/>
    </xf>
    <xf numFmtId="0" fontId="24" fillId="0" borderId="0" xfId="28" applyFont="1" applyFill="1" applyBorder="1" applyAlignment="1">
      <alignment horizontal="left" vertical="center" indent="1"/>
    </xf>
    <xf numFmtId="164" fontId="24" fillId="0" borderId="0" xfId="28" applyNumberFormat="1" applyFont="1" applyFill="1" applyBorder="1" applyAlignment="1">
      <alignment horizontal="right" vertical="center" wrapText="1"/>
    </xf>
    <xf numFmtId="164" fontId="24" fillId="0" borderId="0" xfId="20" applyNumberFormat="1" applyFont="1" applyFill="1"/>
    <xf numFmtId="164" fontId="24" fillId="0" borderId="0" xfId="28" applyNumberFormat="1" applyFont="1" applyFill="1" applyBorder="1" applyAlignment="1">
      <alignment horizontal="right"/>
    </xf>
    <xf numFmtId="164" fontId="28" fillId="0" borderId="0" xfId="28" applyNumberFormat="1" applyFont="1" applyFill="1" applyBorder="1" applyAlignment="1">
      <alignment horizontal="right" vertical="center" wrapText="1"/>
    </xf>
    <xf numFmtId="164" fontId="28" fillId="0" borderId="0" xfId="20" applyNumberFormat="1" applyFont="1" applyFill="1"/>
    <xf numFmtId="164" fontId="28" fillId="0" borderId="0" xfId="28" applyNumberFormat="1" applyFont="1" applyFill="1" applyBorder="1" applyAlignment="1">
      <alignment horizontal="right"/>
    </xf>
    <xf numFmtId="164" fontId="24" fillId="0" borderId="0" xfId="28" applyNumberFormat="1" applyFont="1" applyFill="1" applyAlignment="1">
      <alignment vertical="center"/>
    </xf>
    <xf numFmtId="0" fontId="24" fillId="0" borderId="0" xfId="28" applyFont="1" applyFill="1"/>
    <xf numFmtId="41" fontId="24" fillId="0" borderId="0" xfId="20" applyNumberFormat="1" applyFont="1" applyFill="1"/>
    <xf numFmtId="41" fontId="24" fillId="0" borderId="0" xfId="28" applyNumberFormat="1" applyFont="1" applyFill="1"/>
    <xf numFmtId="41" fontId="24" fillId="0" borderId="0" xfId="20" applyNumberFormat="1" applyFont="1"/>
    <xf numFmtId="41" fontId="24" fillId="0" borderId="0" xfId="20" applyNumberFormat="1" applyFont="1" applyAlignment="1" applyProtection="1">
      <alignment horizontal="right" indent="2"/>
    </xf>
    <xf numFmtId="0" fontId="22" fillId="0" borderId="0" xfId="28" applyFont="1" applyFill="1"/>
    <xf numFmtId="0" fontId="24" fillId="0" borderId="0" xfId="28" applyFont="1" applyFill="1" applyAlignment="1">
      <alignment horizontal="left" wrapText="1" indent="1"/>
    </xf>
    <xf numFmtId="164" fontId="24" fillId="0" borderId="0" xfId="28" applyNumberFormat="1" applyFont="1" applyFill="1"/>
    <xf numFmtId="41" fontId="36" fillId="0" borderId="0" xfId="20" applyNumberFormat="1" applyFont="1" applyFill="1"/>
    <xf numFmtId="164" fontId="36" fillId="0" borderId="0" xfId="20" applyNumberFormat="1" applyFont="1" applyFill="1"/>
    <xf numFmtId="42" fontId="36" fillId="0" borderId="0" xfId="28" applyNumberFormat="1" applyFont="1"/>
    <xf numFmtId="42" fontId="24" fillId="0" borderId="0" xfId="28" applyNumberFormat="1" applyFont="1"/>
    <xf numFmtId="42" fontId="24" fillId="0" borderId="0" xfId="20" applyNumberFormat="1" applyFont="1" applyBorder="1"/>
    <xf numFmtId="42" fontId="24" fillId="0" borderId="0" xfId="28" applyNumberFormat="1" applyFont="1" applyBorder="1"/>
    <xf numFmtId="164" fontId="24" fillId="0" borderId="0" xfId="20" applyNumberFormat="1" applyFont="1" applyBorder="1"/>
    <xf numFmtId="43" fontId="24" fillId="0" borderId="0" xfId="28" applyNumberFormat="1" applyFont="1"/>
    <xf numFmtId="41" fontId="24" fillId="0" borderId="0" xfId="28" applyNumberFormat="1" applyFont="1"/>
    <xf numFmtId="0" fontId="22" fillId="0" borderId="0" xfId="28" applyFont="1" applyAlignment="1">
      <alignment horizontal="center" wrapText="1"/>
    </xf>
    <xf numFmtId="0" fontId="25" fillId="0" borderId="0" xfId="28" applyFont="1"/>
    <xf numFmtId="164" fontId="24" fillId="0" borderId="0" xfId="28" applyNumberFormat="1" applyFont="1" applyBorder="1"/>
    <xf numFmtId="0" fontId="24" fillId="0" borderId="0" xfId="28" applyFont="1" applyFill="1" applyBorder="1" applyAlignment="1">
      <alignment horizontal="right" vertical="center"/>
    </xf>
    <xf numFmtId="168" fontId="24" fillId="0" borderId="0" xfId="39" applyNumberFormat="1" applyFont="1" applyFill="1" applyBorder="1" applyAlignment="1">
      <alignment vertical="center"/>
    </xf>
    <xf numFmtId="10" fontId="24" fillId="0" borderId="0" xfId="39" applyNumberFormat="1" applyFont="1" applyFill="1" applyBorder="1" applyAlignment="1">
      <alignment vertical="center"/>
    </xf>
    <xf numFmtId="0" fontId="24" fillId="0" borderId="0" xfId="28" applyFont="1" applyFill="1" applyBorder="1"/>
    <xf numFmtId="10" fontId="24" fillId="0" borderId="0" xfId="39" applyNumberFormat="1" applyFont="1" applyFill="1" applyBorder="1"/>
    <xf numFmtId="42" fontId="24" fillId="0" borderId="0" xfId="20" applyNumberFormat="1" applyFont="1" applyFill="1"/>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39" fontId="24" fillId="0" borderId="3" xfId="22" quotePrefix="1" applyNumberFormat="1" applyFont="1" applyFill="1" applyBorder="1" applyAlignment="1">
      <alignment horizontal="center"/>
    </xf>
    <xf numFmtId="176" fontId="22" fillId="0" borderId="3" xfId="22" applyNumberFormat="1"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37" fontId="24" fillId="0" borderId="3" xfId="22" quotePrefix="1" applyNumberFormat="1" applyFont="1" applyFill="1" applyBorder="1" applyAlignment="1">
      <alignment horizontal="center"/>
    </xf>
    <xf numFmtId="39" fontId="24" fillId="0" borderId="0" xfId="22" quotePrefix="1" applyNumberFormat="1" applyFont="1" applyBorder="1" applyAlignment="1">
      <alignment horizontal="center"/>
    </xf>
    <xf numFmtId="176" fontId="24" fillId="0" borderId="0" xfId="22" applyNumberFormat="1" applyFont="1" applyBorder="1" applyAlignment="1">
      <alignment horizontal="center"/>
    </xf>
    <xf numFmtId="0" fontId="24" fillId="0" borderId="3" xfId="22" applyNumberFormat="1" applyFont="1" applyFill="1" applyBorder="1" applyAlignment="1">
      <alignment horizontal="left"/>
    </xf>
    <xf numFmtId="37" fontId="24" fillId="36" borderId="3" xfId="22" quotePrefix="1" applyNumberFormat="1" applyFont="1" applyFill="1" applyBorder="1" applyAlignment="1">
      <alignment horizontal="center"/>
    </xf>
    <xf numFmtId="0" fontId="24" fillId="36" borderId="3" xfId="0" applyFont="1" applyFill="1" applyBorder="1" applyAlignment="1">
      <alignment horizontal="center"/>
    </xf>
    <xf numFmtId="37" fontId="24" fillId="36" borderId="3" xfId="0" applyNumberFormat="1" applyFont="1" applyFill="1" applyBorder="1" applyAlignment="1">
      <alignment horizontal="center"/>
    </xf>
    <xf numFmtId="37" fontId="24" fillId="36" borderId="3" xfId="22" applyNumberFormat="1" applyFont="1" applyFill="1" applyBorder="1" applyAlignment="1">
      <alignment horizontal="center"/>
    </xf>
    <xf numFmtId="39" fontId="24" fillId="36" borderId="3" xfId="22" quotePrefix="1" applyNumberFormat="1" applyFont="1" applyFill="1" applyBorder="1" applyAlignment="1">
      <alignment horizontal="center"/>
    </xf>
    <xf numFmtId="39" fontId="24" fillId="36" borderId="4" xfId="22" quotePrefix="1" applyNumberFormat="1" applyFont="1" applyFill="1" applyBorder="1" applyAlignment="1">
      <alignment horizontal="center"/>
    </xf>
    <xf numFmtId="37" fontId="22" fillId="36" borderId="3" xfId="22" quotePrefix="1" applyNumberFormat="1" applyFont="1" applyFill="1" applyBorder="1" applyAlignment="1">
      <alignment horizontal="center"/>
    </xf>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24" fillId="0" borderId="0" xfId="22" quotePrefix="1" applyNumberFormat="1" applyFont="1" applyFill="1" applyBorder="1" applyAlignment="1">
      <alignment horizontal="center"/>
    </xf>
    <xf numFmtId="39" fontId="53" fillId="0" borderId="0" xfId="22" quotePrefix="1" applyNumberFormat="1" applyFont="1" applyBorder="1" applyAlignment="1">
      <alignment horizontal="center"/>
    </xf>
    <xf numFmtId="39" fontId="24" fillId="0" borderId="3" xfId="22" applyNumberFormat="1" applyFont="1" applyBorder="1" applyAlignment="1">
      <alignment horizontal="center" wrapText="1"/>
    </xf>
    <xf numFmtId="177" fontId="53" fillId="0" borderId="0" xfId="22" applyNumberFormat="1" applyFont="1" applyBorder="1" applyAlignment="1">
      <alignment horizontal="center"/>
    </xf>
    <xf numFmtId="39" fontId="53"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8"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NumberFormat="1" applyFont="1" applyFill="1" applyBorder="1"/>
    <xf numFmtId="0" fontId="22" fillId="37" borderId="0" xfId="0" applyFont="1" applyFill="1" applyBorder="1"/>
    <xf numFmtId="37" fontId="58" fillId="0" borderId="0" xfId="22" quotePrefix="1" applyNumberFormat="1" applyFont="1" applyBorder="1" applyAlignment="1">
      <alignment horizontal="center"/>
    </xf>
    <xf numFmtId="0" fontId="24" fillId="36" borderId="3" xfId="0" quotePrefix="1" applyNumberFormat="1" applyFont="1" applyFill="1" applyBorder="1"/>
    <xf numFmtId="0" fontId="24" fillId="36" borderId="3" xfId="0" quotePrefix="1" applyNumberFormat="1" applyFont="1" applyFill="1" applyBorder="1" applyAlignment="1">
      <alignment horizontal="left"/>
    </xf>
    <xf numFmtId="0" fontId="24" fillId="36" borderId="3" xfId="0" applyNumberFormat="1" applyFont="1" applyFill="1" applyBorder="1"/>
    <xf numFmtId="0" fontId="24" fillId="36" borderId="3" xfId="0" applyNumberFormat="1" applyFont="1" applyFill="1" applyBorder="1" applyAlignment="1">
      <alignment horizontal="left"/>
    </xf>
    <xf numFmtId="0" fontId="24" fillId="36" borderId="3" xfId="0" quotePrefix="1" applyNumberFormat="1" applyFont="1" applyFill="1" applyBorder="1" applyAlignment="1">
      <alignment horizontal="center"/>
    </xf>
    <xf numFmtId="0" fontId="24" fillId="37" borderId="3" xfId="0" applyFont="1" applyFill="1" applyBorder="1" applyAlignment="1">
      <alignment horizontal="center"/>
    </xf>
    <xf numFmtId="0" fontId="24" fillId="37" borderId="3" xfId="0" applyFont="1" applyFill="1" applyBorder="1"/>
    <xf numFmtId="39" fontId="24" fillId="37" borderId="3" xfId="22" applyNumberFormat="1" applyFont="1" applyFill="1" applyBorder="1" applyAlignment="1">
      <alignment horizontal="center"/>
    </xf>
    <xf numFmtId="0" fontId="22" fillId="37" borderId="3" xfId="0" applyFont="1" applyFill="1" applyBorder="1" applyAlignment="1">
      <alignment horizontal="center"/>
    </xf>
    <xf numFmtId="37" fontId="24" fillId="0" borderId="3" xfId="22" applyNumberFormat="1" applyFont="1" applyFill="1" applyBorder="1" applyAlignment="1">
      <alignment horizontal="center"/>
    </xf>
    <xf numFmtId="39" fontId="24" fillId="0" borderId="3" xfId="22" applyNumberFormat="1" applyFont="1" applyFill="1" applyBorder="1" applyAlignment="1">
      <alignment horizontal="center"/>
    </xf>
    <xf numFmtId="49" fontId="24" fillId="0" borderId="0" xfId="22" applyNumberFormat="1" applyFont="1" applyBorder="1" applyAlignment="1">
      <alignment horizontal="left"/>
    </xf>
    <xf numFmtId="39" fontId="24" fillId="0" borderId="3" xfId="22" applyNumberFormat="1" applyFont="1" applyBorder="1" applyAlignment="1">
      <alignment horizontal="right"/>
    </xf>
    <xf numFmtId="10" fontId="24" fillId="0" borderId="3" xfId="38" applyNumberFormat="1" applyFont="1" applyFill="1" applyBorder="1" applyAlignment="1">
      <alignment horizontal="center"/>
    </xf>
    <xf numFmtId="39" fontId="24" fillId="0" borderId="3" xfId="22" quotePrefix="1" applyNumberFormat="1" applyFont="1" applyBorder="1" applyAlignment="1">
      <alignment horizontal="center"/>
    </xf>
    <xf numFmtId="39" fontId="22" fillId="0" borderId="3" xfId="22" applyNumberFormat="1" applyFont="1" applyFill="1" applyBorder="1" applyAlignment="1">
      <alignment horizontal="right" wrapText="1"/>
    </xf>
    <xf numFmtId="0" fontId="24" fillId="37" borderId="3" xfId="0" quotePrefix="1" applyNumberFormat="1" applyFont="1" applyFill="1" applyBorder="1"/>
    <xf numFmtId="0" fontId="24" fillId="36" borderId="6" xfId="0" applyFont="1" applyFill="1" applyBorder="1" applyAlignment="1"/>
    <xf numFmtId="0" fontId="24" fillId="36" borderId="4" xfId="0" applyFont="1" applyFill="1" applyBorder="1" applyAlignment="1"/>
    <xf numFmtId="0" fontId="24" fillId="36" borderId="3" xfId="0" applyFont="1" applyFill="1" applyBorder="1"/>
    <xf numFmtId="39" fontId="24" fillId="36" borderId="3" xfId="22" applyNumberFormat="1" applyFont="1" applyFill="1" applyBorder="1" applyAlignment="1">
      <alignment horizontal="center"/>
    </xf>
    <xf numFmtId="39" fontId="24" fillId="36" borderId="3" xfId="0" applyNumberFormat="1" applyFont="1" applyFill="1" applyBorder="1" applyAlignment="1">
      <alignment horizontal="center"/>
    </xf>
    <xf numFmtId="0" fontId="22" fillId="36" borderId="3" xfId="0" quotePrefix="1" applyNumberFormat="1" applyFont="1" applyFill="1" applyBorder="1"/>
    <xf numFmtId="39" fontId="22" fillId="36" borderId="3" xfId="22" quotePrefix="1" applyNumberFormat="1" applyFont="1" applyFill="1" applyBorder="1" applyAlignment="1">
      <alignment horizontal="center"/>
    </xf>
    <xf numFmtId="0" fontId="22" fillId="36" borderId="3" xfId="0" applyNumberFormat="1"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0" fontId="25" fillId="0" borderId="0" xfId="0" quotePrefix="1" applyFont="1" applyFill="1" applyAlignment="1">
      <alignment horizontal="center"/>
    </xf>
    <xf numFmtId="164" fontId="22" fillId="0" borderId="0" xfId="0" applyNumberFormat="1" applyFont="1" applyFill="1" applyAlignment="1">
      <alignment horizontal="center"/>
    </xf>
    <xf numFmtId="164" fontId="25" fillId="0" borderId="0" xfId="0" applyNumberFormat="1" applyFont="1" applyFill="1" applyAlignment="1">
      <alignment horizontal="center"/>
    </xf>
    <xf numFmtId="164" fontId="25" fillId="36" borderId="0" xfId="0" applyNumberFormat="1" applyFont="1" applyFill="1" applyAlignment="1">
      <alignment horizontal="center"/>
    </xf>
    <xf numFmtId="0" fontId="24" fillId="0" borderId="0" xfId="0" quotePrefix="1" applyFont="1" applyFill="1" applyAlignment="1">
      <alignment horizontal="center"/>
    </xf>
    <xf numFmtId="0" fontId="24" fillId="0" borderId="0" xfId="0" applyFont="1" applyFill="1" applyAlignment="1">
      <alignment horizontal="right"/>
    </xf>
    <xf numFmtId="164" fontId="28" fillId="0" borderId="0" xfId="0" applyNumberFormat="1" applyFont="1" applyFill="1" applyAlignment="1">
      <alignment horizontal="right"/>
    </xf>
    <xf numFmtId="164" fontId="24" fillId="36" borderId="0" xfId="0" applyNumberFormat="1" applyFont="1" applyFill="1" applyAlignment="1">
      <alignment horizontal="right"/>
    </xf>
    <xf numFmtId="10" fontId="54" fillId="0" borderId="0" xfId="0" applyNumberFormat="1" applyFont="1"/>
    <xf numFmtId="164" fontId="59" fillId="0" borderId="0" xfId="0" applyNumberFormat="1" applyFont="1"/>
    <xf numFmtId="0" fontId="56" fillId="0" borderId="0" xfId="0" applyFont="1" applyAlignment="1">
      <alignment horizontal="center"/>
    </xf>
    <xf numFmtId="3" fontId="54" fillId="36" borderId="0" xfId="0" applyNumberFormat="1" applyFont="1" applyFill="1"/>
    <xf numFmtId="0" fontId="52" fillId="0" borderId="0" xfId="0" applyFont="1"/>
    <xf numFmtId="0" fontId="30" fillId="0" borderId="0" xfId="27" applyAlignment="1" applyProtection="1"/>
    <xf numFmtId="0" fontId="28" fillId="0" borderId="0" xfId="0" applyFont="1" applyFill="1" applyAlignment="1">
      <alignment horizontal="center"/>
    </xf>
    <xf numFmtId="168" fontId="24" fillId="0" borderId="0" xfId="0" applyNumberFormat="1" applyFont="1" applyFill="1" applyAlignment="1">
      <alignment horizontal="right"/>
    </xf>
    <xf numFmtId="0" fontId="24" fillId="0" borderId="0" xfId="0" applyFont="1" applyFill="1" applyAlignment="1">
      <alignment horizontal="left" indent="2"/>
    </xf>
    <xf numFmtId="0" fontId="0" fillId="0" borderId="0" xfId="0" applyFill="1" applyAlignment="1">
      <alignment horizontal="left" indent="2"/>
    </xf>
    <xf numFmtId="0" fontId="24" fillId="0" borderId="0" xfId="0" applyFont="1" applyFill="1" applyAlignment="1">
      <alignment horizontal="left" indent="3"/>
    </xf>
    <xf numFmtId="166" fontId="54" fillId="0" borderId="0" xfId="0" quotePrefix="1" applyNumberFormat="1" applyFont="1" applyAlignment="1">
      <alignment horizontal="right"/>
    </xf>
    <xf numFmtId="168" fontId="28" fillId="0" borderId="0" xfId="0" applyNumberFormat="1" applyFont="1"/>
    <xf numFmtId="0" fontId="60" fillId="0" borderId="0" xfId="0" applyFont="1" applyAlignment="1">
      <alignment horizontal="center"/>
    </xf>
    <xf numFmtId="164" fontId="42" fillId="0" borderId="0" xfId="0" applyNumberFormat="1" applyFont="1" applyBorder="1"/>
    <xf numFmtId="0" fontId="0" fillId="36" borderId="0" xfId="0" applyFill="1" applyAlignment="1">
      <alignment horizontal="left" indent="1"/>
    </xf>
    <xf numFmtId="0" fontId="22" fillId="0" borderId="0" xfId="0" applyFont="1" applyFill="1" applyAlignment="1">
      <alignment horizontal="left"/>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4" fillId="0" borderId="0" xfId="0" applyNumberFormat="1" applyFont="1"/>
    <xf numFmtId="0" fontId="0" fillId="0" borderId="8" xfId="0" applyBorder="1" applyAlignment="1">
      <alignment horizontal="center"/>
    </xf>
    <xf numFmtId="0" fontId="55" fillId="0" borderId="0" xfId="0" applyFont="1"/>
    <xf numFmtId="0" fontId="54" fillId="36" borderId="0" xfId="0" applyFont="1" applyFill="1"/>
    <xf numFmtId="164" fontId="59" fillId="36" borderId="0" xfId="0" applyNumberFormat="1" applyFont="1" applyFill="1"/>
    <xf numFmtId="0" fontId="56" fillId="0" borderId="0" xfId="0" applyFont="1"/>
    <xf numFmtId="0" fontId="22" fillId="36" borderId="0" xfId="0" quotePrefix="1" applyFont="1" applyFill="1" applyAlignment="1">
      <alignment vertical="center"/>
    </xf>
    <xf numFmtId="164" fontId="24" fillId="36" borderId="8" xfId="0" applyNumberFormat="1" applyFont="1" applyFill="1" applyBorder="1"/>
    <xf numFmtId="164" fontId="57" fillId="0" borderId="0" xfId="0" applyNumberFormat="1" applyFont="1" applyAlignment="1">
      <alignment horizontal="center"/>
    </xf>
    <xf numFmtId="165" fontId="21" fillId="0" borderId="0" xfId="0" applyNumberFormat="1" applyFont="1" applyFill="1"/>
    <xf numFmtId="37" fontId="22" fillId="0" borderId="3" xfId="22" applyNumberFormat="1" applyFont="1" applyFill="1" applyBorder="1" applyAlignment="1">
      <alignment horizontal="center"/>
    </xf>
    <xf numFmtId="37" fontId="22" fillId="0" borderId="3" xfId="0" applyNumberFormat="1" applyFont="1" applyBorder="1" applyAlignment="1">
      <alignment horizontal="center"/>
    </xf>
    <xf numFmtId="37" fontId="22" fillId="37" borderId="3" xfId="0" applyNumberFormat="1" applyFont="1" applyFill="1" applyBorder="1" applyAlignment="1">
      <alignment horizontal="center"/>
    </xf>
    <xf numFmtId="164" fontId="24" fillId="0" borderId="0" xfId="19" applyNumberFormat="1" applyFont="1" applyBorder="1" applyAlignment="1">
      <alignment horizontal="center"/>
    </xf>
    <xf numFmtId="37" fontId="22" fillId="0" borderId="0" xfId="0" applyNumberFormat="1" applyFont="1" applyBorder="1" applyAlignment="1">
      <alignment horizontal="center"/>
    </xf>
    <xf numFmtId="164" fontId="28" fillId="36" borderId="0" xfId="0" applyNumberFormat="1" applyFont="1" applyFill="1" applyAlignment="1">
      <alignment horizontal="right"/>
    </xf>
    <xf numFmtId="0" fontId="24" fillId="36" borderId="0" xfId="0" applyFont="1" applyFill="1" applyAlignment="1">
      <alignment horizontal="right"/>
    </xf>
    <xf numFmtId="0" fontId="22" fillId="0" borderId="0" xfId="28" applyFont="1" applyAlignment="1">
      <alignment horizontal="left" vertical="center"/>
    </xf>
    <xf numFmtId="0" fontId="51" fillId="0" borderId="0" xfId="28" applyFont="1" applyFill="1" applyAlignment="1">
      <alignment horizontal="left"/>
    </xf>
    <xf numFmtId="0" fontId="51" fillId="0" borderId="0" xfId="28" applyFont="1" applyFill="1" applyAlignment="1">
      <alignment horizontal="center"/>
    </xf>
    <xf numFmtId="0" fontId="51" fillId="0" borderId="0" xfId="28" applyNumberFormat="1" applyFont="1" applyFill="1" applyAlignment="1">
      <alignment horizontal="center"/>
    </xf>
    <xf numFmtId="0" fontId="51" fillId="0" borderId="0" xfId="28" applyFont="1" applyAlignment="1">
      <alignment horizontal="center"/>
    </xf>
    <xf numFmtId="0" fontId="22" fillId="0" borderId="0" xfId="28" applyFont="1" applyAlignment="1">
      <alignment horizontal="left"/>
    </xf>
    <xf numFmtId="0" fontId="51" fillId="36" borderId="0" xfId="28" applyNumberFormat="1"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22" fillId="0" borderId="0" xfId="28" applyFont="1" applyFill="1" applyAlignment="1">
      <alignment horizontal="center" vertical="top"/>
    </xf>
    <xf numFmtId="0" fontId="22" fillId="0" borderId="0" xfId="28" applyNumberFormat="1" applyFont="1" applyFill="1" applyAlignment="1">
      <alignment horizontal="center" vertical="top"/>
    </xf>
    <xf numFmtId="0" fontId="51" fillId="0" borderId="0" xfId="28" applyFont="1" applyAlignment="1">
      <alignment horizontal="center" vertical="top"/>
    </xf>
    <xf numFmtId="0" fontId="22" fillId="0" borderId="0" xfId="28" applyFont="1" applyAlignment="1"/>
    <xf numFmtId="0" fontId="22" fillId="0" borderId="0" xfId="28" applyFont="1" applyFill="1" applyAlignment="1">
      <alignment horizontal="center"/>
    </xf>
    <xf numFmtId="0" fontId="22" fillId="0" borderId="0" xfId="28" applyNumberFormat="1" applyFont="1" applyFill="1" applyAlignment="1">
      <alignment horizontal="center"/>
    </xf>
    <xf numFmtId="0" fontId="25" fillId="0" borderId="0" xfId="0" quotePrefix="1" applyFont="1" applyAlignment="1">
      <alignment horizontal="center" vertical="top"/>
    </xf>
    <xf numFmtId="0" fontId="25" fillId="0" borderId="0" xfId="0" quotePrefix="1" applyNumberFormat="1" applyFont="1" applyAlignment="1">
      <alignment horizontal="center" vertical="top"/>
    </xf>
    <xf numFmtId="0" fontId="22" fillId="0" borderId="0" xfId="28" applyFont="1" applyAlignment="1">
      <alignment horizontal="center" vertical="center"/>
    </xf>
    <xf numFmtId="0" fontId="22" fillId="0" borderId="0" xfId="28" applyFont="1" applyBorder="1" applyAlignment="1"/>
    <xf numFmtId="0" fontId="22" fillId="0" borderId="6" xfId="28" applyNumberFormat="1" applyFont="1" applyFill="1" applyBorder="1" applyAlignment="1">
      <alignment horizontal="center"/>
    </xf>
    <xf numFmtId="0" fontId="22" fillId="0" borderId="3" xfId="28" applyFont="1" applyBorder="1" applyAlignment="1">
      <alignment horizontal="center"/>
    </xf>
    <xf numFmtId="0" fontId="22" fillId="0" borderId="3" xfId="28" applyNumberFormat="1" applyFont="1" applyBorder="1" applyAlignment="1">
      <alignment horizontal="center"/>
    </xf>
    <xf numFmtId="0" fontId="25" fillId="0" borderId="0" xfId="28" applyFont="1" applyBorder="1" applyAlignment="1"/>
    <xf numFmtId="0" fontId="22" fillId="0" borderId="0" xfId="28" applyFont="1" applyBorder="1" applyAlignment="1">
      <alignment horizontal="center"/>
    </xf>
    <xf numFmtId="0" fontId="22" fillId="0" borderId="0" xfId="28" applyNumberFormat="1" applyFont="1" applyBorder="1" applyAlignment="1">
      <alignment horizontal="center"/>
    </xf>
    <xf numFmtId="167" fontId="36" fillId="0" borderId="0" xfId="28" applyNumberFormat="1" applyFont="1" applyFill="1" applyBorder="1"/>
    <xf numFmtId="0" fontId="22" fillId="0" borderId="0" xfId="28" applyFont="1" applyFill="1" applyBorder="1"/>
    <xf numFmtId="0" fontId="25" fillId="0" borderId="0" xfId="28" applyFont="1" applyBorder="1"/>
    <xf numFmtId="167" fontId="22" fillId="0" borderId="0" xfId="28" applyNumberFormat="1" applyFont="1" applyBorder="1" applyAlignment="1">
      <alignment horizontal="center"/>
    </xf>
    <xf numFmtId="167" fontId="22" fillId="0" borderId="0" xfId="28" applyNumberFormat="1" applyFont="1" applyBorder="1"/>
    <xf numFmtId="0" fontId="22" fillId="0" borderId="0" xfId="28" applyFont="1" applyBorder="1" applyAlignment="1">
      <alignment horizontal="right"/>
    </xf>
    <xf numFmtId="0" fontId="22" fillId="0" borderId="0" xfId="28" applyFont="1" applyFill="1" applyBorder="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167" fontId="22" fillId="0" borderId="0" xfId="22" applyNumberFormat="1" applyFont="1" applyBorder="1"/>
    <xf numFmtId="0" fontId="25" fillId="0" borderId="0" xfId="28" applyFont="1" applyBorder="1" applyAlignment="1">
      <alignment vertical="top" wrapText="1"/>
    </xf>
    <xf numFmtId="0" fontId="54" fillId="34" borderId="0" xfId="0" applyFont="1" applyFill="1"/>
    <xf numFmtId="0" fontId="55" fillId="0" borderId="0" xfId="0" applyFont="1" applyFill="1" applyAlignment="1">
      <alignment horizontal="center"/>
    </xf>
    <xf numFmtId="0" fontId="56" fillId="0" borderId="0" xfId="0" applyFont="1" applyFill="1" applyAlignment="1">
      <alignment horizontal="center"/>
    </xf>
    <xf numFmtId="0" fontId="54" fillId="0" borderId="0" xfId="0" applyFont="1" applyFill="1" applyAlignment="1">
      <alignment horizontal="center"/>
    </xf>
    <xf numFmtId="0" fontId="54" fillId="0" borderId="0" xfId="0" applyFont="1" applyFill="1" applyAlignment="1">
      <alignment horizontal="left" indent="2"/>
    </xf>
    <xf numFmtId="0" fontId="55" fillId="0" borderId="0" xfId="0" applyFont="1" applyAlignment="1">
      <alignment horizontal="left" indent="1"/>
    </xf>
    <xf numFmtId="0" fontId="55" fillId="0" borderId="0" xfId="0" quotePrefix="1" applyFont="1" applyAlignment="1">
      <alignment horizontal="center"/>
    </xf>
    <xf numFmtId="0" fontId="56" fillId="0" borderId="0" xfId="0" quotePrefix="1" applyFont="1" applyAlignment="1">
      <alignment horizontal="center"/>
    </xf>
    <xf numFmtId="164" fontId="59" fillId="0" borderId="0" xfId="0" applyNumberFormat="1" applyFont="1" applyFill="1"/>
    <xf numFmtId="0" fontId="54" fillId="0" borderId="0" xfId="0" quotePrefix="1" applyFont="1"/>
    <xf numFmtId="0" fontId="56" fillId="0" borderId="0" xfId="0" applyFont="1" applyAlignment="1">
      <alignment horizontal="left"/>
    </xf>
    <xf numFmtId="1" fontId="54" fillId="36" borderId="0" xfId="0" applyNumberFormat="1" applyFont="1" applyFill="1"/>
    <xf numFmtId="174" fontId="54" fillId="0" borderId="0" xfId="0" applyNumberFormat="1" applyFont="1"/>
    <xf numFmtId="0" fontId="54" fillId="0" borderId="0" xfId="0" applyFont="1" applyFill="1" applyAlignment="1">
      <alignment horizontal="left" indent="1"/>
    </xf>
    <xf numFmtId="164" fontId="0" fillId="0" borderId="0" xfId="0" quotePrefix="1" applyNumberFormat="1" applyAlignment="1">
      <alignment horizontal="center"/>
    </xf>
    <xf numFmtId="164" fontId="52" fillId="0" borderId="0" xfId="0" applyNumberFormat="1" applyFont="1" applyAlignment="1">
      <alignment horizontal="center"/>
    </xf>
    <xf numFmtId="0" fontId="22" fillId="0" borderId="0" xfId="0" applyFont="1" applyAlignment="1">
      <alignment horizontal="center"/>
    </xf>
    <xf numFmtId="0" fontId="0" fillId="0" borderId="0" xfId="0" applyAlignment="1">
      <alignment horizontal="center"/>
    </xf>
    <xf numFmtId="0" fontId="25" fillId="0" borderId="0" xfId="28"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164" fontId="0" fillId="0" borderId="0" xfId="0" applyNumberFormat="1" applyFill="1" applyAlignment="1"/>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xf>
    <xf numFmtId="0" fontId="21" fillId="0" borderId="0" xfId="0" applyFont="1" applyFill="1" applyAlignment="1">
      <alignment horizontal="left" indent="1"/>
    </xf>
    <xf numFmtId="0" fontId="21" fillId="0" borderId="0" xfId="0" applyFont="1"/>
    <xf numFmtId="0" fontId="21" fillId="0" borderId="0" xfId="0" applyFont="1" applyAlignment="1">
      <alignment horizontal="center"/>
    </xf>
    <xf numFmtId="0" fontId="21" fillId="0" borderId="0" xfId="0" applyFont="1" applyFill="1"/>
    <xf numFmtId="164" fontId="21" fillId="0" borderId="0" xfId="0" applyNumberFormat="1" applyFont="1" applyFill="1" applyBorder="1"/>
    <xf numFmtId="0" fontId="21" fillId="0" borderId="0" xfId="0" applyFont="1" applyAlignment="1">
      <alignment horizontal="left" indent="1"/>
    </xf>
    <xf numFmtId="179" fontId="21" fillId="34" borderId="0" xfId="35" applyNumberFormat="1" applyFont="1" applyFill="1" applyAlignment="1">
      <alignment horizontal="left"/>
    </xf>
    <xf numFmtId="179" fontId="21" fillId="0" borderId="0" xfId="35" applyNumberFormat="1" applyFont="1" applyFill="1" applyAlignment="1">
      <alignment horizontal="left"/>
    </xf>
    <xf numFmtId="164" fontId="21" fillId="0" borderId="0" xfId="0" applyNumberFormat="1" applyFont="1"/>
    <xf numFmtId="179" fontId="21" fillId="0" borderId="0" xfId="35" applyNumberFormat="1" applyFont="1" applyFill="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applyFill="1"/>
    <xf numFmtId="10" fontId="0" fillId="0" borderId="0" xfId="37" applyNumberFormat="1" applyFont="1"/>
    <xf numFmtId="0" fontId="21" fillId="0" borderId="0" xfId="28" applyFont="1"/>
    <xf numFmtId="164" fontId="21" fillId="0" borderId="0" xfId="0" applyNumberFormat="1" applyFont="1" applyFill="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indent="1"/>
    </xf>
    <xf numFmtId="0" fontId="21" fillId="0" borderId="0" xfId="0" applyFont="1" applyAlignment="1">
      <alignment horizontal="left" indent="2"/>
    </xf>
    <xf numFmtId="0" fontId="22" fillId="0" borderId="0" xfId="0" applyFont="1" applyAlignment="1">
      <alignment horizontal="center"/>
    </xf>
    <xf numFmtId="0" fontId="21" fillId="0" borderId="0" xfId="0" quotePrefix="1" applyFont="1" applyAlignment="1">
      <alignment horizontal="center" vertical="justify"/>
    </xf>
    <xf numFmtId="10" fontId="28" fillId="0" borderId="0" xfId="0" applyNumberFormat="1" applyFont="1"/>
    <xf numFmtId="0" fontId="22" fillId="0" borderId="0" xfId="0" applyFont="1" applyAlignment="1">
      <alignment horizontal="center"/>
    </xf>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NumberFormat="1" applyFont="1" applyFill="1" applyBorder="1" applyAlignment="1">
      <alignment horizontal="left"/>
    </xf>
    <xf numFmtId="164" fontId="21" fillId="36" borderId="0" xfId="0" applyNumberFormat="1" applyFont="1" applyFill="1"/>
    <xf numFmtId="0" fontId="21" fillId="0" borderId="0" xfId="28" applyFont="1" applyBorder="1" applyAlignment="1">
      <alignment horizontal="left"/>
    </xf>
    <xf numFmtId="0" fontId="21" fillId="0" borderId="0" xfId="28" applyNumberFormat="1" applyFont="1" applyFill="1" applyBorder="1" applyAlignment="1">
      <alignment horizontal="right"/>
    </xf>
    <xf numFmtId="0" fontId="21" fillId="0" borderId="0" xfId="28" applyFont="1" applyBorder="1"/>
    <xf numFmtId="3" fontId="21" fillId="0" borderId="0" xfId="28" applyNumberFormat="1" applyFont="1" applyFill="1" applyBorder="1" applyAlignment="1">
      <alignment horizontal="left" indent="1"/>
    </xf>
    <xf numFmtId="1" fontId="21" fillId="0" borderId="0" xfId="28" applyNumberFormat="1" applyFont="1" applyFill="1" applyBorder="1" applyAlignment="1">
      <alignment horizontal="center"/>
    </xf>
    <xf numFmtId="37" fontId="21" fillId="0" borderId="0" xfId="36" applyNumberFormat="1" applyFont="1" applyFill="1" applyAlignment="1">
      <alignment horizontal="left" indent="1"/>
    </xf>
    <xf numFmtId="10" fontId="21" fillId="0" borderId="0" xfId="0" applyNumberFormat="1" applyFont="1" applyFill="1"/>
    <xf numFmtId="0" fontId="21" fillId="36" borderId="0" xfId="34" applyFont="1" applyFill="1"/>
    <xf numFmtId="0" fontId="21" fillId="0" borderId="0" xfId="0" quotePrefix="1" applyFont="1" applyAlignment="1"/>
    <xf numFmtId="0" fontId="56" fillId="0" borderId="0" xfId="0" applyFont="1" applyFill="1"/>
    <xf numFmtId="0" fontId="24" fillId="0" borderId="0" xfId="28" applyFont="1" applyFill="1" applyBorder="1" applyAlignment="1"/>
    <xf numFmtId="0" fontId="22" fillId="0" borderId="0" xfId="0" applyFont="1" applyAlignment="1">
      <alignment horizontal="center"/>
    </xf>
    <xf numFmtId="0" fontId="22" fillId="0" borderId="0" xfId="28" applyFont="1" applyBorder="1" applyAlignment="1">
      <alignment horizontal="left"/>
    </xf>
    <xf numFmtId="1" fontId="21" fillId="0" borderId="0" xfId="28" quotePrefix="1" applyNumberFormat="1" applyFont="1" applyFill="1" applyBorder="1" applyAlignment="1">
      <alignment horizontal="right"/>
    </xf>
    <xf numFmtId="164" fontId="21" fillId="0" borderId="0" xfId="0" applyNumberFormat="1" applyFont="1" applyFill="1" applyAlignment="1">
      <alignment horizontal="right"/>
    </xf>
    <xf numFmtId="164" fontId="22" fillId="0" borderId="0" xfId="0" applyNumberFormat="1" applyFont="1" applyFill="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Fill="1" applyAlignment="1">
      <alignment horizontal="left" indent="1"/>
    </xf>
    <xf numFmtId="0" fontId="0" fillId="0" borderId="0" xfId="0" applyFill="1" applyBorder="1"/>
    <xf numFmtId="0" fontId="61" fillId="0" borderId="0" xfId="0" applyFont="1"/>
    <xf numFmtId="37" fontId="54" fillId="0" borderId="0" xfId="0" applyNumberFormat="1" applyFont="1" applyFill="1"/>
    <xf numFmtId="165" fontId="54" fillId="0" borderId="0" xfId="0" applyNumberFormat="1" applyFont="1" applyFill="1"/>
    <xf numFmtId="165" fontId="54" fillId="0" borderId="0" xfId="0" applyNumberFormat="1" applyFont="1" applyFill="1" applyAlignment="1">
      <alignment horizontal="left" indent="1"/>
    </xf>
    <xf numFmtId="164" fontId="56" fillId="0" borderId="0" xfId="0" applyNumberFormat="1" applyFont="1" applyFill="1"/>
    <xf numFmtId="39" fontId="54" fillId="0" borderId="0" xfId="0" applyNumberFormat="1" applyFont="1" applyAlignment="1">
      <alignment horizontal="left" indent="1"/>
    </xf>
    <xf numFmtId="39" fontId="54" fillId="0" borderId="0" xfId="0" applyNumberFormat="1" applyFont="1"/>
    <xf numFmtId="0" fontId="21" fillId="36" borderId="0" xfId="0" quotePrefix="1" applyFont="1" applyFill="1" applyAlignment="1">
      <alignment horizontal="center"/>
    </xf>
    <xf numFmtId="0" fontId="21" fillId="0" borderId="0" xfId="0" quotePrefix="1" applyFont="1" applyFill="1" applyAlignment="1">
      <alignment horizontal="center"/>
    </xf>
    <xf numFmtId="0" fontId="21" fillId="36" borderId="0" xfId="0" applyFont="1" applyFill="1" applyBorder="1" applyProtection="1"/>
    <xf numFmtId="164" fontId="21" fillId="36" borderId="0" xfId="0" applyNumberFormat="1" applyFont="1" applyFill="1" applyBorder="1" applyProtection="1"/>
    <xf numFmtId="170" fontId="21" fillId="0" borderId="0" xfId="0" applyNumberFormat="1" applyFont="1" applyFill="1" applyBorder="1" applyAlignment="1" applyProtection="1">
      <alignment horizontal="center"/>
    </xf>
    <xf numFmtId="0" fontId="21" fillId="0" borderId="0" xfId="0" applyFont="1" applyFill="1" applyBorder="1" applyProtection="1"/>
    <xf numFmtId="164" fontId="21" fillId="0" borderId="0" xfId="0" applyNumberFormat="1" applyFont="1" applyFill="1" applyBorder="1" applyProtection="1"/>
    <xf numFmtId="0" fontId="21" fillId="0" borderId="0" xfId="0" quotePrefix="1" applyFont="1" applyFill="1" applyBorder="1"/>
    <xf numFmtId="0" fontId="21" fillId="0" borderId="0" xfId="0" applyFont="1" applyFill="1" applyBorder="1"/>
    <xf numFmtId="0" fontId="21" fillId="0" borderId="0" xfId="0" applyFont="1" applyAlignment="1">
      <alignment horizontal="left"/>
    </xf>
    <xf numFmtId="164" fontId="28" fillId="0" borderId="0" xfId="28" applyNumberFormat="1" applyFont="1" applyFill="1"/>
    <xf numFmtId="0" fontId="22" fillId="0" borderId="0" xfId="0" applyFont="1" applyFill="1" applyBorder="1" applyAlignment="1">
      <alignment horizontal="center"/>
    </xf>
    <xf numFmtId="37" fontId="21" fillId="0" borderId="0" xfId="0" applyNumberFormat="1" applyFont="1" applyFill="1" applyAlignment="1">
      <alignment horizontal="left" indent="1"/>
    </xf>
    <xf numFmtId="0" fontId="22" fillId="0" borderId="0" xfId="0" applyFont="1" applyAlignment="1">
      <alignment horizontal="center"/>
    </xf>
    <xf numFmtId="0" fontId="22" fillId="0" borderId="0" xfId="0" applyFont="1" applyAlignment="1">
      <alignment horizontal="center"/>
    </xf>
    <xf numFmtId="0" fontId="25" fillId="0" borderId="0" xfId="0" applyFont="1" applyFill="1" applyAlignment="1">
      <alignment horizontal="left"/>
    </xf>
    <xf numFmtId="0" fontId="21" fillId="0" borderId="0" xfId="0" quotePrefix="1" applyFont="1" applyAlignment="1">
      <alignment horizontal="left" indent="1"/>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Font="1" applyFill="1" applyBorder="1"/>
    <xf numFmtId="39" fontId="21" fillId="0" borderId="3" xfId="22" applyNumberFormat="1" applyFont="1" applyFill="1" applyBorder="1" applyAlignment="1">
      <alignment horizontal="center"/>
    </xf>
    <xf numFmtId="0" fontId="21" fillId="0" borderId="0" xfId="0" applyFont="1" applyFill="1" applyBorder="1" applyAlignment="1">
      <alignment vertical="top"/>
    </xf>
    <xf numFmtId="37" fontId="54" fillId="36" borderId="0" xfId="81" applyNumberFormat="1" applyFont="1" applyFill="1" applyAlignment="1">
      <alignment horizontal="right"/>
    </xf>
    <xf numFmtId="0" fontId="22" fillId="0" borderId="0" xfId="0" applyFont="1" applyAlignment="1">
      <alignment horizontal="center"/>
    </xf>
    <xf numFmtId="6" fontId="0" fillId="0" borderId="0" xfId="0" applyNumberFormat="1"/>
    <xf numFmtId="0" fontId="22" fillId="0" borderId="0" xfId="0" applyFont="1" applyAlignment="1">
      <alignment horizontal="center"/>
    </xf>
    <xf numFmtId="180" fontId="0" fillId="0" borderId="0" xfId="0" applyNumberFormat="1"/>
    <xf numFmtId="0" fontId="22" fillId="0" borderId="0" xfId="0" quotePrefix="1" applyFont="1" applyFill="1" applyAlignment="1">
      <alignment horizontal="right"/>
    </xf>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1" fillId="0" borderId="0" xfId="108" applyFont="1"/>
    <xf numFmtId="0" fontId="25" fillId="0" borderId="0" xfId="108" applyFont="1" applyAlignment="1">
      <alignment horizontal="center"/>
    </xf>
    <xf numFmtId="0" fontId="25" fillId="0" borderId="0" xfId="108" applyFont="1" applyAlignment="1">
      <alignment horizontal="left"/>
    </xf>
    <xf numFmtId="164" fontId="21" fillId="0" borderId="0" xfId="108" applyNumberFormat="1" applyFill="1"/>
    <xf numFmtId="0" fontId="21" fillId="36" borderId="0" xfId="108" applyFont="1" applyFill="1"/>
    <xf numFmtId="164" fontId="21" fillId="36" borderId="0" xfId="108" applyNumberFormat="1" applyFill="1"/>
    <xf numFmtId="164" fontId="28" fillId="36" borderId="0" xfId="108" applyNumberFormat="1" applyFont="1" applyFill="1"/>
    <xf numFmtId="164" fontId="21" fillId="0" borderId="0" xfId="108" applyNumberFormat="1"/>
    <xf numFmtId="0" fontId="21" fillId="0" borderId="0" xfId="108" applyFont="1" applyFill="1"/>
    <xf numFmtId="3" fontId="32" fillId="0" borderId="0" xfId="34" applyNumberFormat="1" applyFont="1" applyBorder="1"/>
    <xf numFmtId="39" fontId="24" fillId="36" borderId="0" xfId="22" applyNumberFormat="1" applyFont="1" applyFill="1" applyBorder="1" applyAlignment="1">
      <alignment horizontal="center"/>
    </xf>
    <xf numFmtId="0" fontId="30" fillId="0" borderId="0" xfId="27" applyAlignment="1" applyProtection="1"/>
    <xf numFmtId="164" fontId="0" fillId="36" borderId="0" xfId="0" applyNumberFormat="1" applyFill="1" applyAlignment="1">
      <alignment horizontal="right"/>
    </xf>
    <xf numFmtId="0" fontId="21" fillId="0" borderId="0" xfId="0" quotePrefix="1" applyFont="1" applyFill="1"/>
    <xf numFmtId="171" fontId="0" fillId="36" borderId="0" xfId="0" applyNumberFormat="1" applyFill="1"/>
    <xf numFmtId="167" fontId="21" fillId="0" borderId="0" xfId="28" applyNumberFormat="1" applyFont="1" applyBorder="1"/>
    <xf numFmtId="0" fontId="67" fillId="0" borderId="0" xfId="0" applyFont="1"/>
    <xf numFmtId="0" fontId="21" fillId="0" borderId="0" xfId="28" applyFont="1" applyFill="1" applyBorder="1" applyAlignment="1" applyProtection="1">
      <alignment horizontal="left" indent="1"/>
      <protection locked="0"/>
    </xf>
    <xf numFmtId="0" fontId="21" fillId="0" borderId="0" xfId="100" applyFill="1"/>
    <xf numFmtId="0" fontId="21" fillId="36" borderId="0" xfId="108" applyFill="1"/>
    <xf numFmtId="0" fontId="21" fillId="0" borderId="0" xfId="100" applyFont="1" applyAlignment="1">
      <alignment horizontal="left" indent="1"/>
    </xf>
    <xf numFmtId="164" fontId="21" fillId="0" borderId="0" xfId="100" applyNumberFormat="1"/>
    <xf numFmtId="164" fontId="53" fillId="0" borderId="0" xfId="100" applyNumberFormat="1" applyFont="1" applyFill="1"/>
    <xf numFmtId="0" fontId="22" fillId="0" borderId="0" xfId="100" applyFont="1"/>
    <xf numFmtId="0" fontId="21" fillId="0" borderId="0" xfId="100" applyFont="1"/>
    <xf numFmtId="0" fontId="22" fillId="0" borderId="0" xfId="100" applyFont="1" applyAlignment="1">
      <alignment horizontal="left" indent="1"/>
    </xf>
    <xf numFmtId="0" fontId="62" fillId="0" borderId="0" xfId="100" applyFont="1" applyBorder="1" applyAlignment="1">
      <alignment horizontal="left"/>
    </xf>
    <xf numFmtId="0" fontId="22" fillId="0" borderId="0" xfId="100" applyFont="1" applyBorder="1" applyAlignment="1">
      <alignment horizontal="center"/>
    </xf>
    <xf numFmtId="0" fontId="21" fillId="0" borderId="0" xfId="100" applyFont="1" applyBorder="1" applyAlignment="1">
      <alignment horizontal="right"/>
    </xf>
    <xf numFmtId="0" fontId="22" fillId="0" borderId="0" xfId="100" applyFont="1" applyBorder="1" applyAlignment="1">
      <alignment horizontal="right"/>
    </xf>
    <xf numFmtId="0" fontId="22" fillId="0" borderId="8" xfId="100" applyFont="1" applyBorder="1" applyAlignment="1">
      <alignment horizontal="center"/>
    </xf>
    <xf numFmtId="0" fontId="21" fillId="36" borderId="0" xfId="100" applyFont="1" applyFill="1"/>
    <xf numFmtId="164" fontId="21" fillId="36" borderId="0" xfId="100" applyNumberFormat="1" applyFont="1" applyFill="1"/>
    <xf numFmtId="170" fontId="21" fillId="0" borderId="0" xfId="100" applyNumberFormat="1" applyFont="1" applyFill="1" applyAlignment="1">
      <alignment horizontal="center"/>
    </xf>
    <xf numFmtId="0" fontId="21" fillId="0" borderId="0" xfId="100" applyFont="1" applyFill="1"/>
    <xf numFmtId="164" fontId="21" fillId="0" borderId="0" xfId="100" applyNumberFormat="1" applyFont="1" applyFill="1"/>
    <xf numFmtId="170" fontId="21" fillId="0" borderId="0" xfId="100" quotePrefix="1" applyNumberFormat="1" applyFont="1" applyFill="1" applyAlignment="1">
      <alignment horizontal="center"/>
    </xf>
    <xf numFmtId="164" fontId="21" fillId="0" borderId="0" xfId="100" applyNumberFormat="1" applyFont="1"/>
    <xf numFmtId="164" fontId="21" fillId="0" borderId="0" xfId="96" applyNumberFormat="1" applyFont="1" applyBorder="1"/>
    <xf numFmtId="164" fontId="21" fillId="0" borderId="0" xfId="96" applyNumberFormat="1" applyFont="1"/>
    <xf numFmtId="168" fontId="21" fillId="0" borderId="0" xfId="96" applyNumberFormat="1" applyFont="1" applyBorder="1"/>
    <xf numFmtId="164" fontId="21" fillId="0" borderId="14" xfId="96" applyNumberFormat="1" applyFont="1" applyBorder="1"/>
    <xf numFmtId="0" fontId="21" fillId="0" borderId="0" xfId="100" quotePrefix="1" applyFont="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0" fontId="21" fillId="0" borderId="0" xfId="100" applyFont="1" applyBorder="1"/>
    <xf numFmtId="164" fontId="22" fillId="0" borderId="0" xfId="100" applyNumberFormat="1" applyFont="1" applyBorder="1" applyAlignment="1">
      <alignment horizontal="center"/>
    </xf>
    <xf numFmtId="164" fontId="22" fillId="0" borderId="8" xfId="100" applyNumberFormat="1" applyFont="1" applyBorder="1" applyAlignment="1">
      <alignment horizontal="center"/>
    </xf>
    <xf numFmtId="0" fontId="25" fillId="0" borderId="0" xfId="100" applyFont="1" applyBorder="1" applyAlignment="1">
      <alignment horizontal="center"/>
    </xf>
    <xf numFmtId="0" fontId="21" fillId="0" borderId="0" xfId="100" applyFont="1" applyBorder="1" applyAlignment="1">
      <alignment horizontal="left"/>
    </xf>
    <xf numFmtId="1" fontId="21" fillId="36" borderId="0" xfId="100" applyNumberFormat="1" applyFont="1" applyFill="1" applyBorder="1" applyAlignment="1">
      <alignment horizontal="center"/>
    </xf>
    <xf numFmtId="164" fontId="21" fillId="0" borderId="0" xfId="0" applyNumberFormat="1" applyFont="1" applyFill="1" applyAlignment="1">
      <alignment horizontal="center"/>
    </xf>
    <xf numFmtId="0" fontId="21" fillId="0" borderId="0" xfId="100" applyNumberFormat="1" applyFont="1" applyFill="1" applyBorder="1" applyAlignment="1">
      <alignment horizontal="left"/>
    </xf>
    <xf numFmtId="1" fontId="21" fillId="0" borderId="0" xfId="100" quotePrefix="1" applyNumberFormat="1" applyFont="1" applyFill="1" applyBorder="1" applyAlignment="1">
      <alignment horizontal="right"/>
    </xf>
    <xf numFmtId="164" fontId="21" fillId="0" borderId="0" xfId="0" quotePrefix="1" applyNumberFormat="1" applyFont="1" applyFill="1" applyAlignment="1">
      <alignment horizontal="center"/>
    </xf>
    <xf numFmtId="0" fontId="22" fillId="0" borderId="0" xfId="100" applyFont="1" applyFill="1" applyBorder="1" applyAlignment="1">
      <alignment horizontal="left"/>
    </xf>
    <xf numFmtId="0" fontId="22" fillId="0" borderId="0" xfId="100" applyNumberFormat="1" applyFont="1" applyFill="1" applyBorder="1" applyAlignment="1">
      <alignment horizontal="left"/>
    </xf>
    <xf numFmtId="0" fontId="21" fillId="0" borderId="0" xfId="100"/>
    <xf numFmtId="0" fontId="21" fillId="36" borderId="0" xfId="100" applyFill="1"/>
    <xf numFmtId="0" fontId="25" fillId="0" borderId="0" xfId="100" quotePrefix="1" applyFont="1" applyAlignment="1">
      <alignment horizontal="center"/>
    </xf>
    <xf numFmtId="0" fontId="25" fillId="0" borderId="0" xfId="100" applyFont="1" applyAlignment="1">
      <alignment horizontal="center"/>
    </xf>
    <xf numFmtId="0" fontId="21" fillId="0" borderId="0" xfId="100" quotePrefix="1" applyFont="1" applyAlignment="1">
      <alignment horizontal="center"/>
    </xf>
    <xf numFmtId="0" fontId="21" fillId="0" borderId="0" xfId="100" applyAlignment="1">
      <alignment horizontal="center"/>
    </xf>
    <xf numFmtId="0" fontId="22" fillId="0" borderId="0" xfId="100" applyFont="1" applyAlignment="1">
      <alignment horizontal="center"/>
    </xf>
    <xf numFmtId="0" fontId="22" fillId="0" borderId="0" xfId="100" applyFont="1" applyFill="1" applyAlignment="1">
      <alignment horizontal="center"/>
    </xf>
    <xf numFmtId="0" fontId="25" fillId="0" borderId="0" xfId="100" applyFont="1"/>
    <xf numFmtId="0" fontId="25" fillId="0" borderId="0" xfId="100" applyFont="1" applyFill="1" applyAlignment="1">
      <alignment horizontal="center"/>
    </xf>
    <xf numFmtId="164" fontId="21" fillId="0" borderId="0" xfId="100" applyNumberFormat="1" applyFont="1" applyFill="1" applyAlignme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Font="1" applyAlignment="1">
      <alignment horizontal="right" indent="1"/>
    </xf>
    <xf numFmtId="167" fontId="0" fillId="0" borderId="0" xfId="19" applyNumberFormat="1" applyFont="1"/>
    <xf numFmtId="164" fontId="21" fillId="0" borderId="0" xfId="100" applyNumberFormat="1" applyFont="1" applyFill="1" applyAlignment="1">
      <alignment horizontal="right"/>
    </xf>
    <xf numFmtId="164" fontId="21" fillId="36" borderId="0" xfId="100" applyNumberFormat="1" applyFont="1" applyFill="1" applyAlignment="1">
      <alignment horizontal="right"/>
    </xf>
    <xf numFmtId="0" fontId="21" fillId="0" borderId="0" xfId="100" applyAlignment="1">
      <alignment horizontal="left" indent="1"/>
    </xf>
    <xf numFmtId="10" fontId="0" fillId="0" borderId="0" xfId="37" applyNumberFormat="1" applyFont="1" applyAlignment="1">
      <alignment horizontal="center"/>
    </xf>
    <xf numFmtId="10" fontId="25" fillId="0" borderId="0" xfId="100" applyNumberFormat="1" applyFont="1" applyAlignment="1">
      <alignment horizontal="center"/>
    </xf>
    <xf numFmtId="0" fontId="21" fillId="0" borderId="0" xfId="100" applyNumberFormat="1"/>
    <xf numFmtId="10" fontId="21" fillId="0" borderId="0" xfId="37" applyNumberFormat="1" applyAlignment="1">
      <alignment horizontal="center"/>
    </xf>
    <xf numFmtId="0" fontId="22" fillId="0" borderId="0" xfId="100" applyFont="1" applyFill="1"/>
    <xf numFmtId="0" fontId="25" fillId="0" borderId="0" xfId="0" applyNumberFormat="1" applyFont="1" applyFill="1" applyAlignment="1">
      <alignment horizontal="center"/>
    </xf>
    <xf numFmtId="0" fontId="23" fillId="0" borderId="0" xfId="0" applyFont="1" applyAlignment="1">
      <alignment horizontal="center"/>
    </xf>
    <xf numFmtId="0" fontId="22" fillId="0" borderId="0" xfId="0" applyNumberFormat="1" applyFont="1" applyFill="1" applyAlignment="1">
      <alignment horizontal="center"/>
    </xf>
    <xf numFmtId="0" fontId="22" fillId="0" borderId="0" xfId="0" applyNumberFormat="1" applyFont="1" applyFill="1" applyAlignment="1">
      <alignment horizontal="center" wrapText="1"/>
    </xf>
    <xf numFmtId="164" fontId="22" fillId="0" borderId="0" xfId="0" applyNumberFormat="1" applyFont="1" applyFill="1" applyAlignment="1">
      <alignment horizontal="right" indent="1"/>
    </xf>
    <xf numFmtId="0" fontId="0" fillId="0" borderId="0" xfId="0" applyNumberFormat="1" applyFill="1"/>
    <xf numFmtId="0" fontId="22" fillId="0" borderId="0" xfId="0" applyNumberFormat="1" applyFont="1" applyFill="1" applyAlignment="1">
      <alignment horizontal="left" indent="2"/>
    </xf>
    <xf numFmtId="0" fontId="25" fillId="0" borderId="0" xfId="0" quotePrefix="1" applyNumberFormat="1" applyFont="1" applyFill="1" applyAlignment="1">
      <alignment horizontal="center"/>
    </xf>
    <xf numFmtId="0" fontId="21" fillId="0" borderId="0" xfId="0" quotePrefix="1" applyNumberFormat="1" applyFont="1" applyFill="1" applyAlignment="1">
      <alignment horizontal="center" wrapText="1"/>
    </xf>
    <xf numFmtId="0" fontId="21" fillId="0" borderId="0" xfId="0" quotePrefix="1" applyNumberFormat="1" applyFont="1" applyFill="1" applyAlignment="1">
      <alignment horizontal="center"/>
    </xf>
    <xf numFmtId="0" fontId="23" fillId="0" borderId="0" xfId="0" quotePrefix="1" applyNumberFormat="1" applyFont="1" applyFill="1" applyAlignment="1">
      <alignment horizontal="center"/>
    </xf>
    <xf numFmtId="0" fontId="21" fillId="0" borderId="0" xfId="100" quotePrefix="1" applyNumberFormat="1" applyFont="1" applyFill="1" applyBorder="1" applyAlignment="1">
      <alignment horizontal="right"/>
    </xf>
    <xf numFmtId="0" fontId="21" fillId="0" borderId="0" xfId="0" applyNumberFormat="1" applyFont="1" applyFill="1" applyAlignment="1">
      <alignment horizontal="left" indent="1"/>
    </xf>
    <xf numFmtId="0" fontId="22" fillId="0" borderId="0" xfId="100" applyFont="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5" fontId="21" fillId="0" borderId="0" xfId="100" applyNumberFormat="1" applyFont="1"/>
    <xf numFmtId="172" fontId="0" fillId="0" borderId="0" xfId="0" applyNumberFormat="1"/>
    <xf numFmtId="0" fontId="21" fillId="36" borderId="0" xfId="0" applyFont="1" applyFill="1" applyAlignment="1">
      <alignment horizontal="center"/>
    </xf>
    <xf numFmtId="0" fontId="22" fillId="0" borderId="0" xfId="108" applyFont="1" applyFill="1"/>
    <xf numFmtId="0" fontId="21" fillId="0" borderId="0" xfId="108" applyFill="1"/>
    <xf numFmtId="0" fontId="25" fillId="0" borderId="0" xfId="108" applyFont="1" applyFill="1"/>
    <xf numFmtId="0" fontId="22" fillId="0" borderId="0" xfId="108" applyFont="1" applyFill="1" applyAlignment="1">
      <alignment horizontal="center"/>
    </xf>
    <xf numFmtId="0" fontId="22" fillId="0" borderId="8" xfId="108" applyFont="1" applyFill="1" applyBorder="1" applyAlignment="1">
      <alignment horizontal="center"/>
    </xf>
    <xf numFmtId="0" fontId="22" fillId="0" borderId="0" xfId="108" applyFont="1" applyFill="1" applyBorder="1" applyAlignment="1">
      <alignment horizontal="center"/>
    </xf>
    <xf numFmtId="0" fontId="22" fillId="0" borderId="8" xfId="108" applyFont="1" applyBorder="1" applyAlignment="1">
      <alignment horizontal="center"/>
    </xf>
    <xf numFmtId="0" fontId="42" fillId="0" borderId="0" xfId="0" applyFont="1"/>
    <xf numFmtId="164" fontId="21" fillId="0" borderId="15" xfId="108" applyNumberFormat="1" applyFill="1" applyBorder="1"/>
    <xf numFmtId="0" fontId="22" fillId="0" borderId="0" xfId="108" quotePrefix="1" applyFont="1" applyFill="1" applyAlignment="1">
      <alignment horizontal="center"/>
    </xf>
    <xf numFmtId="0" fontId="40" fillId="0" borderId="0" xfId="0" applyFont="1" applyFill="1" applyAlignment="1">
      <alignment horizontal="center"/>
    </xf>
    <xf numFmtId="164" fontId="21" fillId="0" borderId="0" xfId="108" applyNumberFormat="1" applyFill="1" applyBorder="1"/>
    <xf numFmtId="164" fontId="21" fillId="0" borderId="8" xfId="108" applyNumberFormat="1" applyFont="1" applyFill="1" applyBorder="1" applyAlignment="1">
      <alignment horizontal="right"/>
    </xf>
    <xf numFmtId="164" fontId="21" fillId="0" borderId="0" xfId="108" applyNumberFormat="1" applyFont="1" applyFill="1" applyBorder="1" applyAlignment="1">
      <alignment horizontal="right"/>
    </xf>
    <xf numFmtId="164" fontId="21" fillId="0" borderId="16" xfId="108" applyNumberFormat="1" applyBorder="1"/>
    <xf numFmtId="0" fontId="21" fillId="0" borderId="0" xfId="108" applyFill="1" applyBorder="1"/>
    <xf numFmtId="0" fontId="0" fillId="0" borderId="0" xfId="0" applyFill="1" applyBorder="1" applyAlignment="1">
      <alignment horizontal="center"/>
    </xf>
    <xf numFmtId="0" fontId="21" fillId="0" borderId="8" xfId="0" applyFont="1" applyBorder="1" applyAlignment="1">
      <alignment horizontal="center"/>
    </xf>
    <xf numFmtId="164" fontId="21" fillId="34" borderId="0" xfId="19" applyNumberFormat="1" applyFont="1" applyFill="1"/>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2" fillId="0" borderId="0" xfId="0" applyFont="1" applyAlignment="1">
      <alignment wrapText="1"/>
    </xf>
    <xf numFmtId="164" fontId="21" fillId="36" borderId="0" xfId="19" applyNumberFormat="1" applyFont="1" applyFill="1" applyBorder="1"/>
    <xf numFmtId="9" fontId="0" fillId="0" borderId="8" xfId="0" applyNumberFormat="1" applyBorder="1"/>
    <xf numFmtId="164" fontId="0" fillId="0" borderId="0" xfId="0" applyNumberFormat="1" applyFill="1" applyBorder="1"/>
    <xf numFmtId="0" fontId="21" fillId="36" borderId="0" xfId="100" quotePrefix="1" applyNumberFormat="1" applyFont="1" applyFill="1" applyBorder="1" applyAlignment="1">
      <alignment horizontal="left"/>
    </xf>
    <xf numFmtId="0" fontId="21" fillId="36" borderId="0" xfId="100" quotePrefix="1" applyFont="1" applyFill="1" applyBorder="1" applyAlignment="1">
      <alignment horizontal="left"/>
    </xf>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0" fontId="24" fillId="36" borderId="4" xfId="0" applyNumberFormat="1" applyFont="1" applyFill="1" applyBorder="1"/>
    <xf numFmtId="37" fontId="21" fillId="36" borderId="3" xfId="0" applyNumberFormat="1" applyFont="1" applyFill="1" applyBorder="1" applyAlignment="1">
      <alignment horizontal="center"/>
    </xf>
    <xf numFmtId="0" fontId="53" fillId="36" borderId="0" xfId="0" applyFont="1" applyFill="1"/>
    <xf numFmtId="164" fontId="54" fillId="36" borderId="0" xfId="125" applyNumberFormat="1" applyFont="1" applyFill="1" applyBorder="1" applyProtection="1"/>
    <xf numFmtId="164" fontId="21" fillId="36" borderId="0" xfId="125" applyNumberFormat="1" applyFont="1" applyFill="1" applyBorder="1" applyProtection="1"/>
    <xf numFmtId="39" fontId="21" fillId="0" borderId="0" xfId="0" applyNumberFormat="1" applyFont="1" applyFill="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69" fillId="0" borderId="0" xfId="126" applyFont="1"/>
    <xf numFmtId="0" fontId="21" fillId="0" borderId="0" xfId="126" applyFont="1"/>
    <xf numFmtId="0" fontId="21" fillId="0" borderId="0" xfId="126" applyFont="1" applyBorder="1"/>
    <xf numFmtId="0" fontId="21" fillId="0" borderId="0" xfId="126" applyFill="1" applyAlignment="1">
      <alignment horizontal="center"/>
    </xf>
    <xf numFmtId="0" fontId="21" fillId="0" borderId="0" xfId="126"/>
    <xf numFmtId="0" fontId="25" fillId="0" borderId="0" xfId="126" applyFont="1" applyAlignment="1">
      <alignment horizontal="center"/>
    </xf>
    <xf numFmtId="0" fontId="21" fillId="0" borderId="0" xfId="126" applyBorder="1"/>
    <xf numFmtId="0" fontId="22" fillId="0" borderId="0" xfId="126" applyFont="1" applyAlignment="1">
      <alignment horizontal="right"/>
    </xf>
    <xf numFmtId="0" fontId="21" fillId="0" borderId="0" xfId="126" applyFont="1" applyAlignment="1">
      <alignment horizontal="left" indent="1"/>
    </xf>
    <xf numFmtId="0" fontId="22" fillId="34" borderId="0" xfId="127" applyFont="1" applyFill="1"/>
    <xf numFmtId="0" fontId="21" fillId="36" borderId="0" xfId="127" applyFont="1" applyFill="1"/>
    <xf numFmtId="0" fontId="21" fillId="0" borderId="0" xfId="126" applyFill="1"/>
    <xf numFmtId="164" fontId="21" fillId="0" borderId="0" xfId="126" applyNumberFormat="1"/>
    <xf numFmtId="0" fontId="25" fillId="0" borderId="0" xfId="126" quotePrefix="1" applyFont="1" applyAlignment="1">
      <alignment horizontal="center"/>
    </xf>
    <xf numFmtId="0" fontId="21" fillId="0" borderId="0" xfId="126" applyFont="1" applyAlignment="1">
      <alignment horizontal="center"/>
    </xf>
    <xf numFmtId="0" fontId="21" fillId="0" borderId="0" xfId="126" applyAlignment="1"/>
    <xf numFmtId="0" fontId="21" fillId="0" borderId="0" xfId="126" quotePrefix="1" applyFont="1" applyBorder="1" applyAlignment="1">
      <alignment horizontal="center" wrapText="1"/>
    </xf>
    <xf numFmtId="0" fontId="21" fillId="0" borderId="0" xfId="126" applyFill="1" applyAlignment="1"/>
    <xf numFmtId="0" fontId="25" fillId="0" borderId="0" xfId="126" quotePrefix="1" applyFont="1" applyAlignment="1">
      <alignment horizontal="center" vertical="center" wrapText="1"/>
    </xf>
    <xf numFmtId="0" fontId="22" fillId="0" borderId="3" xfId="126" applyFont="1" applyFill="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Fill="1" applyBorder="1" applyAlignment="1">
      <alignment horizontal="center"/>
    </xf>
    <xf numFmtId="0" fontId="22" fillId="0" borderId="4" xfId="126" applyFont="1" applyBorder="1" applyAlignment="1">
      <alignment horizontal="center" wrapText="1"/>
    </xf>
    <xf numFmtId="0" fontId="22" fillId="0" borderId="3" xfId="126" applyFont="1" applyBorder="1" applyAlignment="1">
      <alignment horizontal="center" wrapText="1"/>
    </xf>
    <xf numFmtId="0" fontId="22" fillId="0" borderId="0" xfId="126" applyFont="1" applyAlignment="1">
      <alignment horizontal="center"/>
    </xf>
    <xf numFmtId="0" fontId="21" fillId="0" borderId="0" xfId="126" quotePrefix="1" applyNumberFormat="1" applyFont="1" applyAlignment="1">
      <alignment horizontal="center"/>
    </xf>
    <xf numFmtId="0" fontId="21" fillId="0" borderId="0" xfId="126" quotePrefix="1" applyNumberFormat="1" applyFont="1" applyBorder="1" applyAlignment="1">
      <alignment horizontal="center"/>
    </xf>
    <xf numFmtId="164" fontId="21" fillId="0" borderId="0" xfId="126" applyNumberFormat="1" applyFont="1"/>
    <xf numFmtId="179" fontId="21" fillId="34" borderId="0" xfId="35" quotePrefix="1" applyNumberFormat="1" applyFont="1" applyFill="1" applyAlignment="1">
      <alignment horizontal="left"/>
    </xf>
    <xf numFmtId="3" fontId="21" fillId="0" borderId="0" xfId="126" applyNumberFormat="1" applyFill="1"/>
    <xf numFmtId="3" fontId="44" fillId="0" borderId="0" xfId="129" applyNumberFormat="1" applyFill="1"/>
    <xf numFmtId="0" fontId="25" fillId="0" borderId="0" xfId="126" quotePrefix="1" applyFont="1" applyBorder="1" applyAlignment="1">
      <alignment horizontal="center"/>
    </xf>
    <xf numFmtId="2" fontId="22" fillId="0" borderId="3" xfId="126" applyNumberFormat="1" applyFont="1" applyFill="1" applyBorder="1" applyAlignment="1">
      <alignment horizontal="center" wrapText="1"/>
    </xf>
    <xf numFmtId="2" fontId="22" fillId="0" borderId="3" xfId="126" applyNumberFormat="1" applyFont="1" applyBorder="1" applyAlignment="1">
      <alignment horizontal="center" wrapText="1"/>
    </xf>
    <xf numFmtId="2" fontId="21" fillId="0" borderId="0" xfId="126" applyNumberFormat="1" applyFont="1" applyAlignment="1">
      <alignment horizontal="center" wrapText="1"/>
    </xf>
    <xf numFmtId="2" fontId="22" fillId="0" borderId="0" xfId="126" applyNumberFormat="1" applyFont="1" applyAlignment="1">
      <alignment horizontal="center"/>
    </xf>
    <xf numFmtId="2" fontId="21" fillId="0" borderId="0" xfId="126" applyNumberFormat="1" applyFont="1"/>
    <xf numFmtId="2" fontId="21" fillId="0" borderId="0" xfId="126" applyNumberFormat="1" applyFont="1" applyFill="1" applyAlignment="1">
      <alignment horizontal="center"/>
    </xf>
    <xf numFmtId="0" fontId="22" fillId="0" borderId="0" xfId="126" applyFont="1" applyAlignment="1">
      <alignment horizontal="center" vertical="center" wrapText="1"/>
    </xf>
    <xf numFmtId="0" fontId="21" fillId="0" borderId="0" xfId="126" applyFont="1" applyFill="1" applyAlignment="1">
      <alignment horizontal="center"/>
    </xf>
    <xf numFmtId="179" fontId="22" fillId="0" borderId="3" xfId="35" applyNumberFormat="1" applyFont="1" applyFill="1" applyBorder="1" applyAlignment="1">
      <alignment horizontal="center"/>
    </xf>
    <xf numFmtId="0" fontId="25" fillId="0" borderId="0" xfId="126" applyFont="1"/>
    <xf numFmtId="0" fontId="21" fillId="0" borderId="0" xfId="126" applyFont="1" applyFill="1"/>
    <xf numFmtId="0" fontId="21" fillId="0" borderId="0" xfId="126" applyAlignment="1">
      <alignment horizontal="left"/>
    </xf>
    <xf numFmtId="0" fontId="22" fillId="0" borderId="6" xfId="126" applyFont="1" applyFill="1" applyBorder="1"/>
    <xf numFmtId="0" fontId="21" fillId="0" borderId="9" xfId="126" applyFont="1" applyFill="1" applyBorder="1"/>
    <xf numFmtId="179" fontId="21" fillId="36" borderId="0" xfId="35" applyNumberFormat="1" applyFont="1" applyFill="1" applyAlignment="1">
      <alignment horizontal="left"/>
    </xf>
    <xf numFmtId="0" fontId="21" fillId="36" borderId="0" xfId="35" applyFont="1" applyFill="1" applyAlignment="1">
      <alignment horizontal="left" vertical="top" indent="1"/>
    </xf>
    <xf numFmtId="0" fontId="21" fillId="36" borderId="0" xfId="126" applyFont="1" applyFill="1"/>
    <xf numFmtId="179" fontId="21" fillId="36" borderId="0" xfId="35" quotePrefix="1" applyNumberFormat="1" applyFont="1" applyFill="1" applyAlignment="1">
      <alignment horizontal="left"/>
    </xf>
    <xf numFmtId="0" fontId="25" fillId="0" borderId="0" xfId="126" quotePrefix="1" applyFont="1" applyFill="1" applyAlignment="1">
      <alignment horizontal="center"/>
    </xf>
    <xf numFmtId="0" fontId="22" fillId="0" borderId="0" xfId="126" applyFont="1" applyAlignment="1">
      <alignment horizontal="center" vertical="center"/>
    </xf>
    <xf numFmtId="0" fontId="25" fillId="0" borderId="0" xfId="126" quotePrefix="1" applyFont="1" applyFill="1" applyAlignment="1">
      <alignment horizontal="center" vertical="center" wrapText="1"/>
    </xf>
    <xf numFmtId="0" fontId="25" fillId="0" borderId="0" xfId="126" quotePrefix="1" applyFont="1" applyAlignment="1">
      <alignment horizontal="center" wrapText="1"/>
    </xf>
    <xf numFmtId="0" fontId="25" fillId="0" borderId="0" xfId="126" quotePrefix="1" applyFont="1" applyFill="1" applyAlignment="1">
      <alignment horizontal="center" wrapText="1"/>
    </xf>
    <xf numFmtId="0" fontId="22" fillId="34" borderId="7" xfId="126" applyFont="1" applyFill="1" applyBorder="1" applyAlignment="1">
      <alignment horizontal="center" wrapText="1"/>
    </xf>
    <xf numFmtId="0" fontId="25" fillId="0" borderId="7" xfId="126" quotePrefix="1" applyFont="1" applyBorder="1" applyAlignment="1">
      <alignment horizontal="center"/>
    </xf>
    <xf numFmtId="0" fontId="22" fillId="0" borderId="5" xfId="126" applyFont="1" applyFill="1" applyBorder="1" applyAlignment="1">
      <alignment horizontal="center" wrapText="1"/>
    </xf>
    <xf numFmtId="0" fontId="22" fillId="34" borderId="11" xfId="126" applyFont="1" applyFill="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2" fontId="21" fillId="0" borderId="0" xfId="126" applyNumberFormat="1" applyFont="1" applyBorder="1"/>
    <xf numFmtId="164" fontId="53" fillId="0" borderId="0" xfId="135" applyNumberFormat="1" applyFont="1" applyFill="1"/>
    <xf numFmtId="164" fontId="71" fillId="0" borderId="0" xfId="135" applyNumberFormat="1" applyFont="1" applyFill="1"/>
    <xf numFmtId="164" fontId="28" fillId="0" borderId="0" xfId="0" applyNumberFormat="1" applyFont="1" applyFill="1" applyBorder="1"/>
    <xf numFmtId="0" fontId="23" fillId="0" borderId="0" xfId="0" applyFont="1" applyFill="1" applyAlignment="1">
      <alignment horizontal="center"/>
    </xf>
    <xf numFmtId="164" fontId="58" fillId="0" borderId="0" xfId="135" applyNumberFormat="1" applyFont="1" applyFill="1"/>
    <xf numFmtId="0" fontId="22" fillId="0" borderId="3" xfId="28" applyFont="1" applyFill="1" applyBorder="1" applyAlignment="1">
      <alignment horizontal="center"/>
    </xf>
    <xf numFmtId="0" fontId="21" fillId="0" borderId="0" xfId="28" applyNumberFormat="1" applyFont="1" applyFill="1" applyAlignment="1">
      <alignment horizontal="center" vertical="center"/>
    </xf>
    <xf numFmtId="167" fontId="21" fillId="0" borderId="0" xfId="28" applyNumberFormat="1" applyFont="1" applyFill="1"/>
    <xf numFmtId="43" fontId="21" fillId="0" borderId="0" xfId="0" applyNumberFormat="1" applyFont="1"/>
    <xf numFmtId="0" fontId="21" fillId="0" borderId="0" xfId="0" applyNumberFormat="1" applyFont="1"/>
    <xf numFmtId="0" fontId="21" fillId="0" borderId="0" xfId="28" applyFont="1" applyAlignment="1">
      <alignment horizontal="center"/>
    </xf>
    <xf numFmtId="167" fontId="21" fillId="0" borderId="0" xfId="22" applyNumberFormat="1" applyFont="1"/>
    <xf numFmtId="167" fontId="21" fillId="0" borderId="0" xfId="28" applyNumberFormat="1" applyFont="1"/>
    <xf numFmtId="164" fontId="21" fillId="0" borderId="0" xfId="28" applyNumberFormat="1" applyFont="1" applyFill="1" applyBorder="1"/>
    <xf numFmtId="164" fontId="21" fillId="0" borderId="0" xfId="28" applyNumberFormat="1" applyFont="1" applyBorder="1" applyAlignment="1">
      <alignment horizontal="center"/>
    </xf>
    <xf numFmtId="164" fontId="21" fillId="0" borderId="0" xfId="28" applyNumberFormat="1" applyFont="1" applyFill="1" applyBorder="1" applyAlignment="1">
      <alignment horizontal="center"/>
    </xf>
    <xf numFmtId="0" fontId="21" fillId="36" borderId="0" xfId="28" applyFont="1" applyFill="1"/>
    <xf numFmtId="167" fontId="21" fillId="36" borderId="0" xfId="28" quotePrefix="1" applyNumberFormat="1" applyFont="1" applyFill="1" applyBorder="1" applyAlignment="1">
      <alignment horizontal="center"/>
    </xf>
    <xf numFmtId="167" fontId="21" fillId="0" borderId="8" xfId="28" applyNumberFormat="1" applyFont="1" applyBorder="1" applyAlignment="1">
      <alignment horizontal="center"/>
    </xf>
    <xf numFmtId="164" fontId="21" fillId="0" borderId="8" xfId="28" applyNumberFormat="1" applyFont="1" applyFill="1" applyBorder="1" applyAlignment="1">
      <alignment horizontal="center"/>
    </xf>
    <xf numFmtId="5" fontId="21" fillId="0" borderId="8" xfId="28" quotePrefix="1" applyNumberFormat="1" applyFont="1" applyFill="1" applyBorder="1" applyAlignment="1">
      <alignment horizontal="right"/>
    </xf>
    <xf numFmtId="5" fontId="21" fillId="0" borderId="8" xfId="28" applyNumberFormat="1" applyFont="1" applyBorder="1"/>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0" fontId="21" fillId="0" borderId="0" xfId="28" applyFont="1" applyFill="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Border="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0" xfId="28" applyNumberFormat="1" applyFont="1" applyFill="1" applyBorder="1"/>
    <xf numFmtId="167" fontId="21" fillId="0" borderId="8" xfId="28" applyNumberFormat="1" applyFont="1" applyFill="1" applyBorder="1" applyAlignment="1">
      <alignment horizontal="center"/>
    </xf>
    <xf numFmtId="167" fontId="21" fillId="0" borderId="8" xfId="28" quotePrefix="1" applyNumberFormat="1" applyFont="1" applyFill="1" applyBorder="1" applyAlignment="1">
      <alignment horizontal="center"/>
    </xf>
    <xf numFmtId="167" fontId="21" fillId="0" borderId="8" xfId="28" applyNumberFormat="1" applyFont="1" applyBorder="1"/>
    <xf numFmtId="0" fontId="21" fillId="0" borderId="0" xfId="22" applyNumberFormat="1" applyFont="1" applyFill="1" applyBorder="1"/>
    <xf numFmtId="0" fontId="21" fillId="0" borderId="0" xfId="28" applyNumberFormat="1" applyFont="1" applyFill="1" applyBorder="1"/>
    <xf numFmtId="0" fontId="21" fillId="0" borderId="0" xfId="28" applyFont="1" applyBorder="1" applyAlignment="1">
      <alignment horizontal="center"/>
    </xf>
    <xf numFmtId="167" fontId="21" fillId="0" borderId="0" xfId="28" applyNumberFormat="1" applyFont="1" applyFill="1" applyBorder="1" applyAlignment="1"/>
    <xf numFmtId="164" fontId="21" fillId="0" borderId="0" xfId="28" applyNumberFormat="1" applyFont="1" applyFill="1" applyBorder="1" applyAlignment="1">
      <alignment vertical="top" wrapText="1"/>
    </xf>
    <xf numFmtId="167" fontId="21" fillId="0" borderId="0" xfId="22" applyNumberFormat="1" applyFont="1" applyFill="1" applyBorder="1" applyAlignment="1">
      <alignment horizontal="center" wrapText="1"/>
    </xf>
    <xf numFmtId="0" fontId="21" fillId="0" borderId="0" xfId="0" quotePrefix="1" applyFont="1" applyFill="1" applyAlignment="1"/>
    <xf numFmtId="167" fontId="21" fillId="0" borderId="0" xfId="22" applyNumberFormat="1" applyFont="1" applyFill="1" applyBorder="1" applyAlignment="1"/>
    <xf numFmtId="167" fontId="21" fillId="0" borderId="8" xfId="28" applyNumberFormat="1" applyFont="1" applyFill="1" applyBorder="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Border="1" applyAlignment="1">
      <alignment vertical="justify"/>
    </xf>
    <xf numFmtId="0" fontId="21" fillId="0" borderId="0" xfId="28" applyNumberFormat="1" applyFont="1" applyFill="1"/>
    <xf numFmtId="0" fontId="21" fillId="0" borderId="0" xfId="28" applyFont="1" applyFill="1" applyBorder="1" applyAlignment="1">
      <alignment vertical="top"/>
    </xf>
    <xf numFmtId="0" fontId="21" fillId="0" borderId="0" xfId="28" applyFont="1" applyFill="1" applyAlignment="1">
      <alignment horizontal="center"/>
    </xf>
    <xf numFmtId="167" fontId="21" fillId="0" borderId="0" xfId="22" applyNumberFormat="1" applyFont="1" applyFill="1"/>
    <xf numFmtId="0" fontId="21" fillId="0" borderId="0" xfId="28" applyFont="1" applyFill="1" applyBorder="1" applyAlignment="1">
      <alignment vertical="top" wrapText="1"/>
    </xf>
    <xf numFmtId="0" fontId="21" fillId="0" borderId="0" xfId="28" applyFont="1" applyFill="1" applyBorder="1" applyAlignment="1" applyProtection="1">
      <alignment horizontal="left" vertical="top" indent="1"/>
      <protection locked="0"/>
    </xf>
    <xf numFmtId="0" fontId="21" fillId="0" borderId="0" xfId="28" applyFont="1" applyFill="1" applyAlignment="1">
      <alignment horizontal="left" indent="1"/>
    </xf>
    <xf numFmtId="165" fontId="21" fillId="0" borderId="0" xfId="28" applyNumberFormat="1" applyFont="1" applyFill="1"/>
    <xf numFmtId="0" fontId="25" fillId="0" borderId="0" xfId="0" applyFont="1" applyFill="1"/>
    <xf numFmtId="10" fontId="21" fillId="0" borderId="0" xfId="0" applyNumberFormat="1" applyFont="1"/>
    <xf numFmtId="0" fontId="22" fillId="0" borderId="3" xfId="28" applyFont="1" applyFill="1" applyBorder="1" applyAlignment="1">
      <alignment horizontal="center"/>
    </xf>
    <xf numFmtId="0" fontId="24" fillId="0" borderId="6" xfId="0" applyFont="1" applyFill="1" applyBorder="1" applyAlignment="1">
      <alignment horizontal="left"/>
    </xf>
    <xf numFmtId="0" fontId="21"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168" fontId="24" fillId="0" borderId="0" xfId="0" applyNumberFormat="1" applyFont="1" applyFill="1"/>
    <xf numFmtId="0" fontId="21" fillId="0" borderId="0" xfId="0" applyFont="1" applyFill="1" applyAlignment="1">
      <alignment horizontal="left"/>
    </xf>
    <xf numFmtId="0" fontId="21" fillId="0" borderId="0" xfId="0" applyFont="1" applyFill="1" applyAlignment="1">
      <alignment horizontal="right"/>
    </xf>
    <xf numFmtId="0" fontId="21" fillId="0" borderId="0" xfId="0" quotePrefix="1" applyFont="1" applyFill="1" applyAlignment="1">
      <alignment horizontal="right"/>
    </xf>
    <xf numFmtId="168" fontId="0" fillId="0" borderId="0" xfId="0" applyNumberFormat="1" applyFill="1"/>
    <xf numFmtId="0" fontId="21" fillId="0" borderId="0" xfId="0" applyFont="1" applyFill="1" applyAlignment="1">
      <alignment horizontal="left" indent="2"/>
    </xf>
    <xf numFmtId="0" fontId="21" fillId="0" borderId="0" xfId="0" quotePrefix="1" applyFont="1" applyFill="1" applyAlignment="1">
      <alignment horizontal="left" indent="2"/>
    </xf>
    <xf numFmtId="0" fontId="21" fillId="0" borderId="0" xfId="0" applyFont="1" applyFill="1" applyAlignment="1">
      <alignment horizontal="left" indent="3"/>
    </xf>
    <xf numFmtId="0" fontId="54" fillId="0" borderId="0" xfId="0" applyFont="1" applyFill="1" applyAlignment="1">
      <alignment horizontal="left"/>
    </xf>
    <xf numFmtId="0" fontId="21" fillId="0" borderId="0" xfId="0" quotePrefix="1" applyFont="1" applyFill="1" applyAlignment="1">
      <alignment horizontal="left" indent="1"/>
    </xf>
    <xf numFmtId="0" fontId="28" fillId="0" borderId="0" xfId="0" applyFont="1" applyFill="1" applyAlignment="1">
      <alignment horizontal="left"/>
    </xf>
    <xf numFmtId="0" fontId="24" fillId="0" borderId="0" xfId="28" applyFont="1" applyFill="1" applyBorder="1" applyAlignment="1">
      <alignment horizontal="left" indent="1"/>
    </xf>
    <xf numFmtId="0" fontId="22" fillId="0" borderId="0" xfId="0" applyNumberFormat="1" applyFont="1" applyFill="1" applyAlignment="1">
      <alignment horizontal="left"/>
    </xf>
    <xf numFmtId="0" fontId="21" fillId="0" borderId="0" xfId="0" applyFont="1" applyFill="1" applyAlignment="1"/>
    <xf numFmtId="0" fontId="22" fillId="0" borderId="0" xfId="0" quotePrefix="1" applyFont="1" applyFill="1" applyAlignment="1">
      <alignment horizontal="center"/>
    </xf>
    <xf numFmtId="10" fontId="21" fillId="0" borderId="0" xfId="0" quotePrefix="1" applyNumberFormat="1" applyFont="1" applyFill="1" applyAlignment="1">
      <alignment horizontal="right"/>
    </xf>
    <xf numFmtId="3" fontId="0" fillId="0" borderId="0" xfId="0" applyNumberFormat="1" applyFill="1" applyAlignment="1">
      <alignment horizontal="center"/>
    </xf>
    <xf numFmtId="0" fontId="55" fillId="36" borderId="0" xfId="0" quotePrefix="1" applyFont="1" applyFill="1" applyAlignment="1">
      <alignment horizontal="center"/>
    </xf>
    <xf numFmtId="0" fontId="54" fillId="0" borderId="0" xfId="0" applyFont="1" applyFill="1" applyAlignment="1">
      <alignment horizontal="right"/>
    </xf>
    <xf numFmtId="0" fontId="65" fillId="0" borderId="0" xfId="0" applyFont="1" applyFill="1" applyAlignment="1">
      <alignment horizontal="left" vertical="center"/>
    </xf>
    <xf numFmtId="0" fontId="22" fillId="0" borderId="0" xfId="34" applyFont="1" applyFill="1"/>
    <xf numFmtId="0" fontId="24" fillId="0" borderId="0" xfId="34" applyFont="1" applyFill="1"/>
    <xf numFmtId="0" fontId="21" fillId="0" borderId="0" xfId="34" applyFont="1" applyFill="1" applyAlignment="1">
      <alignment horizontal="right"/>
    </xf>
    <xf numFmtId="0" fontId="56" fillId="0" borderId="0" xfId="0" applyFont="1" applyFill="1" applyAlignment="1">
      <alignment horizontal="left" indent="1"/>
    </xf>
    <xf numFmtId="0" fontId="21" fillId="0" borderId="0" xfId="100" applyFont="1" applyFill="1" applyAlignment="1">
      <alignment horizontal="left" indent="1"/>
    </xf>
    <xf numFmtId="0" fontId="55" fillId="0" borderId="0" xfId="0" applyFont="1" applyFill="1"/>
    <xf numFmtId="0" fontId="54" fillId="0" borderId="0" xfId="0" quotePrefix="1" applyFont="1" applyFill="1" applyAlignment="1">
      <alignment horizontal="center"/>
    </xf>
    <xf numFmtId="0" fontId="21" fillId="0" borderId="0" xfId="0" applyFont="1" applyFill="1" applyBorder="1" applyAlignment="1">
      <alignment horizontal="left" indent="1"/>
    </xf>
    <xf numFmtId="0" fontId="0" fillId="0" borderId="0" xfId="0" quotePrefix="1" applyFill="1"/>
    <xf numFmtId="0" fontId="21" fillId="0" borderId="0" xfId="100" applyFont="1" applyFill="1" applyBorder="1" applyAlignment="1"/>
    <xf numFmtId="0" fontId="24"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2" fillId="0" borderId="0" xfId="100" applyNumberFormat="1" applyFont="1" applyFill="1"/>
    <xf numFmtId="10" fontId="21" fillId="0" borderId="0" xfId="37" applyNumberFormat="1" applyFont="1" applyFill="1" applyAlignment="1">
      <alignment horizontal="center"/>
    </xf>
    <xf numFmtId="5" fontId="21" fillId="0" borderId="0" xfId="100" applyNumberFormat="1" applyFill="1"/>
    <xf numFmtId="166" fontId="54" fillId="0" borderId="0" xfId="0" applyNumberFormat="1" applyFont="1" applyFill="1"/>
    <xf numFmtId="167" fontId="21" fillId="0" borderId="0" xfId="28" applyNumberFormat="1" applyFont="1" applyFill="1" applyBorder="1" applyAlignment="1">
      <alignment horizontal="center"/>
    </xf>
    <xf numFmtId="0" fontId="25" fillId="0" borderId="0" xfId="0" quotePrefix="1" applyFont="1" applyFill="1" applyAlignment="1">
      <alignment horizontal="center" vertical="top"/>
    </xf>
    <xf numFmtId="0" fontId="22" fillId="0" borderId="7" xfId="28" applyFont="1" applyFill="1" applyBorder="1" applyAlignment="1">
      <alignment horizontal="center"/>
    </xf>
    <xf numFmtId="0" fontId="21" fillId="0" borderId="0" xfId="28" quotePrefix="1" applyFont="1" applyFill="1"/>
    <xf numFmtId="0" fontId="21" fillId="0" borderId="0" xfId="28" applyFont="1" applyFill="1" applyBorder="1" applyAlignment="1" applyProtection="1">
      <alignment horizontal="left" indent="2"/>
      <protection locked="0"/>
    </xf>
    <xf numFmtId="0" fontId="21" fillId="0" borderId="0" xfId="28" applyFont="1" applyFill="1" applyAlignment="1">
      <alignment horizontal="right"/>
    </xf>
    <xf numFmtId="10" fontId="21" fillId="0" borderId="0" xfId="28" applyNumberFormat="1" applyFont="1" applyFill="1"/>
    <xf numFmtId="165" fontId="29" fillId="0" borderId="0" xfId="0" applyNumberFormat="1" applyFont="1" applyFill="1"/>
    <xf numFmtId="0" fontId="64" fillId="0" borderId="0" xfId="0" applyFont="1" applyFill="1"/>
    <xf numFmtId="0" fontId="21" fillId="0" borderId="0" xfId="100" applyFont="1" applyFill="1" applyAlignment="1">
      <alignment horizontal="left"/>
    </xf>
    <xf numFmtId="37" fontId="21" fillId="0" borderId="3" xfId="0" applyNumberFormat="1" applyFont="1" applyFill="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NumberFormat="1" applyFont="1" applyFill="1" applyBorder="1"/>
    <xf numFmtId="0" fontId="21" fillId="0" borderId="3" xfId="0" quotePrefix="1" applyNumberFormat="1" applyFont="1" applyFill="1" applyBorder="1" applyAlignment="1">
      <alignment horizontal="center"/>
    </xf>
    <xf numFmtId="0" fontId="24" fillId="0" borderId="4" xfId="0" applyFont="1" applyFill="1" applyBorder="1" applyAlignment="1">
      <alignment horizontal="left"/>
    </xf>
    <xf numFmtId="49" fontId="21" fillId="0" borderId="0" xfId="22" applyNumberFormat="1" applyFont="1" applyFill="1" applyBorder="1" applyAlignment="1">
      <alignment horizontal="left"/>
    </xf>
    <xf numFmtId="49" fontId="24" fillId="0" borderId="0" xfId="22" quotePrefix="1" applyNumberFormat="1" applyFont="1" applyFill="1" applyBorder="1" applyAlignment="1">
      <alignment horizontal="left"/>
    </xf>
    <xf numFmtId="49" fontId="24" fillId="0" borderId="0" xfId="22" applyNumberFormat="1" applyFont="1" applyFill="1" applyBorder="1" applyAlignment="1">
      <alignment horizontal="left"/>
    </xf>
    <xf numFmtId="49" fontId="24" fillId="0" borderId="0" xfId="0" applyNumberFormat="1" applyFont="1" applyFill="1" applyBorder="1" applyAlignment="1">
      <alignment horizontal="left"/>
    </xf>
    <xf numFmtId="176" fontId="24" fillId="0" borderId="0" xfId="22" applyNumberFormat="1" applyFont="1" applyFill="1" applyBorder="1" applyAlignment="1">
      <alignment horizontal="center"/>
    </xf>
    <xf numFmtId="0" fontId="25" fillId="0" borderId="0" xfId="108" applyFont="1" applyFill="1" applyAlignment="1">
      <alignment horizontal="center"/>
    </xf>
    <xf numFmtId="0" fontId="25" fillId="0" borderId="0" xfId="108" applyFont="1" applyFill="1" applyAlignment="1">
      <alignment horizontal="left"/>
    </xf>
    <xf numFmtId="0" fontId="52" fillId="0" borderId="0" xfId="0" applyFont="1" applyFill="1"/>
    <xf numFmtId="0" fontId="22" fillId="0" borderId="0" xfId="108" applyFont="1" applyFill="1" applyAlignment="1"/>
    <xf numFmtId="0" fontId="25" fillId="0" borderId="0" xfId="108" applyFont="1" applyFill="1" applyAlignment="1"/>
    <xf numFmtId="0" fontId="21" fillId="0" borderId="0" xfId="108" applyFont="1" applyFill="1" applyAlignment="1">
      <alignment horizontal="left" indent="1"/>
    </xf>
    <xf numFmtId="0" fontId="22" fillId="0" borderId="0" xfId="0" applyFont="1" applyFill="1" applyAlignment="1">
      <alignment horizontal="left" indent="2"/>
    </xf>
    <xf numFmtId="0" fontId="52" fillId="0" borderId="0" xfId="0" applyFont="1" applyFill="1" applyAlignment="1">
      <alignment horizontal="center"/>
    </xf>
    <xf numFmtId="0" fontId="55" fillId="0" borderId="0" xfId="0" applyFont="1" applyFill="1" applyAlignment="1">
      <alignment horizontal="left" indent="1"/>
    </xf>
    <xf numFmtId="0" fontId="54" fillId="0" borderId="0" xfId="0" quotePrefix="1" applyFont="1" applyFill="1"/>
    <xf numFmtId="0" fontId="22" fillId="0" borderId="0" xfId="0" applyFont="1" applyFill="1" applyAlignment="1">
      <alignment horizontal="left" indent="1"/>
    </xf>
    <xf numFmtId="164" fontId="21" fillId="0" borderId="0" xfId="0" applyNumberFormat="1" applyFont="1" applyFill="1" applyAlignment="1"/>
    <xf numFmtId="0" fontId="55" fillId="0" borderId="0" xfId="0" applyFont="1" applyFill="1" applyAlignment="1">
      <alignment horizontal="left"/>
    </xf>
    <xf numFmtId="0" fontId="21" fillId="0" borderId="0" xfId="0" applyNumberFormat="1" applyFont="1" applyFill="1" applyAlignment="1">
      <alignment horizontal="left"/>
    </xf>
    <xf numFmtId="0" fontId="21" fillId="0" borderId="0" xfId="0" applyFont="1" applyFill="1" applyBorder="1" applyAlignment="1">
      <alignment horizontal="left"/>
    </xf>
    <xf numFmtId="171" fontId="0" fillId="0" borderId="0" xfId="0" applyNumberFormat="1" applyFill="1"/>
    <xf numFmtId="0" fontId="25" fillId="0" borderId="0" xfId="0" applyFont="1" applyFill="1" applyAlignment="1"/>
    <xf numFmtId="172" fontId="0" fillId="0" borderId="0" xfId="0" applyNumberFormat="1" applyFill="1"/>
    <xf numFmtId="0" fontId="22" fillId="0" borderId="0" xfId="28" applyFont="1" applyFill="1" applyAlignment="1">
      <alignment horizontal="right"/>
    </xf>
    <xf numFmtId="42" fontId="24" fillId="0" borderId="0" xfId="20" applyNumberFormat="1" applyFont="1" applyFill="1" applyBorder="1"/>
    <xf numFmtId="164" fontId="24" fillId="0" borderId="0" xfId="20" applyNumberFormat="1" applyFont="1" applyFill="1" applyBorder="1"/>
    <xf numFmtId="0" fontId="37" fillId="0" borderId="0" xfId="28" applyFont="1" applyFill="1" applyAlignment="1">
      <alignment vertical="center"/>
    </xf>
    <xf numFmtId="164" fontId="24" fillId="0" borderId="0" xfId="39" applyNumberFormat="1" applyFont="1" applyFill="1"/>
    <xf numFmtId="164" fontId="21" fillId="0" borderId="0" xfId="106" applyNumberFormat="1" applyFont="1" applyFill="1"/>
    <xf numFmtId="0" fontId="32" fillId="0" borderId="0" xfId="100" applyFont="1" applyFill="1"/>
    <xf numFmtId="42" fontId="24" fillId="0" borderId="0" xfId="39" applyNumberFormat="1" applyFont="1" applyFill="1"/>
    <xf numFmtId="42" fontId="24" fillId="0" borderId="0" xfId="28" applyNumberFormat="1" applyFont="1" applyFill="1"/>
    <xf numFmtId="0" fontId="22" fillId="0" borderId="0" xfId="28" applyFont="1" applyFill="1" applyAlignment="1">
      <alignment horizontal="center" wrapText="1"/>
    </xf>
    <xf numFmtId="0" fontId="25" fillId="0" borderId="0" xfId="28" applyFont="1" applyFill="1"/>
    <xf numFmtId="164" fontId="21" fillId="0" borderId="0" xfId="28" applyNumberFormat="1" applyFont="1" applyFill="1"/>
    <xf numFmtId="168" fontId="24" fillId="0" borderId="0" xfId="28" applyNumberFormat="1" applyFont="1" applyFill="1"/>
    <xf numFmtId="0" fontId="21" fillId="0" borderId="0" xfId="28" applyFont="1" applyFill="1" applyAlignment="1">
      <alignment vertical="center"/>
    </xf>
    <xf numFmtId="0" fontId="32" fillId="0" borderId="0" xfId="28" applyFont="1" applyFill="1"/>
    <xf numFmtId="164" fontId="21" fillId="0" borderId="8" xfId="96" applyNumberFormat="1" applyFont="1" applyBorder="1"/>
    <xf numFmtId="17" fontId="21" fillId="36" borderId="0" xfId="100" quotePrefix="1" applyNumberFormat="1" applyFont="1" applyFill="1" applyBorder="1" applyAlignment="1">
      <alignment horizontal="left"/>
    </xf>
    <xf numFmtId="0" fontId="21"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19" applyNumberFormat="1" applyFont="1" applyFill="1" applyBorder="1" applyAlignment="1">
      <alignment wrapText="1"/>
    </xf>
    <xf numFmtId="167" fontId="54" fillId="36" borderId="0" xfId="133" applyNumberFormat="1" applyFont="1" applyFill="1"/>
    <xf numFmtId="167" fontId="54" fillId="36" borderId="0" xfId="133" applyNumberFormat="1" applyFont="1" applyFill="1" applyBorder="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3" fontId="21" fillId="36" borderId="0" xfId="126" applyNumberFormat="1" applyFont="1" applyFill="1" applyBorder="1"/>
    <xf numFmtId="3" fontId="21" fillId="36" borderId="0" xfId="128" applyNumberFormat="1" applyFont="1" applyFill="1" applyBorder="1"/>
    <xf numFmtId="3" fontId="21" fillId="36" borderId="0" xfId="129" applyNumberFormat="1" applyFont="1" applyFill="1" applyBorder="1"/>
    <xf numFmtId="3" fontId="21" fillId="36" borderId="0" xfId="130" applyNumberFormat="1" applyFont="1" applyFill="1" applyBorder="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5" fontId="21" fillId="36" borderId="0" xfId="22" applyNumberFormat="1" applyFont="1" applyFill="1" applyBorder="1"/>
    <xf numFmtId="3" fontId="0" fillId="36" borderId="0" xfId="0" applyNumberFormat="1" applyFill="1"/>
    <xf numFmtId="170" fontId="21" fillId="36" borderId="0" xfId="100" applyNumberFormat="1" applyFont="1" applyFill="1" applyAlignment="1">
      <alignment horizontal="center"/>
    </xf>
    <xf numFmtId="0" fontId="21" fillId="36" borderId="0" xfId="100" applyFont="1" applyFill="1"/>
    <xf numFmtId="164" fontId="21" fillId="36" borderId="0" xfId="100" applyNumberFormat="1" applyFont="1" applyFill="1"/>
    <xf numFmtId="0" fontId="0" fillId="0" borderId="0" xfId="0"/>
    <xf numFmtId="0" fontId="21" fillId="36" borderId="0" xfId="0" applyFont="1" applyFill="1"/>
    <xf numFmtId="164" fontId="54" fillId="36" borderId="0" xfId="0" applyNumberFormat="1" applyFont="1" applyFill="1"/>
    <xf numFmtId="0" fontId="54" fillId="36" borderId="0" xfId="0" applyFont="1" applyFill="1"/>
    <xf numFmtId="170" fontId="21" fillId="36" borderId="0" xfId="100" applyNumberFormat="1" applyFont="1" applyFill="1" applyAlignment="1">
      <alignment horizontal="center"/>
    </xf>
    <xf numFmtId="164" fontId="21" fillId="36" borderId="0" xfId="96" applyNumberFormat="1" applyFont="1" applyFill="1" applyBorder="1"/>
    <xf numFmtId="0" fontId="21" fillId="36" borderId="0" xfId="0" applyFont="1" applyFill="1"/>
    <xf numFmtId="0" fontId="22" fillId="36" borderId="0" xfId="0" applyFont="1" applyFill="1" applyAlignment="1">
      <alignment horizontal="center"/>
    </xf>
    <xf numFmtId="164" fontId="54" fillId="36" borderId="0" xfId="0" applyNumberFormat="1" applyFont="1" applyFill="1"/>
    <xf numFmtId="170" fontId="21" fillId="36" borderId="0" xfId="100" applyNumberFormat="1" applyFont="1" applyFill="1" applyAlignment="1">
      <alignment horizontal="center"/>
    </xf>
    <xf numFmtId="164" fontId="21" fillId="36" borderId="0" xfId="96" applyNumberFormat="1" applyFont="1" applyFill="1" applyBorder="1"/>
    <xf numFmtId="164" fontId="54" fillId="36" borderId="0" xfId="125" applyNumberFormat="1" applyFont="1" applyFill="1"/>
    <xf numFmtId="0" fontId="54" fillId="36" borderId="0" xfId="125" applyFont="1" applyFill="1"/>
    <xf numFmtId="170" fontId="21" fillId="36" borderId="0" xfId="125" quotePrefix="1" applyNumberFormat="1" applyFont="1" applyFill="1" applyAlignment="1">
      <alignment horizontal="center"/>
    </xf>
    <xf numFmtId="0" fontId="21" fillId="36" borderId="0" xfId="125" applyFont="1" applyFill="1"/>
    <xf numFmtId="164" fontId="54" fillId="36" borderId="0" xfId="96" applyNumberFormat="1" applyFont="1" applyFill="1" applyBorder="1"/>
    <xf numFmtId="0" fontId="21" fillId="36" borderId="0" xfId="125" applyFont="1" applyFill="1" applyBorder="1" applyProtection="1"/>
    <xf numFmtId="164" fontId="65" fillId="36" borderId="0" xfId="0" applyNumberFormat="1" applyFont="1" applyFill="1"/>
    <xf numFmtId="0" fontId="24" fillId="0" borderId="4" xfId="0" applyNumberFormat="1" applyFont="1" applyFill="1" applyBorder="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1" fillId="34" borderId="0" xfId="0" applyNumberFormat="1" applyFont="1" applyFill="1"/>
    <xf numFmtId="164" fontId="21" fillId="0" borderId="14" xfId="96" applyNumberFormat="1" applyFont="1" applyFill="1" applyBorder="1"/>
    <xf numFmtId="164" fontId="21" fillId="36" borderId="0" xfId="0" applyNumberFormat="1" applyFont="1" applyFill="1" applyBorder="1"/>
    <xf numFmtId="0" fontId="25" fillId="0" borderId="0" xfId="0" applyFont="1" applyFill="1" applyBorder="1"/>
    <xf numFmtId="0" fontId="24" fillId="0" borderId="0" xfId="0" applyFont="1" applyBorder="1" applyAlignment="1">
      <alignment horizontal="right"/>
    </xf>
    <xf numFmtId="164" fontId="28" fillId="36" borderId="0" xfId="0" applyNumberFormat="1" applyFont="1" applyFill="1" applyBorder="1" applyAlignment="1"/>
    <xf numFmtId="0" fontId="22" fillId="0" borderId="0" xfId="0" applyFont="1" applyBorder="1"/>
    <xf numFmtId="0" fontId="21" fillId="0" borderId="0" xfId="0" applyFont="1" applyBorder="1" applyAlignment="1">
      <alignment horizontal="left" indent="1"/>
    </xf>
    <xf numFmtId="0" fontId="21" fillId="36" borderId="0" xfId="0" applyFont="1" applyFill="1" applyBorder="1"/>
    <xf numFmtId="0" fontId="21" fillId="0" borderId="0" xfId="0" applyFont="1" applyBorder="1" applyAlignment="1">
      <alignment horizontal="right"/>
    </xf>
    <xf numFmtId="164" fontId="21" fillId="36" borderId="0" xfId="0" applyNumberFormat="1" applyFont="1" applyFill="1" applyBorder="1" applyAlignment="1">
      <alignment horizontal="right"/>
    </xf>
    <xf numFmtId="181" fontId="22" fillId="36" borderId="0" xfId="19" applyNumberFormat="1" applyFont="1" applyFill="1" applyAlignment="1">
      <alignment horizontal="center"/>
    </xf>
    <xf numFmtId="164" fontId="54" fillId="36" borderId="0" xfId="125" applyNumberFormat="1" applyFont="1" applyFill="1" applyBorder="1"/>
    <xf numFmtId="164" fontId="54" fillId="36" borderId="0" xfId="0" applyNumberFormat="1" applyFont="1" applyFill="1" applyBorder="1"/>
    <xf numFmtId="0" fontId="22" fillId="36" borderId="0" xfId="0" applyFont="1" applyFill="1" applyBorder="1" applyAlignment="1">
      <alignment horizontal="center"/>
    </xf>
    <xf numFmtId="170" fontId="21" fillId="36" borderId="0" xfId="0" quotePrefix="1" applyNumberFormat="1" applyFont="1" applyFill="1" applyBorder="1" applyAlignment="1" applyProtection="1">
      <alignment horizontal="center"/>
    </xf>
    <xf numFmtId="0" fontId="54" fillId="36" borderId="0" xfId="125" applyFont="1" applyFill="1" applyBorder="1"/>
    <xf numFmtId="164" fontId="24" fillId="0" borderId="0" xfId="0" applyNumberFormat="1" applyFont="1" applyFill="1" applyBorder="1" applyAlignment="1">
      <alignment horizontal="right"/>
    </xf>
    <xf numFmtId="10" fontId="21" fillId="0" borderId="0" xfId="0" applyNumberFormat="1" applyFont="1" applyAlignment="1">
      <alignment horizontal="right" wrapText="1"/>
    </xf>
    <xf numFmtId="0" fontId="53" fillId="0" borderId="0" xfId="126" applyFont="1" applyFill="1" applyAlignment="1">
      <alignment horizontal="center"/>
    </xf>
    <xf numFmtId="0" fontId="21" fillId="0" borderId="5" xfId="126" applyFont="1" applyFill="1" applyBorder="1" applyAlignment="1">
      <alignment horizontal="center" wrapText="1"/>
    </xf>
    <xf numFmtId="0" fontId="21" fillId="0" borderId="0" xfId="126" applyFont="1" applyFill="1" applyAlignment="1">
      <alignment horizontal="center" wrapText="1"/>
    </xf>
    <xf numFmtId="0" fontId="21" fillId="0" borderId="19" xfId="126" applyFont="1" applyFill="1" applyBorder="1" applyAlignment="1">
      <alignment horizontal="center"/>
    </xf>
    <xf numFmtId="9" fontId="21" fillId="0" borderId="0" xfId="37" applyFont="1" applyFill="1"/>
    <xf numFmtId="0" fontId="159" fillId="0" borderId="0" xfId="126" applyFont="1" applyFill="1" applyAlignment="1">
      <alignment horizontal="center"/>
    </xf>
    <xf numFmtId="0" fontId="21" fillId="0" borderId="0" xfId="126" applyFont="1" applyFill="1" applyAlignment="1">
      <alignment horizontal="left"/>
    </xf>
    <xf numFmtId="179" fontId="21" fillId="36" borderId="0" xfId="35" applyNumberFormat="1" applyFont="1" applyFill="1" applyBorder="1" applyAlignment="1">
      <alignment horizontal="left"/>
    </xf>
    <xf numFmtId="0" fontId="21" fillId="36" borderId="0" xfId="35" applyFont="1" applyFill="1" applyBorder="1" applyAlignment="1">
      <alignment horizontal="left" vertical="top" indent="1"/>
    </xf>
    <xf numFmtId="0" fontId="21" fillId="36" borderId="0" xfId="126" applyFont="1" applyFill="1" applyBorder="1"/>
    <xf numFmtId="3" fontId="21" fillId="0" borderId="0" xfId="126" applyNumberFormat="1" applyFont="1"/>
    <xf numFmtId="0" fontId="22" fillId="0" borderId="4" xfId="126" applyFont="1" applyFill="1" applyBorder="1" applyAlignment="1">
      <alignment horizontal="center"/>
    </xf>
    <xf numFmtId="0" fontId="69" fillId="0" borderId="0" xfId="126" applyFont="1" applyFill="1"/>
    <xf numFmtId="0" fontId="159" fillId="0" borderId="0" xfId="126" quotePrefix="1" applyFont="1" applyAlignment="1">
      <alignment horizontal="center" wrapText="1"/>
    </xf>
    <xf numFmtId="0" fontId="161" fillId="0" borderId="0" xfId="126" quotePrefix="1" applyFont="1" applyAlignment="1">
      <alignment horizontal="center"/>
    </xf>
    <xf numFmtId="0" fontId="161" fillId="0" borderId="0" xfId="126" quotePrefix="1" applyFont="1" applyBorder="1" applyAlignment="1">
      <alignment horizontal="center"/>
    </xf>
    <xf numFmtId="2" fontId="162" fillId="0" borderId="29" xfId="126" applyNumberFormat="1" applyFont="1" applyBorder="1" applyAlignment="1">
      <alignment horizontal="center" wrapText="1"/>
    </xf>
    <xf numFmtId="2" fontId="162" fillId="0" borderId="0" xfId="126" applyNumberFormat="1" applyFont="1" applyBorder="1" applyAlignment="1">
      <alignment horizontal="center" wrapText="1"/>
    </xf>
    <xf numFmtId="164" fontId="21" fillId="0" borderId="0" xfId="126" applyNumberFormat="1" applyFont="1" applyFill="1"/>
    <xf numFmtId="2" fontId="159" fillId="0" borderId="0" xfId="126" applyNumberFormat="1" applyFont="1"/>
    <xf numFmtId="164" fontId="159" fillId="0" borderId="0" xfId="126" applyNumberFormat="1" applyFont="1" applyFill="1"/>
    <xf numFmtId="1" fontId="159" fillId="0" borderId="0" xfId="126" applyNumberFormat="1" applyFont="1"/>
    <xf numFmtId="166" fontId="21" fillId="0" borderId="0" xfId="126" quotePrefix="1" applyNumberFormat="1" applyFont="1" applyFill="1" applyAlignment="1">
      <alignment horizontal="center"/>
    </xf>
    <xf numFmtId="166" fontId="21" fillId="0" borderId="0" xfId="126" applyNumberFormat="1" applyFont="1" applyFill="1" applyAlignment="1">
      <alignment horizontal="center"/>
    </xf>
    <xf numFmtId="0" fontId="21" fillId="0" borderId="0" xfId="126" applyFont="1" applyFill="1" applyAlignment="1">
      <alignment readingOrder="1"/>
    </xf>
    <xf numFmtId="0" fontId="21" fillId="0" borderId="0" xfId="126" applyFont="1" applyAlignment="1">
      <alignment wrapText="1"/>
    </xf>
    <xf numFmtId="0" fontId="22" fillId="0" borderId="5" xfId="126" applyFont="1" applyBorder="1" applyAlignment="1">
      <alignment horizontal="center" wrapText="1"/>
    </xf>
    <xf numFmtId="3" fontId="21" fillId="36" borderId="0" xfId="126" applyNumberFormat="1" applyFont="1" applyFill="1"/>
    <xf numFmtId="10" fontId="21" fillId="0" borderId="0" xfId="126" applyNumberFormat="1" applyFont="1"/>
    <xf numFmtId="3" fontId="21" fillId="0" borderId="0" xfId="126" applyNumberFormat="1" applyFont="1" applyFill="1"/>
    <xf numFmtId="164" fontId="21" fillId="0" borderId="0" xfId="0" applyNumberFormat="1" applyFont="1" applyAlignment="1"/>
    <xf numFmtId="166" fontId="21" fillId="0" borderId="0" xfId="0" applyNumberFormat="1" applyFont="1" applyFill="1" applyAlignment="1">
      <alignment horizontal="left" indent="1"/>
    </xf>
    <xf numFmtId="164" fontId="21" fillId="0" borderId="0" xfId="0" quotePrefix="1" applyNumberFormat="1" applyFont="1" applyAlignment="1">
      <alignment horizontal="center"/>
    </xf>
    <xf numFmtId="0" fontId="21" fillId="0" borderId="0" xfId="100" applyNumberFormat="1" applyFont="1" applyFill="1" applyBorder="1" applyAlignment="1">
      <alignment horizontal="left" indent="2"/>
    </xf>
    <xf numFmtId="0" fontId="21" fillId="0" borderId="0" xfId="0" applyFont="1" applyFill="1" applyAlignment="1">
      <alignment horizontal="left" indent="4"/>
    </xf>
    <xf numFmtId="0" fontId="21" fillId="0" borderId="0" xfId="100" applyNumberFormat="1" applyFont="1" applyFill="1" applyBorder="1" applyAlignment="1">
      <alignment horizontal="left" indent="1"/>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0" fontId="21" fillId="0" borderId="0" xfId="0" quotePrefix="1" applyFont="1" applyAlignment="1">
      <alignment horizontal="left" indent="2"/>
    </xf>
    <xf numFmtId="37" fontId="0" fillId="36" borderId="0" xfId="19" applyNumberFormat="1" applyFont="1" applyFill="1"/>
    <xf numFmtId="3" fontId="21" fillId="0" borderId="0" xfId="100" applyNumberFormat="1" applyFont="1" applyFill="1" applyBorder="1" applyAlignment="1">
      <alignment horizontal="left" indent="1"/>
    </xf>
    <xf numFmtId="167" fontId="22" fillId="0" borderId="0" xfId="96" applyNumberFormat="1" applyFont="1" applyFill="1" applyBorder="1" applyAlignment="1">
      <alignment horizontal="center"/>
    </xf>
    <xf numFmtId="0" fontId="21" fillId="0" borderId="0" xfId="100" applyFont="1" applyFill="1" applyBorder="1"/>
    <xf numFmtId="0" fontId="21" fillId="36" borderId="0" xfId="0" applyNumberFormat="1" applyFont="1" applyFill="1" applyAlignment="1"/>
    <xf numFmtId="165" fontId="0" fillId="36" borderId="0" xfId="0" applyNumberFormat="1" applyFill="1"/>
    <xf numFmtId="164" fontId="21" fillId="36" borderId="0" xfId="100" applyNumberFormat="1" applyFont="1" applyFill="1" applyBorder="1" applyAlignment="1">
      <alignment vertical="top" wrapText="1"/>
    </xf>
    <xf numFmtId="5" fontId="21" fillId="36" borderId="0" xfId="22" applyNumberFormat="1" applyFont="1" applyFill="1" applyBorder="1" applyAlignment="1">
      <alignment horizontal="center"/>
    </xf>
    <xf numFmtId="0" fontId="0" fillId="0" borderId="0" xfId="0" applyFill="1" applyAlignment="1"/>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36" borderId="0" xfId="100" applyFont="1" applyFill="1" applyBorder="1" applyAlignment="1">
      <alignment horizontal="center"/>
    </xf>
    <xf numFmtId="164" fontId="28" fillId="34" borderId="0" xfId="0" applyNumberFormat="1" applyFont="1" applyFill="1" applyAlignment="1"/>
    <xf numFmtId="0" fontId="21" fillId="0" borderId="0" xfId="100" quotePrefix="1" applyNumberFormat="1" applyFont="1" applyFill="1" applyBorder="1" applyAlignment="1">
      <alignment horizontal="left"/>
    </xf>
    <xf numFmtId="0" fontId="21" fillId="0" borderId="0" xfId="100" applyNumberFormat="1" applyFont="1" applyFill="1" applyBorder="1" applyAlignment="1">
      <alignment horizontal="right"/>
    </xf>
    <xf numFmtId="164" fontId="21" fillId="0" borderId="0" xfId="96" applyNumberFormat="1" applyFont="1" applyFill="1" applyBorder="1" applyAlignment="1">
      <alignment horizontal="right"/>
    </xf>
    <xf numFmtId="167" fontId="21" fillId="0" borderId="0" xfId="100" quotePrefix="1" applyNumberFormat="1" applyFont="1" applyFill="1" applyBorder="1" applyAlignment="1">
      <alignment horizontal="left" indent="1"/>
    </xf>
    <xf numFmtId="0" fontId="25" fillId="0" borderId="0" xfId="100" applyNumberFormat="1" applyFont="1" applyFill="1" applyBorder="1" applyAlignment="1">
      <alignment horizontal="left"/>
    </xf>
    <xf numFmtId="0" fontId="25" fillId="0" borderId="0" xfId="100" applyNumberFormat="1" applyFont="1" applyFill="1" applyBorder="1" applyAlignment="1">
      <alignment horizontal="center"/>
    </xf>
    <xf numFmtId="167" fontId="21" fillId="0" borderId="0" xfId="100" applyNumberFormat="1" applyFont="1" applyFill="1" applyBorder="1" applyAlignment="1">
      <alignment horizontal="left" indent="1"/>
    </xf>
    <xf numFmtId="0" fontId="21" fillId="0" borderId="0" xfId="100" applyFont="1" applyBorder="1" applyAlignment="1"/>
    <xf numFmtId="167" fontId="21" fillId="0" borderId="0" xfId="96" applyNumberFormat="1" applyFont="1" applyFill="1" applyBorder="1" applyAlignment="1">
      <alignment horizontal="right"/>
    </xf>
    <xf numFmtId="167" fontId="21" fillId="0" borderId="0" xfId="100" applyNumberFormat="1" applyFont="1" applyFill="1" applyBorder="1" applyAlignment="1">
      <alignment horizontal="right"/>
    </xf>
    <xf numFmtId="0" fontId="25" fillId="0" borderId="0" xfId="100" applyFont="1" applyFill="1" applyBorder="1" applyAlignment="1">
      <alignment horizontal="center"/>
    </xf>
    <xf numFmtId="1" fontId="21" fillId="0" borderId="0" xfId="100" applyNumberFormat="1" applyFont="1" applyFill="1" applyBorder="1" applyAlignment="1">
      <alignment horizontal="center"/>
    </xf>
    <xf numFmtId="3" fontId="21" fillId="0" borderId="0" xfId="100" applyNumberFormat="1" applyFont="1" applyFill="1" applyBorder="1" applyAlignment="1"/>
    <xf numFmtId="3" fontId="25" fillId="0" borderId="0" xfId="100" applyNumberFormat="1" applyFont="1" applyFill="1" applyBorder="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0" fontId="22" fillId="0" borderId="0" xfId="0" quotePrefix="1" applyFont="1" applyFill="1"/>
    <xf numFmtId="0" fontId="21" fillId="0" borderId="0" xfId="0" quotePrefix="1" applyFont="1" applyFill="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Font="1" applyFill="1" applyBorder="1" applyAlignment="1">
      <alignment horizontal="left"/>
    </xf>
    <xf numFmtId="0" fontId="65" fillId="0" borderId="0" xfId="0" applyFont="1" applyFill="1" applyAlignment="1">
      <alignment horizontal="left" vertical="center" indent="1"/>
    </xf>
    <xf numFmtId="171" fontId="21" fillId="0" borderId="0" xfId="0" applyNumberFormat="1" applyFont="1" applyFill="1"/>
    <xf numFmtId="37" fontId="22" fillId="36" borderId="3" xfId="97" quotePrefix="1" applyNumberFormat="1" applyFont="1" applyFill="1" applyBorder="1" applyAlignment="1">
      <alignment horizontal="center"/>
    </xf>
    <xf numFmtId="0" fontId="21" fillId="36" borderId="3" xfId="0" quotePrefix="1" applyNumberFormat="1" applyFont="1" applyFill="1" applyBorder="1" applyAlignment="1">
      <alignment horizontal="center"/>
    </xf>
    <xf numFmtId="0" fontId="21" fillId="36" borderId="3" xfId="0" applyNumberFormat="1" applyFont="1" applyFill="1" applyBorder="1"/>
    <xf numFmtId="0" fontId="21" fillId="36" borderId="3" xfId="0" applyFont="1" applyFill="1" applyBorder="1" applyAlignment="1">
      <alignment horizontal="center"/>
    </xf>
    <xf numFmtId="164" fontId="21" fillId="36" borderId="0" xfId="100" applyNumberFormat="1" applyFont="1" applyFill="1" applyBorder="1" applyAlignment="1">
      <alignment horizontal="right" vertical="center" wrapText="1"/>
    </xf>
    <xf numFmtId="164" fontId="28" fillId="36" borderId="0" xfId="100" applyNumberFormat="1" applyFont="1" applyFill="1" applyBorder="1" applyAlignment="1">
      <alignment horizontal="right" vertical="center" wrapText="1"/>
    </xf>
    <xf numFmtId="164" fontId="21" fillId="36" borderId="0" xfId="96" applyNumberFormat="1" applyFont="1" applyFill="1"/>
    <xf numFmtId="164" fontId="36" fillId="36" borderId="0" xfId="96" applyNumberFormat="1" applyFont="1" applyFill="1"/>
    <xf numFmtId="164" fontId="36" fillId="36" borderId="0" xfId="100" applyNumberFormat="1" applyFont="1" applyFill="1"/>
    <xf numFmtId="1" fontId="21" fillId="36" borderId="0" xfId="126" applyNumberFormat="1" applyFont="1" applyFill="1"/>
    <xf numFmtId="164" fontId="24" fillId="36" borderId="0" xfId="0" applyNumberFormat="1" applyFont="1" applyFill="1" applyBorder="1" applyAlignment="1">
      <alignment horizontal="right"/>
    </xf>
    <xf numFmtId="206" fontId="24" fillId="0" borderId="0" xfId="0" applyNumberFormat="1" applyFont="1" applyFill="1"/>
    <xf numFmtId="0" fontId="53" fillId="0" borderId="0" xfId="0" applyFont="1"/>
    <xf numFmtId="0" fontId="21" fillId="0" borderId="11" xfId="0" applyNumberFormat="1" applyFont="1" applyFill="1" applyBorder="1" applyAlignment="1">
      <alignment horizontal="center"/>
    </xf>
    <xf numFmtId="0" fontId="21" fillId="0" borderId="4" xfId="0" applyNumberFormat="1" applyFont="1" applyFill="1" applyBorder="1" applyAlignment="1">
      <alignment horizontal="center"/>
    </xf>
    <xf numFmtId="0" fontId="21" fillId="0" borderId="57" xfId="0" applyNumberFormat="1" applyFont="1" applyFill="1" applyBorder="1" applyAlignment="1">
      <alignment horizontal="center"/>
    </xf>
    <xf numFmtId="0" fontId="21" fillId="0" borderId="3" xfId="0" applyNumberFormat="1" applyFont="1" applyFill="1" applyBorder="1" applyAlignment="1">
      <alignment horizontal="center"/>
    </xf>
    <xf numFmtId="0" fontId="21" fillId="0" borderId="3" xfId="0" quotePrefix="1" applyNumberFormat="1" applyFont="1" applyBorder="1" applyAlignment="1">
      <alignment horizontal="center"/>
    </xf>
    <xf numFmtId="164" fontId="21" fillId="36" borderId="0" xfId="0" applyNumberFormat="1" applyFont="1" applyFill="1" applyAlignment="1">
      <alignment horizontal="center"/>
    </xf>
    <xf numFmtId="0" fontId="22" fillId="36" borderId="0" xfId="0" applyFont="1" applyFill="1" applyAlignment="1">
      <alignment horizontal="left"/>
    </xf>
    <xf numFmtId="164" fontId="24" fillId="0" borderId="0" xfId="0" applyNumberFormat="1" applyFont="1" applyFill="1" applyAlignment="1"/>
    <xf numFmtId="164" fontId="24" fillId="0" borderId="0" xfId="0" applyNumberFormat="1" applyFont="1" applyFill="1" applyAlignment="1">
      <alignment horizontal="right" indent="1"/>
    </xf>
    <xf numFmtId="3" fontId="54" fillId="0" borderId="0" xfId="0" applyNumberFormat="1" applyFont="1"/>
    <xf numFmtId="0" fontId="21" fillId="0" borderId="0" xfId="28" applyFont="1" applyFill="1" applyBorder="1" applyAlignment="1">
      <alignment horizontal="left"/>
    </xf>
    <xf numFmtId="164" fontId="21" fillId="0" borderId="0" xfId="23" applyNumberFormat="1" applyFont="1" applyFill="1" applyAlignment="1">
      <alignment horizontal="right"/>
    </xf>
    <xf numFmtId="164" fontId="21" fillId="0" borderId="0" xfId="0" applyNumberFormat="1" applyFont="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3" fillId="0" borderId="0" xfId="0" applyFont="1" applyAlignment="1">
      <alignment horizontal="left" wrapText="1"/>
    </xf>
    <xf numFmtId="49" fontId="73" fillId="0" borderId="0" xfId="0" quotePrefix="1" applyNumberFormat="1" applyFont="1" applyAlignment="1">
      <alignment horizontal="left" indent="1"/>
    </xf>
    <xf numFmtId="0" fontId="73" fillId="0" borderId="0" xfId="0" applyFont="1"/>
    <xf numFmtId="49" fontId="73" fillId="0" borderId="0" xfId="0" applyNumberFormat="1" applyFont="1" applyAlignment="1">
      <alignment horizontal="left" indent="1"/>
    </xf>
    <xf numFmtId="0" fontId="21" fillId="0" borderId="0" xfId="0" applyFont="1" applyBorder="1"/>
    <xf numFmtId="3" fontId="21" fillId="0" borderId="0" xfId="23" applyNumberFormat="1" applyFont="1" applyBorder="1" applyAlignment="1">
      <alignment horizontal="right"/>
    </xf>
    <xf numFmtId="3" fontId="21" fillId="0" borderId="0" xfId="0" applyNumberFormat="1" applyFont="1"/>
    <xf numFmtId="164" fontId="54" fillId="36" borderId="0" xfId="23" applyNumberFormat="1" applyFont="1" applyFill="1" applyAlignment="1">
      <alignment horizontal="right"/>
    </xf>
    <xf numFmtId="49" fontId="56" fillId="0" borderId="0" xfId="0" applyNumberFormat="1" applyFont="1" applyAlignment="1">
      <alignment horizontal="center"/>
    </xf>
    <xf numFmtId="0" fontId="22" fillId="0" borderId="0" xfId="0" applyFont="1" applyAlignment="1">
      <alignment horizontal="center" vertical="top"/>
    </xf>
    <xf numFmtId="3" fontId="21" fillId="36" borderId="0" xfId="0" applyNumberFormat="1" applyFont="1" applyFill="1"/>
    <xf numFmtId="3" fontId="54" fillId="36" borderId="0" xfId="247" applyNumberFormat="1" applyFont="1" applyFill="1"/>
    <xf numFmtId="0" fontId="58" fillId="0" borderId="0" xfId="0" applyFont="1" applyFill="1" applyAlignment="1">
      <alignment horizontal="center"/>
    </xf>
    <xf numFmtId="37" fontId="53" fillId="0" borderId="0" xfId="0" applyNumberFormat="1" applyFont="1" applyFill="1"/>
    <xf numFmtId="0" fontId="21" fillId="0" borderId="3" xfId="0" applyNumberFormat="1" applyFont="1" applyFill="1" applyBorder="1" applyAlignment="1">
      <alignment horizontal="left"/>
    </xf>
    <xf numFmtId="0" fontId="21" fillId="0" borderId="3" xfId="97" applyNumberFormat="1" applyFont="1" applyFill="1" applyBorder="1" applyAlignment="1">
      <alignment horizontal="left"/>
    </xf>
    <xf numFmtId="0" fontId="21" fillId="0" borderId="3" xfId="0" applyNumberFormat="1" applyFont="1" applyFill="1" applyBorder="1"/>
    <xf numFmtId="0" fontId="21" fillId="0" borderId="3" xfId="0" quotePrefix="1" applyNumberFormat="1" applyFont="1" applyFill="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Fill="1" applyBorder="1" applyAlignment="1">
      <alignment horizontal="center"/>
    </xf>
    <xf numFmtId="10" fontId="21" fillId="36" borderId="0" xfId="0" applyNumberFormat="1" applyFont="1" applyFill="1" applyAlignment="1">
      <alignment horizontal="right"/>
    </xf>
    <xf numFmtId="2" fontId="21" fillId="0" borderId="3" xfId="126" applyNumberFormat="1" applyFont="1" applyBorder="1" applyAlignment="1">
      <alignment horizontal="center" wrapText="1"/>
    </xf>
    <xf numFmtId="165" fontId="21" fillId="0" borderId="0" xfId="0" applyNumberFormat="1" applyFont="1"/>
    <xf numFmtId="0" fontId="71" fillId="0" borderId="0" xfId="0" applyFont="1"/>
    <xf numFmtId="164" fontId="21" fillId="0" borderId="0" xfId="100" applyNumberFormat="1" applyFill="1"/>
    <xf numFmtId="0" fontId="21" fillId="36" borderId="0" xfId="35" applyFont="1" applyFill="1" applyBorder="1" applyAlignment="1">
      <alignment horizontal="left" vertical="top" indent="2"/>
    </xf>
    <xf numFmtId="167" fontId="21" fillId="0" borderId="0" xfId="28" applyNumberFormat="1" applyFont="1" applyBorder="1" applyAlignment="1">
      <alignment vertical="center"/>
    </xf>
    <xf numFmtId="0" fontId="22" fillId="0" borderId="0" xfId="0" applyFont="1" applyFill="1" applyAlignment="1">
      <alignment horizontal="center" vertical="center"/>
    </xf>
    <xf numFmtId="171" fontId="21" fillId="0" borderId="0" xfId="39" applyNumberFormat="1" applyFont="1" applyFill="1" applyBorder="1" applyAlignment="1">
      <alignment horizontal="center" vertical="justify" wrapText="1"/>
    </xf>
    <xf numFmtId="171" fontId="21" fillId="0" borderId="8" xfId="39" applyNumberFormat="1" applyFont="1" applyFill="1" applyBorder="1" applyAlignment="1">
      <alignment horizontal="center" wrapText="1"/>
    </xf>
    <xf numFmtId="0" fontId="21" fillId="0" borderId="0" xfId="100" quotePrefix="1" applyFill="1"/>
    <xf numFmtId="0" fontId="21" fillId="0" borderId="0" xfId="100" applyNumberFormat="1" applyFont="1" applyFill="1" applyAlignment="1">
      <alignment horizontal="center"/>
    </xf>
    <xf numFmtId="0" fontId="21" fillId="0" borderId="0" xfId="100" quotePrefix="1" applyFont="1" applyFill="1" applyAlignment="1">
      <alignment horizontal="center"/>
    </xf>
    <xf numFmtId="0" fontId="21" fillId="0" borderId="0" xfId="100" quotePrefix="1" applyFill="1" applyAlignment="1">
      <alignment horizontal="center" wrapText="1"/>
    </xf>
    <xf numFmtId="0" fontId="21" fillId="0" borderId="0" xfId="100" quotePrefix="1" applyFont="1" applyFill="1" applyAlignment="1">
      <alignment horizontal="center" wrapText="1"/>
    </xf>
    <xf numFmtId="10" fontId="21" fillId="0" borderId="0" xfId="37" quotePrefix="1" applyNumberFormat="1" applyFont="1" applyFill="1" applyAlignment="1">
      <alignment horizontal="center" wrapText="1"/>
    </xf>
    <xf numFmtId="0" fontId="21" fillId="0" borderId="0" xfId="100" applyFill="1" applyAlignment="1">
      <alignment horizontal="center" wrapText="1"/>
    </xf>
    <xf numFmtId="164" fontId="21" fillId="0" borderId="0" xfId="100" quotePrefix="1" applyNumberFormat="1" applyFill="1" applyAlignment="1">
      <alignment horizontal="center"/>
    </xf>
    <xf numFmtId="0" fontId="21" fillId="0" borderId="0" xfId="100" applyFill="1" applyAlignment="1">
      <alignment horizontal="center"/>
    </xf>
    <xf numFmtId="10" fontId="0" fillId="0" borderId="0" xfId="37" applyNumberFormat="1" applyFont="1" applyFill="1" applyAlignment="1">
      <alignment horizontal="center"/>
    </xf>
    <xf numFmtId="1" fontId="24" fillId="0" borderId="0" xfId="28" quotePrefix="1" applyNumberFormat="1" applyFont="1" applyFill="1" applyBorder="1" applyAlignment="1">
      <alignment horizontal="right"/>
    </xf>
    <xf numFmtId="0" fontId="21" fillId="0" borderId="0" xfId="0" applyFont="1" applyFill="1" applyAlignment="1">
      <alignment horizontal="center"/>
    </xf>
    <xf numFmtId="0" fontId="21" fillId="0" borderId="0" xfId="100" applyFont="1" applyFill="1" applyBorder="1" applyAlignment="1">
      <alignment horizontal="left"/>
    </xf>
    <xf numFmtId="0" fontId="61" fillId="0" borderId="0" xfId="0" applyFont="1" applyFill="1"/>
    <xf numFmtId="39" fontId="54" fillId="0" borderId="0" xfId="0" applyNumberFormat="1" applyFont="1" applyFill="1" applyAlignment="1">
      <alignment horizontal="left" indent="1"/>
    </xf>
    <xf numFmtId="0" fontId="21" fillId="0" borderId="0" xfId="100" quotePrefix="1" applyFont="1" applyFill="1" applyAlignment="1">
      <alignment horizontal="left" indent="1"/>
    </xf>
    <xf numFmtId="164" fontId="21" fillId="0" borderId="0" xfId="96" applyNumberFormat="1" applyFont="1" applyFill="1" applyBorder="1" applyAlignment="1">
      <alignment horizontal="left" indent="1"/>
    </xf>
    <xf numFmtId="42" fontId="21" fillId="0" borderId="0" xfId="0" quotePrefix="1" applyNumberFormat="1" applyFont="1" applyFill="1" applyAlignment="1">
      <alignment horizontal="center"/>
    </xf>
    <xf numFmtId="164" fontId="0" fillId="0" borderId="0" xfId="0" quotePrefix="1" applyNumberFormat="1" applyFill="1" applyAlignment="1">
      <alignment horizontal="center"/>
    </xf>
    <xf numFmtId="164" fontId="52" fillId="0" borderId="0" xfId="0" applyNumberFormat="1" applyFont="1" applyFill="1" applyAlignment="1">
      <alignment horizontal="center"/>
    </xf>
    <xf numFmtId="164" fontId="57" fillId="0" borderId="0" xfId="0" applyNumberFormat="1" applyFont="1" applyFill="1" applyAlignment="1">
      <alignment horizontal="center"/>
    </xf>
    <xf numFmtId="164" fontId="24" fillId="0" borderId="0" xfId="0" quotePrefix="1" applyNumberFormat="1" applyFont="1" applyFill="1" applyAlignment="1">
      <alignment horizontal="center"/>
    </xf>
    <xf numFmtId="0" fontId="21" fillId="0" borderId="0" xfId="28" quotePrefix="1" applyFont="1" applyFill="1" applyAlignment="1">
      <alignment horizontal="center" vertical="center"/>
    </xf>
    <xf numFmtId="0" fontId="21" fillId="0" borderId="0" xfId="28" quotePrefix="1" applyFont="1" applyFill="1" applyAlignment="1">
      <alignment horizontal="center"/>
    </xf>
    <xf numFmtId="0" fontId="21" fillId="0" borderId="0" xfId="28" applyFont="1" applyFill="1" applyBorder="1" applyAlignment="1">
      <alignment horizontal="center"/>
    </xf>
    <xf numFmtId="0" fontId="21" fillId="0" borderId="0" xfId="28" quotePrefix="1" applyFont="1" applyFill="1" applyBorder="1" applyAlignment="1">
      <alignment horizontal="center"/>
    </xf>
    <xf numFmtId="0" fontId="21" fillId="0" borderId="0" xfId="100" quotePrefix="1" applyFont="1" applyFill="1"/>
    <xf numFmtId="167" fontId="21" fillId="0" borderId="0" xfId="28" quotePrefix="1" applyNumberFormat="1" applyFont="1" applyFill="1" applyBorder="1" applyAlignment="1">
      <alignment horizontal="center"/>
    </xf>
    <xf numFmtId="0" fontId="21" fillId="0" borderId="0" xfId="28" quotePrefix="1" applyFont="1" applyFill="1" applyAlignment="1">
      <alignment vertical="center"/>
    </xf>
    <xf numFmtId="0" fontId="22" fillId="0" borderId="0" xfId="28" applyFont="1" applyFill="1" applyAlignment="1">
      <alignment horizontal="center" vertical="center"/>
    </xf>
    <xf numFmtId="0" fontId="24" fillId="0" borderId="0" xfId="28" applyFont="1" applyFill="1" applyAlignment="1">
      <alignment vertical="center"/>
    </xf>
    <xf numFmtId="0" fontId="22" fillId="0" borderId="0" xfId="28" applyFont="1" applyFill="1" applyAlignment="1">
      <alignment horizontal="right" vertical="center"/>
    </xf>
    <xf numFmtId="0" fontId="21" fillId="0" borderId="0" xfId="126" applyFont="1" applyAlignment="1">
      <alignment vertical="center" wrapText="1"/>
    </xf>
    <xf numFmtId="0" fontId="21" fillId="0" borderId="0" xfId="126" applyFont="1" applyFill="1" applyAlignment="1">
      <alignment horizontal="center" vertical="center" wrapText="1"/>
    </xf>
    <xf numFmtId="0" fontId="21" fillId="0" borderId="0" xfId="126" applyFont="1" applyFill="1" applyAlignment="1">
      <alignment vertical="center" wrapText="1"/>
    </xf>
    <xf numFmtId="0" fontId="21" fillId="0" borderId="0" xfId="126" applyFont="1" applyFill="1" applyAlignment="1"/>
    <xf numFmtId="173" fontId="21" fillId="0" borderId="0" xfId="126" applyNumberFormat="1" applyFont="1" applyAlignment="1">
      <alignment horizontal="center"/>
    </xf>
    <xf numFmtId="10" fontId="21" fillId="0" borderId="0" xfId="126" applyNumberFormat="1" applyFont="1" applyBorder="1"/>
    <xf numFmtId="166" fontId="21" fillId="0" borderId="17" xfId="126" applyNumberFormat="1" applyFont="1" applyBorder="1" applyAlignment="1">
      <alignment horizontal="center"/>
    </xf>
    <xf numFmtId="0" fontId="21" fillId="0" borderId="18" xfId="0" applyFont="1" applyBorder="1" applyAlignment="1">
      <alignment horizontal="center"/>
    </xf>
    <xf numFmtId="166" fontId="21" fillId="0" borderId="0" xfId="126" applyNumberFormat="1" applyFont="1" applyAlignment="1">
      <alignment horizontal="center"/>
    </xf>
    <xf numFmtId="166" fontId="21" fillId="0" borderId="0" xfId="126" applyNumberFormat="1" applyFont="1"/>
    <xf numFmtId="3" fontId="21" fillId="0" borderId="0" xfId="131" applyNumberFormat="1" applyFont="1" applyFill="1" applyBorder="1"/>
    <xf numFmtId="3" fontId="21" fillId="0" borderId="0" xfId="132" applyNumberFormat="1" applyFont="1" applyFill="1"/>
    <xf numFmtId="0" fontId="21" fillId="0" borderId="0" xfId="126" applyFont="1" applyFill="1" applyBorder="1"/>
    <xf numFmtId="166" fontId="21" fillId="0" borderId="0" xfId="126" applyNumberFormat="1" applyFont="1" applyFill="1"/>
    <xf numFmtId="3" fontId="21" fillId="0" borderId="0" xfId="130" applyNumberFormat="1" applyFont="1" applyFill="1" applyBorder="1" applyAlignment="1">
      <alignment horizontal="center"/>
    </xf>
    <xf numFmtId="0" fontId="21" fillId="0" borderId="0" xfId="126" applyFont="1" applyFill="1" applyBorder="1" applyAlignment="1">
      <alignment horizontal="center"/>
    </xf>
    <xf numFmtId="3" fontId="21" fillId="0" borderId="0" xfId="0" applyNumberFormat="1" applyFont="1" applyFill="1" applyAlignment="1">
      <alignment horizontal="right"/>
    </xf>
    <xf numFmtId="166" fontId="21" fillId="0" borderId="0" xfId="0" applyNumberFormat="1" applyFont="1" applyFill="1" applyAlignment="1">
      <alignment horizontal="right"/>
    </xf>
    <xf numFmtId="173" fontId="21" fillId="0" borderId="0" xfId="126" quotePrefix="1" applyNumberFormat="1" applyFont="1" applyFill="1" applyAlignment="1">
      <alignment horizontal="center"/>
    </xf>
    <xf numFmtId="164" fontId="21" fillId="0" borderId="0" xfId="126" quotePrefix="1" applyNumberFormat="1" applyFont="1" applyFill="1" applyAlignment="1">
      <alignment horizontal="center"/>
    </xf>
    <xf numFmtId="164" fontId="21" fillId="0" borderId="0" xfId="126" applyNumberFormat="1" applyFont="1" applyAlignment="1">
      <alignment horizontal="right"/>
    </xf>
    <xf numFmtId="166" fontId="21" fillId="0" borderId="17" xfId="126" quotePrefix="1" applyNumberFormat="1" applyFont="1" applyFill="1" applyBorder="1" applyAlignment="1">
      <alignment horizontal="center"/>
    </xf>
    <xf numFmtId="166" fontId="21" fillId="0" borderId="18" xfId="126" applyNumberFormat="1" applyFont="1" applyFill="1" applyBorder="1" applyAlignment="1">
      <alignment horizontal="center"/>
    </xf>
    <xf numFmtId="173" fontId="21" fillId="0" borderId="0" xfId="126" applyNumberFormat="1" applyFont="1" applyFill="1" applyAlignment="1">
      <alignment horizontal="center"/>
    </xf>
    <xf numFmtId="164" fontId="21" fillId="0" borderId="0" xfId="126" applyNumberFormat="1" applyFont="1" applyBorder="1"/>
    <xf numFmtId="179" fontId="22" fillId="0" borderId="0" xfId="35" applyNumberFormat="1" applyFont="1" applyFill="1" applyAlignment="1">
      <alignment horizontal="left"/>
    </xf>
    <xf numFmtId="0" fontId="21" fillId="0" borderId="7" xfId="126" applyFont="1" applyFill="1" applyBorder="1"/>
    <xf numFmtId="0" fontId="21" fillId="0" borderId="7" xfId="126" applyFont="1" applyBorder="1"/>
    <xf numFmtId="0" fontId="21" fillId="0" borderId="7" xfId="126" applyFont="1" applyBorder="1" applyAlignment="1">
      <alignment horizontal="center"/>
    </xf>
    <xf numFmtId="174" fontId="21" fillId="36" borderId="0" xfId="0" applyNumberFormat="1" applyFont="1" applyFill="1" applyAlignment="1">
      <alignment horizontal="center"/>
    </xf>
    <xf numFmtId="0" fontId="53" fillId="0" borderId="10" xfId="126" applyFont="1" applyFill="1" applyBorder="1" applyAlignment="1">
      <alignment horizontal="center"/>
    </xf>
    <xf numFmtId="9" fontId="0" fillId="0" borderId="0" xfId="0" applyNumberFormat="1" applyFill="1" applyAlignment="1">
      <alignment horizontal="left"/>
    </xf>
    <xf numFmtId="0" fontId="21" fillId="0" borderId="4" xfId="126" applyFont="1" applyFill="1" applyBorder="1" applyAlignment="1">
      <alignment wrapText="1"/>
    </xf>
    <xf numFmtId="0" fontId="21" fillId="0" borderId="0" xfId="126" quotePrefix="1" applyFont="1" applyFill="1" applyAlignment="1">
      <alignment horizontal="center" vertical="center" wrapText="1"/>
    </xf>
    <xf numFmtId="0" fontId="21" fillId="0" borderId="0" xfId="126" quotePrefix="1" applyFont="1" applyFill="1" applyAlignment="1">
      <alignment horizontal="center" wrapText="1"/>
    </xf>
    <xf numFmtId="0" fontId="21" fillId="0" borderId="0" xfId="126" quotePrefix="1" applyFont="1" applyFill="1" applyAlignment="1">
      <alignment horizontal="center" vertical="top" wrapText="1"/>
    </xf>
    <xf numFmtId="0" fontId="21" fillId="0" borderId="0" xfId="126" applyFont="1" applyFill="1" applyAlignment="1">
      <alignment wrapText="1"/>
    </xf>
    <xf numFmtId="3" fontId="21" fillId="0" borderId="3" xfId="126" applyNumberFormat="1" applyFont="1" applyFill="1" applyBorder="1"/>
    <xf numFmtId="10" fontId="21" fillId="0" borderId="3" xfId="126" applyNumberFormat="1" applyFont="1" applyFill="1" applyBorder="1"/>
    <xf numFmtId="10" fontId="54" fillId="0" borderId="3" xfId="134" applyNumberFormat="1" applyFont="1" applyFill="1" applyBorder="1"/>
    <xf numFmtId="164" fontId="21" fillId="0" borderId="3" xfId="126" applyNumberFormat="1" applyFont="1" applyFill="1" applyBorder="1"/>
    <xf numFmtId="0" fontId="21" fillId="0" borderId="0" xfId="126" quotePrefix="1" applyFont="1" applyFill="1" applyAlignment="1">
      <alignment horizontal="center"/>
    </xf>
    <xf numFmtId="0" fontId="64" fillId="0" borderId="0" xfId="126" quotePrefix="1" applyFont="1" applyFill="1" applyAlignment="1">
      <alignment horizontal="center" vertical="center" wrapText="1"/>
    </xf>
    <xf numFmtId="0" fontId="21" fillId="0" borderId="6" xfId="126" quotePrefix="1" applyFont="1" applyFill="1" applyBorder="1" applyAlignment="1">
      <alignment horizontal="center" wrapText="1"/>
    </xf>
    <xf numFmtId="0" fontId="21" fillId="0" borderId="5" xfId="126" quotePrefix="1" applyFont="1" applyFill="1" applyBorder="1" applyAlignment="1">
      <alignment horizontal="center" wrapText="1"/>
    </xf>
    <xf numFmtId="0" fontId="21" fillId="0" borderId="0" xfId="126" applyFont="1" applyFill="1" applyAlignment="1">
      <alignment horizontal="left" indent="1"/>
    </xf>
    <xf numFmtId="0" fontId="163" fillId="0" borderId="0" xfId="0" applyFont="1" applyAlignment="1">
      <alignment horizontal="center"/>
    </xf>
    <xf numFmtId="164" fontId="21" fillId="36" borderId="0" xfId="125" applyNumberFormat="1" applyFont="1" applyFill="1"/>
    <xf numFmtId="0" fontId="22" fillId="0" borderId="9" xfId="126" applyFont="1" applyFill="1" applyBorder="1"/>
    <xf numFmtId="0" fontId="21" fillId="0" borderId="4" xfId="126" applyFont="1" applyBorder="1"/>
    <xf numFmtId="2" fontId="23" fillId="34" borderId="0" xfId="35" applyNumberFormat="1" applyFont="1" applyFill="1" applyAlignment="1">
      <alignment horizontal="left"/>
    </xf>
    <xf numFmtId="179" fontId="23" fillId="34" borderId="0" xfId="35" quotePrefix="1" applyNumberFormat="1" applyFont="1" applyFill="1" applyAlignment="1">
      <alignment horizontal="left"/>
    </xf>
    <xf numFmtId="164" fontId="59" fillId="36" borderId="0" xfId="0" applyNumberFormat="1" applyFont="1" applyFill="1" applyBorder="1"/>
    <xf numFmtId="0" fontId="54" fillId="36" borderId="0" xfId="0" applyFont="1" applyFill="1" applyBorder="1"/>
    <xf numFmtId="0" fontId="0" fillId="36" borderId="0" xfId="0" applyFill="1" applyBorder="1"/>
    <xf numFmtId="164" fontId="54" fillId="34" borderId="0" xfId="0" applyNumberFormat="1" applyFont="1" applyFill="1" applyBorder="1"/>
    <xf numFmtId="0" fontId="26" fillId="0" borderId="0" xfId="0" applyFont="1"/>
    <xf numFmtId="0" fontId="27" fillId="0" borderId="0" xfId="0" applyFont="1"/>
    <xf numFmtId="164" fontId="21" fillId="0" borderId="14" xfId="0" applyNumberFormat="1" applyFont="1" applyBorder="1"/>
    <xf numFmtId="164" fontId="21" fillId="0" borderId="8" xfId="0" applyNumberFormat="1" applyFont="1" applyBorder="1"/>
    <xf numFmtId="208" fontId="0" fillId="36" borderId="0" xfId="0" applyNumberFormat="1" applyFill="1" applyAlignment="1">
      <alignment horizontal="center"/>
    </xf>
    <xf numFmtId="0" fontId="21" fillId="36" borderId="0" xfId="125" quotePrefix="1" applyFill="1"/>
    <xf numFmtId="208" fontId="21" fillId="36" borderId="0" xfId="0" quotePrefix="1" applyNumberFormat="1" applyFont="1" applyFill="1" applyAlignment="1">
      <alignment horizontal="center"/>
    </xf>
    <xf numFmtId="0" fontId="163" fillId="0" borderId="0" xfId="0" applyFont="1" applyAlignment="1">
      <alignment horizontal="left"/>
    </xf>
    <xf numFmtId="0" fontId="71" fillId="0" borderId="0" xfId="0" applyFont="1" applyAlignment="1">
      <alignment horizontal="left" indent="2"/>
    </xf>
    <xf numFmtId="0" fontId="71" fillId="0" borderId="0" xfId="0" applyFont="1" applyFill="1"/>
    <xf numFmtId="0" fontId="165" fillId="0" borderId="0" xfId="0" applyFont="1"/>
    <xf numFmtId="0" fontId="71" fillId="0" borderId="0" xfId="0" applyFont="1" applyAlignment="1">
      <alignment horizontal="left" indent="1"/>
    </xf>
    <xf numFmtId="0" fontId="0" fillId="0" borderId="0" xfId="0" applyAlignment="1"/>
    <xf numFmtId="0" fontId="26" fillId="37" borderId="0" xfId="0" applyFont="1" applyFill="1"/>
    <xf numFmtId="0" fontId="71" fillId="36" borderId="0" xfId="0" applyFont="1" applyFill="1"/>
    <xf numFmtId="0" fontId="165" fillId="0" borderId="0" xfId="0" applyFont="1" applyAlignment="1">
      <alignment horizontal="right"/>
    </xf>
    <xf numFmtId="0" fontId="166" fillId="36" borderId="0" xfId="0" applyFont="1" applyFill="1"/>
    <xf numFmtId="0" fontId="51" fillId="36" borderId="0" xfId="28" applyFont="1" applyFill="1" applyAlignment="1">
      <alignment horizontal="center"/>
    </xf>
    <xf numFmtId="0" fontId="165" fillId="0" borderId="0" xfId="0" applyFont="1" applyFill="1" applyAlignment="1">
      <alignment horizontal="right"/>
    </xf>
    <xf numFmtId="0" fontId="65" fillId="0" borderId="0" xfId="0" applyFont="1"/>
    <xf numFmtId="10" fontId="24" fillId="0" borderId="0" xfId="0" applyNumberFormat="1" applyFont="1" applyFill="1"/>
    <xf numFmtId="10" fontId="54" fillId="0" borderId="0" xfId="0" applyNumberFormat="1" applyFont="1" applyFill="1" applyBorder="1"/>
    <xf numFmtId="0" fontId="167" fillId="0" borderId="0" xfId="0" applyFont="1"/>
    <xf numFmtId="0" fontId="22" fillId="0" borderId="0" xfId="100" applyFont="1" applyFill="1" applyAlignment="1">
      <alignment horizontal="left" indent="1"/>
    </xf>
    <xf numFmtId="164" fontId="21" fillId="0" borderId="0" xfId="100" applyNumberFormat="1" applyFont="1" applyFill="1" applyBorder="1" applyAlignment="1">
      <alignment horizontal="right"/>
    </xf>
    <xf numFmtId="0" fontId="0" fillId="0" borderId="0" xfId="0" applyFill="1" applyAlignment="1">
      <alignment horizontal="left" vertical="center" indent="1"/>
    </xf>
    <xf numFmtId="3" fontId="61" fillId="0" borderId="0" xfId="0" applyNumberFormat="1" applyFont="1"/>
    <xf numFmtId="0" fontId="168" fillId="0" borderId="0" xfId="0" applyFont="1" applyAlignment="1">
      <alignment horizontal="center"/>
    </xf>
    <xf numFmtId="0" fontId="169" fillId="0" borderId="0" xfId="0" quotePrefix="1" applyFont="1" applyAlignment="1">
      <alignment horizontal="center"/>
    </xf>
    <xf numFmtId="0" fontId="22" fillId="0" borderId="0" xfId="34" applyFont="1" applyAlignment="1">
      <alignment horizontal="right"/>
    </xf>
    <xf numFmtId="0" fontId="22" fillId="0" borderId="0" xfId="0" applyFont="1" applyAlignment="1">
      <alignment horizontal="right" indent="1"/>
    </xf>
    <xf numFmtId="0" fontId="22" fillId="0" borderId="0" xfId="0" applyFont="1" applyFill="1" applyAlignment="1">
      <alignment horizontal="right"/>
    </xf>
    <xf numFmtId="170" fontId="21" fillId="36" borderId="0" xfId="100" quotePrefix="1" applyNumberFormat="1" applyFont="1" applyFill="1" applyAlignment="1">
      <alignment horizontal="center"/>
    </xf>
    <xf numFmtId="172" fontId="54" fillId="34" borderId="0" xfId="0" applyNumberFormat="1" applyFont="1" applyFill="1"/>
    <xf numFmtId="3" fontId="21" fillId="36" borderId="62" xfId="19" applyNumberFormat="1" applyFont="1" applyFill="1" applyBorder="1" applyAlignment="1">
      <alignment horizontal="center"/>
    </xf>
    <xf numFmtId="3" fontId="21" fillId="36" borderId="11" xfId="19" applyNumberFormat="1" applyFont="1" applyFill="1" applyBorder="1" applyAlignment="1">
      <alignment horizontal="center"/>
    </xf>
    <xf numFmtId="0" fontId="21" fillId="0" borderId="4" xfId="0" applyNumberFormat="1" applyFont="1" applyFill="1" applyBorder="1"/>
    <xf numFmtId="167" fontId="55" fillId="0" borderId="0" xfId="19" quotePrefix="1" applyNumberFormat="1" applyFont="1"/>
    <xf numFmtId="167" fontId="55" fillId="0" borderId="0" xfId="19" applyNumberFormat="1" applyFont="1" applyBorder="1" applyAlignment="1">
      <alignment horizontal="center"/>
    </xf>
    <xf numFmtId="167" fontId="52" fillId="0" borderId="0" xfId="19" applyNumberFormat="1" applyFont="1" applyBorder="1" applyAlignment="1"/>
    <xf numFmtId="167" fontId="54" fillId="0" borderId="0" xfId="19" applyNumberFormat="1" applyFont="1"/>
    <xf numFmtId="167" fontId="55" fillId="0" borderId="0" xfId="19" quotePrefix="1" applyNumberFormat="1" applyFont="1" applyAlignment="1">
      <alignment horizontal="right"/>
    </xf>
    <xf numFmtId="181" fontId="55" fillId="36" borderId="0" xfId="19" quotePrefix="1" applyNumberFormat="1" applyFont="1" applyFill="1" applyAlignment="1">
      <alignment horizontal="center"/>
    </xf>
    <xf numFmtId="167" fontId="54" fillId="0" borderId="0" xfId="19" applyNumberFormat="1" applyFont="1" applyAlignment="1">
      <alignment horizontal="center"/>
    </xf>
    <xf numFmtId="167" fontId="55" fillId="0" borderId="0" xfId="19" quotePrefix="1" applyNumberFormat="1" applyFont="1" applyAlignment="1">
      <alignment horizontal="center"/>
    </xf>
    <xf numFmtId="167" fontId="0" fillId="0" borderId="0" xfId="19" applyNumberFormat="1" applyFont="1" applyAlignment="1">
      <alignment horizontal="center"/>
    </xf>
    <xf numFmtId="167" fontId="61" fillId="0" borderId="0" xfId="19" applyNumberFormat="1" applyFont="1" applyAlignment="1">
      <alignment horizontal="center"/>
    </xf>
    <xf numFmtId="167" fontId="55" fillId="0" borderId="63" xfId="19" applyNumberFormat="1" applyFont="1" applyBorder="1" applyAlignment="1">
      <alignment horizontal="center" vertical="center"/>
    </xf>
    <xf numFmtId="167" fontId="55" fillId="0" borderId="63" xfId="19" quotePrefix="1" applyNumberFormat="1" applyFont="1" applyBorder="1" applyAlignment="1">
      <alignment horizontal="center" vertical="center"/>
    </xf>
    <xf numFmtId="167" fontId="171" fillId="0" borderId="0" xfId="19" applyNumberFormat="1" applyFont="1" applyAlignment="1">
      <alignment horizontal="center"/>
    </xf>
    <xf numFmtId="167" fontId="55" fillId="0" borderId="0" xfId="19" applyNumberFormat="1" applyFont="1" applyFill="1" applyBorder="1" applyAlignment="1">
      <alignment horizontal="center" wrapText="1"/>
    </xf>
    <xf numFmtId="167" fontId="55" fillId="0" borderId="63" xfId="19" applyNumberFormat="1" applyFont="1" applyBorder="1" applyAlignment="1">
      <alignment horizontal="center" vertical="center" wrapText="1"/>
    </xf>
    <xf numFmtId="167" fontId="60" fillId="0" borderId="63" xfId="19" applyNumberFormat="1" applyFont="1" applyBorder="1" applyAlignment="1">
      <alignment horizontal="center" vertical="center" wrapText="1"/>
    </xf>
    <xf numFmtId="167" fontId="52" fillId="0" borderId="18" xfId="19" applyNumberFormat="1" applyFont="1" applyBorder="1" applyAlignment="1">
      <alignment horizontal="center" vertical="center" wrapText="1"/>
    </xf>
    <xf numFmtId="167" fontId="52" fillId="0" borderId="63" xfId="19" applyNumberFormat="1" applyFont="1" applyBorder="1" applyAlignment="1">
      <alignment horizontal="center" vertical="center" wrapText="1"/>
    </xf>
    <xf numFmtId="167" fontId="0" fillId="0" borderId="0" xfId="19" applyNumberFormat="1" applyFont="1" applyFill="1" applyBorder="1" applyAlignment="1">
      <alignment horizontal="center" vertical="center" wrapText="1"/>
    </xf>
    <xf numFmtId="0" fontId="55" fillId="0" borderId="0" xfId="19" applyNumberFormat="1" applyFont="1" applyAlignment="1">
      <alignment horizontal="center"/>
    </xf>
    <xf numFmtId="167" fontId="56" fillId="0" borderId="0" xfId="19" applyNumberFormat="1" applyFont="1"/>
    <xf numFmtId="167" fontId="172" fillId="0" borderId="0" xfId="19" applyNumberFormat="1" applyFont="1"/>
    <xf numFmtId="167" fontId="54" fillId="0" borderId="0" xfId="19" applyNumberFormat="1" applyFont="1" applyFill="1"/>
    <xf numFmtId="0" fontId="54" fillId="0" borderId="0" xfId="19" applyNumberFormat="1" applyFont="1" applyFill="1" applyAlignment="1">
      <alignment horizontal="center"/>
    </xf>
    <xf numFmtId="167" fontId="54" fillId="36" borderId="0" xfId="19" applyNumberFormat="1" applyFont="1" applyFill="1"/>
    <xf numFmtId="167" fontId="54" fillId="36" borderId="0" xfId="19" quotePrefix="1" applyNumberFormat="1" applyFont="1" applyFill="1" applyAlignment="1">
      <alignment vertical="center"/>
    </xf>
    <xf numFmtId="0" fontId="54" fillId="36" borderId="0" xfId="19" applyNumberFormat="1" applyFont="1" applyFill="1"/>
    <xf numFmtId="0" fontId="55" fillId="0" borderId="0" xfId="19" quotePrefix="1" applyNumberFormat="1" applyFont="1" applyAlignment="1">
      <alignment horizontal="center"/>
    </xf>
    <xf numFmtId="167" fontId="54" fillId="0" borderId="0" xfId="19" applyNumberFormat="1" applyFont="1" applyFill="1" applyAlignment="1">
      <alignment horizontal="right"/>
    </xf>
    <xf numFmtId="0" fontId="54" fillId="0" borderId="0" xfId="19" applyNumberFormat="1" applyFont="1" applyFill="1"/>
    <xf numFmtId="167" fontId="172" fillId="0" borderId="0" xfId="19" applyNumberFormat="1" applyFont="1" applyFill="1"/>
    <xf numFmtId="0" fontId="172" fillId="0" borderId="0" xfId="19" applyNumberFormat="1" applyFont="1" applyFill="1"/>
    <xf numFmtId="41" fontId="54" fillId="0" borderId="0" xfId="0" applyNumberFormat="1" applyFont="1"/>
    <xf numFmtId="167" fontId="173" fillId="0" borderId="0" xfId="19" applyNumberFormat="1" applyFont="1" applyFill="1"/>
    <xf numFmtId="41" fontId="54" fillId="36" borderId="9" xfId="0" applyNumberFormat="1" applyFont="1" applyFill="1" applyBorder="1"/>
    <xf numFmtId="167" fontId="55" fillId="0" borderId="0" xfId="19" applyNumberFormat="1" applyFont="1" applyFill="1"/>
    <xf numFmtId="0" fontId="55" fillId="0" borderId="0" xfId="19" applyNumberFormat="1" applyFont="1" applyFill="1"/>
    <xf numFmtId="167" fontId="53" fillId="0" borderId="0" xfId="19" applyNumberFormat="1" applyFont="1" applyFill="1"/>
    <xf numFmtId="0" fontId="53" fillId="0" borderId="0" xfId="19" applyNumberFormat="1" applyFont="1" applyFill="1"/>
    <xf numFmtId="167" fontId="55" fillId="0" borderId="0" xfId="19" applyNumberFormat="1" applyFont="1"/>
    <xf numFmtId="41" fontId="54" fillId="0" borderId="0" xfId="53892" applyFont="1"/>
    <xf numFmtId="167" fontId="53" fillId="0" borderId="0" xfId="19" applyNumberFormat="1" applyFont="1"/>
    <xf numFmtId="167" fontId="54" fillId="0" borderId="0" xfId="19" applyNumberFormat="1" applyFont="1" applyBorder="1"/>
    <xf numFmtId="167" fontId="25" fillId="0" borderId="0" xfId="19" applyNumberFormat="1" applyFont="1"/>
    <xf numFmtId="167" fontId="174" fillId="0" borderId="0" xfId="19" applyNumberFormat="1" applyFont="1"/>
    <xf numFmtId="167" fontId="21" fillId="0" borderId="0" xfId="19" applyNumberFormat="1" applyFont="1" applyAlignment="1">
      <alignment horizontal="left" indent="1"/>
    </xf>
    <xf numFmtId="167" fontId="54" fillId="0" borderId="0" xfId="19" applyNumberFormat="1" applyFont="1" applyAlignment="1">
      <alignment horizontal="left" indent="1"/>
    </xf>
    <xf numFmtId="167" fontId="54" fillId="0" borderId="0" xfId="19" applyNumberFormat="1" applyFont="1" applyAlignment="1">
      <alignment horizontal="right"/>
    </xf>
    <xf numFmtId="167" fontId="54" fillId="36" borderId="0" xfId="19" quotePrefix="1" applyNumberFormat="1" applyFont="1" applyFill="1" applyAlignment="1">
      <alignment horizontal="right"/>
    </xf>
    <xf numFmtId="181" fontId="54" fillId="36" borderId="0" xfId="19" applyNumberFormat="1" applyFont="1" applyFill="1" applyAlignment="1">
      <alignment horizontal="right"/>
    </xf>
    <xf numFmtId="167" fontId="55" fillId="0" borderId="0" xfId="19" quotePrefix="1" applyNumberFormat="1" applyFont="1" applyBorder="1" applyAlignment="1">
      <alignment horizontal="center"/>
    </xf>
    <xf numFmtId="167" fontId="55" fillId="36" borderId="0" xfId="19" quotePrefix="1" applyNumberFormat="1" applyFont="1" applyFill="1" applyAlignment="1">
      <alignment horizontal="center"/>
    </xf>
    <xf numFmtId="167" fontId="55" fillId="0" borderId="0" xfId="19" applyNumberFormat="1" applyFont="1" applyAlignment="1">
      <alignment horizontal="right"/>
    </xf>
    <xf numFmtId="10" fontId="54" fillId="36" borderId="0" xfId="19" applyNumberFormat="1" applyFont="1" applyFill="1" applyAlignment="1">
      <alignment horizontal="center"/>
    </xf>
    <xf numFmtId="167" fontId="55" fillId="0" borderId="68" xfId="19" applyNumberFormat="1" applyFont="1" applyBorder="1" applyAlignment="1">
      <alignment horizontal="center"/>
    </xf>
    <xf numFmtId="167" fontId="55" fillId="0" borderId="41" xfId="19" applyNumberFormat="1" applyFont="1" applyBorder="1" applyAlignment="1">
      <alignment horizontal="center"/>
    </xf>
    <xf numFmtId="167" fontId="55" fillId="0" borderId="63" xfId="19" quotePrefix="1" applyNumberFormat="1" applyFont="1" applyBorder="1" applyAlignment="1">
      <alignment horizontal="center"/>
    </xf>
    <xf numFmtId="167" fontId="55" fillId="0" borderId="41" xfId="19" quotePrefix="1" applyNumberFormat="1" applyFont="1" applyBorder="1" applyAlignment="1">
      <alignment horizontal="center"/>
    </xf>
    <xf numFmtId="167" fontId="55" fillId="0" borderId="63" xfId="19" applyNumberFormat="1" applyFont="1" applyFill="1" applyBorder="1" applyAlignment="1">
      <alignment horizontal="center" wrapText="1"/>
    </xf>
    <xf numFmtId="167" fontId="22" fillId="0" borderId="63" xfId="19" applyNumberFormat="1" applyFont="1" applyFill="1" applyBorder="1" applyAlignment="1">
      <alignment horizontal="center" vertical="center" wrapText="1"/>
    </xf>
    <xf numFmtId="167" fontId="55" fillId="0" borderId="63" xfId="19" applyNumberFormat="1" applyFont="1" applyFill="1" applyBorder="1" applyAlignment="1">
      <alignment horizontal="center" vertical="center" wrapText="1"/>
    </xf>
    <xf numFmtId="41" fontId="54" fillId="36" borderId="0" xfId="53892" applyFont="1" applyFill="1"/>
    <xf numFmtId="167" fontId="56" fillId="0" borderId="0" xfId="19" applyNumberFormat="1" applyFont="1" applyFill="1"/>
    <xf numFmtId="167" fontId="54" fillId="0" borderId="0" xfId="19" applyNumberFormat="1" applyFont="1" applyFill="1" applyAlignment="1">
      <alignment horizontal="left" indent="1"/>
    </xf>
    <xf numFmtId="167" fontId="22" fillId="0" borderId="0" xfId="19" quotePrefix="1" applyNumberFormat="1" applyFont="1"/>
    <xf numFmtId="0" fontId="55" fillId="0" borderId="0" xfId="0" applyFont="1" applyAlignment="1">
      <alignment horizontal="right"/>
    </xf>
    <xf numFmtId="5" fontId="54" fillId="0" borderId="0" xfId="19" applyNumberFormat="1" applyFont="1" applyFill="1"/>
    <xf numFmtId="5" fontId="54" fillId="0" borderId="64" xfId="19" applyNumberFormat="1" applyFont="1" applyFill="1" applyBorder="1"/>
    <xf numFmtId="5" fontId="54" fillId="0" borderId="9" xfId="53892" applyNumberFormat="1" applyFont="1" applyFill="1" applyBorder="1"/>
    <xf numFmtId="5" fontId="54" fillId="0" borderId="9" xfId="19" applyNumberFormat="1" applyFont="1" applyFill="1" applyBorder="1"/>
    <xf numFmtId="5" fontId="54" fillId="0" borderId="16" xfId="0" applyNumberFormat="1" applyFont="1" applyBorder="1"/>
    <xf numFmtId="5" fontId="54" fillId="0" borderId="0" xfId="19" applyNumberFormat="1" applyFont="1"/>
    <xf numFmtId="5" fontId="54" fillId="0" borderId="16" xfId="53892" applyNumberFormat="1" applyFont="1" applyBorder="1"/>
    <xf numFmtId="5" fontId="54" fillId="0" borderId="16" xfId="53892" applyNumberFormat="1" applyFont="1" applyFill="1" applyBorder="1"/>
    <xf numFmtId="5" fontId="54" fillId="0" borderId="16" xfId="19" applyNumberFormat="1" applyFont="1" applyBorder="1"/>
    <xf numFmtId="5" fontId="54" fillId="0" borderId="64" xfId="19" applyNumberFormat="1" applyFont="1" applyBorder="1"/>
    <xf numFmtId="164" fontId="54" fillId="0" borderId="9" xfId="19" applyNumberFormat="1" applyFont="1" applyFill="1" applyBorder="1"/>
    <xf numFmtId="164" fontId="54" fillId="0" borderId="9" xfId="0" applyNumberFormat="1" applyFont="1" applyBorder="1"/>
    <xf numFmtId="0" fontId="21" fillId="0" borderId="3" xfId="126" applyFont="1" applyFill="1" applyBorder="1" applyAlignment="1">
      <alignment horizontal="center" wrapText="1"/>
    </xf>
    <xf numFmtId="0" fontId="21" fillId="0" borderId="3" xfId="126" applyFont="1" applyFill="1" applyBorder="1" applyAlignment="1">
      <alignment wrapText="1"/>
    </xf>
    <xf numFmtId="0" fontId="21" fillId="0" borderId="3" xfId="0" applyFont="1" applyBorder="1" applyAlignment="1">
      <alignment horizontal="left" vertical="center" wrapText="1"/>
    </xf>
    <xf numFmtId="0" fontId="21" fillId="0" borderId="3" xfId="0" applyFont="1" applyBorder="1" applyAlignment="1">
      <alignment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21" fillId="36" borderId="3" xfId="0" applyFont="1" applyFill="1" applyBorder="1" applyAlignment="1">
      <alignment horizontal="center" vertical="center" wrapText="1"/>
    </xf>
    <xf numFmtId="0" fontId="21" fillId="0" borderId="4" xfId="0" applyFont="1" applyBorder="1" applyAlignment="1">
      <alignment vertical="center" wrapText="1"/>
    </xf>
    <xf numFmtId="0" fontId="21" fillId="0" borderId="5" xfId="0" applyFont="1" applyBorder="1" applyAlignment="1">
      <alignment horizontal="left" vertical="center" wrapText="1"/>
    </xf>
    <xf numFmtId="0" fontId="21" fillId="0" borderId="3" xfId="0" quotePrefix="1" applyFont="1" applyFill="1" applyBorder="1" applyAlignment="1">
      <alignment horizontal="center"/>
    </xf>
    <xf numFmtId="0" fontId="21" fillId="0" borderId="3" xfId="0" applyFont="1" applyFill="1" applyBorder="1" applyAlignment="1">
      <alignment horizontal="left" vertical="center" wrapText="1"/>
    </xf>
    <xf numFmtId="0" fontId="21" fillId="0" borderId="3" xfId="0" applyFont="1" applyFill="1" applyBorder="1" applyAlignment="1">
      <alignment vertical="center" wrapText="1"/>
    </xf>
    <xf numFmtId="0" fontId="21" fillId="0" borderId="3" xfId="0" quotePrefix="1" applyFont="1" applyFill="1" applyBorder="1" applyAlignment="1">
      <alignment horizontal="left" vertical="center" wrapText="1"/>
    </xf>
    <xf numFmtId="0" fontId="21" fillId="0" borderId="3" xfId="0" quotePrefix="1" applyFont="1" applyBorder="1" applyAlignment="1">
      <alignment horizontal="center"/>
    </xf>
    <xf numFmtId="0" fontId="25" fillId="0" borderId="0" xfId="0" applyFont="1" applyAlignment="1">
      <alignment horizontal="center" vertical="center" wrapText="1"/>
    </xf>
    <xf numFmtId="0" fontId="22" fillId="0" borderId="0" xfId="0" applyFont="1" applyAlignment="1">
      <alignment horizontal="center" vertical="center" wrapText="1"/>
    </xf>
    <xf numFmtId="0" fontId="22" fillId="0" borderId="0" xfId="28" applyFont="1" applyFill="1" applyAlignment="1">
      <alignment horizontal="left"/>
    </xf>
    <xf numFmtId="0" fontId="0" fillId="0" borderId="0" xfId="0" quotePrefix="1" applyFont="1" applyFill="1" applyAlignment="1">
      <alignment horizontal="left" indent="1"/>
    </xf>
    <xf numFmtId="3" fontId="54" fillId="36" borderId="0" xfId="19" applyNumberFormat="1" applyFont="1" applyFill="1"/>
    <xf numFmtId="0" fontId="175" fillId="36" borderId="0" xfId="0" applyFont="1" applyFill="1" applyAlignment="1">
      <alignment horizontal="center"/>
    </xf>
    <xf numFmtId="0" fontId="65" fillId="36" borderId="0" xfId="0" applyFont="1" applyFill="1" applyAlignment="1">
      <alignment vertical="center"/>
    </xf>
    <xf numFmtId="10" fontId="21" fillId="36" borderId="0" xfId="131" quotePrefix="1" applyNumberFormat="1" applyFont="1" applyFill="1"/>
    <xf numFmtId="10" fontId="21" fillId="36" borderId="0" xfId="131" quotePrefix="1" applyNumberFormat="1" applyFont="1" applyFill="1" applyAlignment="1">
      <alignment horizontal="left"/>
    </xf>
    <xf numFmtId="168" fontId="21" fillId="36" borderId="0" xfId="131" quotePrefix="1" applyNumberFormat="1" applyFont="1" applyFill="1" applyAlignment="1">
      <alignment horizontal="left"/>
    </xf>
    <xf numFmtId="0" fontId="21" fillId="36" borderId="0" xfId="131" applyFont="1" applyFill="1"/>
    <xf numFmtId="0" fontId="21" fillId="36" borderId="3" xfId="22" applyNumberFormat="1" applyFont="1" applyFill="1" applyBorder="1" applyAlignment="1">
      <alignment horizontal="left"/>
    </xf>
    <xf numFmtId="39" fontId="22" fillId="0" borderId="8" xfId="22" quotePrefix="1" applyNumberFormat="1" applyFont="1" applyBorder="1" applyAlignment="1">
      <alignment horizontal="center"/>
    </xf>
    <xf numFmtId="37" fontId="53" fillId="36" borderId="3" xfId="22" quotePrefix="1" applyNumberFormat="1" applyFont="1" applyFill="1" applyBorder="1" applyAlignment="1">
      <alignment horizontal="center"/>
    </xf>
    <xf numFmtId="0" fontId="53" fillId="36" borderId="3" xfId="0" applyFont="1" applyFill="1" applyBorder="1" applyAlignment="1">
      <alignment horizontal="center"/>
    </xf>
    <xf numFmtId="0" fontId="21" fillId="36" borderId="3" xfId="0" applyNumberFormat="1" applyFont="1" applyFill="1" applyBorder="1" applyAlignment="1">
      <alignment horizontal="left"/>
    </xf>
    <xf numFmtId="177" fontId="21" fillId="36" borderId="3" xfId="22" applyNumberFormat="1" applyFont="1" applyFill="1" applyBorder="1"/>
    <xf numFmtId="177" fontId="53" fillId="36" borderId="3" xfId="22" applyNumberFormat="1" applyFont="1" applyFill="1" applyBorder="1"/>
    <xf numFmtId="3" fontId="21" fillId="36" borderId="57" xfId="19" applyNumberFormat="1" applyFont="1" applyFill="1" applyBorder="1" applyAlignment="1">
      <alignment horizontal="center"/>
    </xf>
    <xf numFmtId="37" fontId="21" fillId="36" borderId="57" xfId="19" applyNumberFormat="1" applyFont="1" applyFill="1" applyBorder="1" applyAlignment="1">
      <alignment horizontal="center" vertical="center"/>
    </xf>
    <xf numFmtId="3" fontId="21" fillId="36" borderId="3" xfId="19" applyNumberFormat="1" applyFont="1" applyFill="1" applyBorder="1" applyAlignment="1">
      <alignment horizontal="center"/>
    </xf>
    <xf numFmtId="37" fontId="21" fillId="36" borderId="57" xfId="19" applyNumberFormat="1" applyFont="1" applyFill="1" applyBorder="1" applyAlignment="1">
      <alignment horizontal="center"/>
    </xf>
    <xf numFmtId="177" fontId="21" fillId="36" borderId="3" xfId="97" applyNumberFormat="1" applyFont="1" applyFill="1" applyBorder="1" applyAlignment="1">
      <alignment horizontal="center"/>
    </xf>
    <xf numFmtId="164" fontId="28" fillId="36" borderId="0" xfId="100" applyNumberFormat="1" applyFont="1" applyFill="1"/>
    <xf numFmtId="10" fontId="21" fillId="34" borderId="0" xfId="0" applyNumberFormat="1" applyFont="1" applyFill="1"/>
    <xf numFmtId="3" fontId="21" fillId="36" borderId="3" xfId="97" quotePrefix="1" applyNumberFormat="1" applyFont="1" applyFill="1" applyBorder="1" applyAlignment="1">
      <alignment horizontal="center"/>
    </xf>
    <xf numFmtId="3" fontId="24" fillId="36" borderId="3" xfId="22" quotePrefix="1" applyNumberFormat="1" applyFont="1" applyFill="1" applyBorder="1" applyAlignment="1">
      <alignment horizontal="center"/>
    </xf>
    <xf numFmtId="3" fontId="24" fillId="0" borderId="3" xfId="22" quotePrefix="1" applyNumberFormat="1" applyFont="1" applyFill="1" applyBorder="1" applyAlignment="1">
      <alignment horizontal="center"/>
    </xf>
    <xf numFmtId="3" fontId="24" fillId="0" borderId="3" xfId="0" applyNumberFormat="1" applyFont="1" applyFill="1" applyBorder="1" applyAlignment="1">
      <alignment horizontal="center"/>
    </xf>
    <xf numFmtId="3" fontId="21" fillId="36" borderId="3" xfId="0" applyNumberFormat="1" applyFont="1" applyFill="1" applyBorder="1" applyAlignment="1">
      <alignment horizontal="center"/>
    </xf>
    <xf numFmtId="3" fontId="24" fillId="0" borderId="3" xfId="22" applyNumberFormat="1" applyFont="1" applyFill="1" applyBorder="1" applyAlignment="1">
      <alignment horizontal="center"/>
    </xf>
    <xf numFmtId="3" fontId="24" fillId="36" borderId="3" xfId="0" applyNumberFormat="1" applyFont="1" applyFill="1" applyBorder="1" applyAlignment="1">
      <alignment horizontal="center"/>
    </xf>
    <xf numFmtId="3" fontId="22" fillId="0" borderId="3" xfId="22" quotePrefix="1" applyNumberFormat="1" applyFont="1" applyFill="1" applyBorder="1" applyAlignment="1">
      <alignment horizontal="center"/>
    </xf>
    <xf numFmtId="3" fontId="22" fillId="0" borderId="3" xfId="0" applyNumberFormat="1" applyFont="1" applyFill="1" applyBorder="1" applyAlignment="1">
      <alignment horizontal="center"/>
    </xf>
    <xf numFmtId="3" fontId="22" fillId="37" borderId="3" xfId="22" quotePrefix="1"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Fill="1" applyBorder="1" applyAlignment="1">
      <alignment horizontal="center"/>
    </xf>
    <xf numFmtId="3" fontId="21" fillId="36" borderId="3" xfId="97"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97" quotePrefix="1" applyNumberFormat="1" applyFont="1" applyFill="1" applyBorder="1" applyAlignment="1">
      <alignment horizontal="center"/>
    </xf>
    <xf numFmtId="164" fontId="0" fillId="0" borderId="0" xfId="0" applyNumberFormat="1" applyBorder="1" applyAlignment="1"/>
    <xf numFmtId="164" fontId="42" fillId="0" borderId="0" xfId="0" applyNumberFormat="1" applyFont="1"/>
    <xf numFmtId="0" fontId="0" fillId="0" borderId="0" xfId="0" applyAlignment="1">
      <alignment horizontal="center"/>
    </xf>
    <xf numFmtId="3" fontId="24" fillId="36" borderId="3" xfId="22" applyNumberFormat="1" applyFont="1" applyFill="1" applyBorder="1" applyAlignment="1">
      <alignment horizontal="center"/>
    </xf>
    <xf numFmtId="3" fontId="22" fillId="0" borderId="3" xfId="22" applyNumberFormat="1" applyFont="1" applyFill="1" applyBorder="1" applyAlignment="1">
      <alignment horizontal="center"/>
    </xf>
    <xf numFmtId="3" fontId="22" fillId="37" borderId="7" xfId="22" applyNumberFormat="1" applyFont="1" applyFill="1" applyBorder="1" applyAlignment="1">
      <alignment horizontal="center"/>
    </xf>
    <xf numFmtId="3" fontId="22" fillId="36" borderId="3" xfId="97" quotePrefix="1" applyNumberFormat="1" applyFont="1" applyFill="1" applyBorder="1" applyAlignment="1">
      <alignment horizontal="center"/>
    </xf>
    <xf numFmtId="3" fontId="22" fillId="0" borderId="0" xfId="22" applyNumberFormat="1" applyFont="1" applyFill="1" applyBorder="1" applyAlignment="1">
      <alignment horizontal="center"/>
    </xf>
    <xf numFmtId="3" fontId="22" fillId="0" borderId="0" xfId="22" applyNumberFormat="1" applyFont="1" applyBorder="1" applyAlignment="1">
      <alignment horizontal="center"/>
    </xf>
    <xf numFmtId="3" fontId="22" fillId="36" borderId="3" xfId="97" applyNumberFormat="1" applyFont="1" applyFill="1" applyBorder="1" applyAlignment="1">
      <alignment horizontal="center"/>
    </xf>
    <xf numFmtId="170" fontId="21" fillId="36" borderId="0" xfId="100" applyNumberFormat="1" applyFill="1" applyAlignment="1">
      <alignment horizontal="center"/>
    </xf>
    <xf numFmtId="0" fontId="163" fillId="0" borderId="0" xfId="0" applyFont="1" applyFill="1" applyAlignment="1"/>
    <xf numFmtId="37" fontId="21" fillId="36" borderId="62" xfId="19" applyNumberFormat="1" applyFont="1" applyFill="1" applyBorder="1" applyAlignment="1">
      <alignment horizontal="center"/>
    </xf>
    <xf numFmtId="3" fontId="21" fillId="36" borderId="0" xfId="129" applyNumberFormat="1" applyFont="1" applyFill="1" applyAlignment="1">
      <alignment horizontal="right"/>
    </xf>
    <xf numFmtId="0" fontId="21" fillId="36" borderId="0" xfId="100" applyFont="1" applyFill="1" applyBorder="1" applyAlignment="1" applyProtection="1">
      <alignment horizontal="left" indent="1"/>
      <protection locked="0"/>
    </xf>
    <xf numFmtId="0" fontId="21" fillId="36" borderId="0" xfId="28" applyNumberFormat="1" applyFont="1" applyFill="1"/>
    <xf numFmtId="0" fontId="21" fillId="36" borderId="0" xfId="28" applyFont="1" applyFill="1" applyAlignment="1">
      <alignment horizontal="center"/>
    </xf>
    <xf numFmtId="167" fontId="21" fillId="36" borderId="0" xfId="22" applyNumberFormat="1" applyFont="1" applyFill="1"/>
    <xf numFmtId="0" fontId="24" fillId="36" borderId="0" xfId="0" quotePrefix="1" applyFont="1" applyFill="1" applyAlignment="1">
      <alignment horizontal="center"/>
    </xf>
    <xf numFmtId="164" fontId="21" fillId="0" borderId="0" xfId="0" applyNumberFormat="1" applyFont="1" applyBorder="1"/>
    <xf numFmtId="0" fontId="24" fillId="36" borderId="0" xfId="0" applyFont="1" applyFill="1" applyAlignment="1">
      <alignment horizontal="center"/>
    </xf>
    <xf numFmtId="10" fontId="54" fillId="36" borderId="0" xfId="0" applyNumberFormat="1" applyFont="1" applyFill="1" applyBorder="1" applyAlignment="1">
      <alignment horizontal="center"/>
    </xf>
    <xf numFmtId="165" fontId="0" fillId="0" borderId="0" xfId="0" applyNumberFormat="1" applyFill="1" applyAlignment="1">
      <alignment horizontal="center"/>
    </xf>
    <xf numFmtId="165" fontId="28" fillId="0" borderId="0" xfId="0" applyNumberFormat="1" applyFont="1" applyFill="1" applyAlignment="1">
      <alignment horizontal="center"/>
    </xf>
    <xf numFmtId="165" fontId="24" fillId="0" borderId="0" xfId="0" applyNumberFormat="1" applyFont="1" applyFill="1" applyAlignment="1">
      <alignment horizontal="center"/>
    </xf>
    <xf numFmtId="164" fontId="0" fillId="36" borderId="0" xfId="0" applyNumberFormat="1" applyFill="1" applyBorder="1"/>
    <xf numFmtId="164" fontId="0" fillId="0" borderId="0" xfId="19" applyNumberFormat="1" applyFont="1"/>
    <xf numFmtId="164" fontId="54" fillId="0" borderId="0" xfId="0" applyNumberFormat="1" applyFont="1" applyFill="1" applyBorder="1"/>
    <xf numFmtId="164" fontId="22" fillId="36" borderId="0" xfId="0" applyNumberFormat="1" applyFont="1" applyFill="1" applyAlignment="1">
      <alignment horizontal="center"/>
    </xf>
    <xf numFmtId="164" fontId="28" fillId="36" borderId="0" xfId="0" quotePrefix="1" applyNumberFormat="1" applyFont="1" applyFill="1" applyAlignment="1">
      <alignment horizontal="right"/>
    </xf>
    <xf numFmtId="164" fontId="21" fillId="0" borderId="0" xfId="0" quotePrefix="1" applyNumberFormat="1" applyFont="1" applyFill="1" applyAlignment="1">
      <alignment horizontal="right"/>
    </xf>
    <xf numFmtId="164" fontId="28" fillId="0" borderId="0" xfId="0" quotePrefix="1" applyNumberFormat="1" applyFont="1" applyFill="1" applyAlignment="1">
      <alignment horizontal="right"/>
    </xf>
    <xf numFmtId="164" fontId="54" fillId="36" borderId="0" xfId="0" applyNumberFormat="1" applyFont="1" applyFill="1" applyBorder="1" applyAlignment="1">
      <alignment horizontal="right"/>
    </xf>
    <xf numFmtId="164" fontId="21" fillId="36" borderId="0" xfId="53893" applyNumberFormat="1" applyFont="1" applyFill="1" applyBorder="1"/>
    <xf numFmtId="164" fontId="54" fillId="0" borderId="0" xfId="0" applyNumberFormat="1" applyFont="1" applyFill="1" applyAlignment="1">
      <alignment horizontal="right"/>
    </xf>
    <xf numFmtId="164" fontId="36" fillId="0" borderId="0" xfId="0" quotePrefix="1" applyNumberFormat="1" applyFont="1" applyFill="1" applyAlignment="1">
      <alignment horizontal="right"/>
    </xf>
    <xf numFmtId="164" fontId="22" fillId="0" borderId="0" xfId="0" applyNumberFormat="1" applyFont="1" applyFill="1" applyBorder="1" applyAlignment="1">
      <alignment horizontal="center"/>
    </xf>
    <xf numFmtId="164" fontId="21" fillId="0" borderId="14" xfId="0" applyNumberFormat="1" applyFont="1" applyFill="1" applyBorder="1"/>
    <xf numFmtId="164" fontId="21" fillId="34" borderId="0" xfId="0" applyNumberFormat="1" applyFont="1" applyFill="1" applyBorder="1"/>
    <xf numFmtId="164" fontId="21" fillId="36" borderId="0" xfId="0" quotePrefix="1" applyNumberFormat="1" applyFont="1" applyFill="1" applyBorder="1" applyAlignment="1">
      <alignment horizontal="right"/>
    </xf>
    <xf numFmtId="164" fontId="28" fillId="36" borderId="0" xfId="0" quotePrefix="1" applyNumberFormat="1" applyFont="1" applyFill="1" applyBorder="1" applyAlignment="1">
      <alignment horizontal="right"/>
    </xf>
    <xf numFmtId="164" fontId="28" fillId="36" borderId="0" xfId="0" applyNumberFormat="1" applyFont="1" applyFill="1" applyBorder="1" applyAlignment="1">
      <alignment horizontal="right"/>
    </xf>
    <xf numFmtId="164" fontId="0" fillId="0" borderId="0" xfId="0" applyNumberFormat="1" applyFill="1" applyAlignment="1">
      <alignment horizontal="right" indent="1"/>
    </xf>
    <xf numFmtId="169" fontId="0" fillId="0" borderId="0" xfId="0" applyNumberFormat="1" applyFill="1"/>
    <xf numFmtId="167" fontId="21" fillId="0" borderId="0" xfId="19" applyNumberFormat="1" applyFont="1" applyFill="1"/>
    <xf numFmtId="164" fontId="21" fillId="0" borderId="0" xfId="126" applyNumberFormat="1" applyFont="1" applyFill="1" applyAlignment="1">
      <alignment horizontal="right"/>
    </xf>
    <xf numFmtId="173" fontId="53" fillId="0" borderId="0" xfId="126" applyNumberFormat="1" applyFont="1" applyFill="1" applyAlignment="1">
      <alignment horizontal="center"/>
    </xf>
    <xf numFmtId="173" fontId="21" fillId="0" borderId="59" xfId="126" applyNumberFormat="1" applyFont="1" applyFill="1" applyBorder="1" applyAlignment="1">
      <alignment horizontal="center"/>
    </xf>
    <xf numFmtId="173" fontId="21" fillId="0" borderId="61" xfId="126" applyNumberFormat="1" applyFont="1" applyFill="1" applyBorder="1" applyAlignment="1">
      <alignment horizontal="center"/>
    </xf>
    <xf numFmtId="164" fontId="21" fillId="0" borderId="0" xfId="126" applyNumberFormat="1" applyFont="1" applyFill="1" applyBorder="1" applyAlignment="1">
      <alignment horizontal="right"/>
    </xf>
    <xf numFmtId="166" fontId="21" fillId="0" borderId="17" xfId="126" applyNumberFormat="1" applyFont="1" applyFill="1" applyBorder="1" applyAlignment="1">
      <alignment horizontal="center"/>
    </xf>
    <xf numFmtId="0" fontId="25" fillId="36" borderId="0" xfId="0" quotePrefix="1" applyFont="1" applyFill="1" applyAlignment="1">
      <alignment horizontal="center"/>
    </xf>
    <xf numFmtId="0" fontId="21" fillId="36" borderId="0" xfId="0" applyFont="1" applyFill="1" applyAlignment="1">
      <alignment horizontal="right"/>
    </xf>
    <xf numFmtId="1" fontId="21" fillId="36" borderId="0" xfId="100" applyNumberFormat="1" applyFill="1" applyBorder="1" applyAlignment="1">
      <alignment horizontal="center"/>
    </xf>
    <xf numFmtId="0" fontId="22" fillId="36" borderId="0" xfId="100" applyFont="1" applyFill="1" applyAlignment="1">
      <alignment horizontal="left"/>
    </xf>
    <xf numFmtId="17" fontId="21" fillId="36" borderId="0" xfId="100" quotePrefix="1" applyNumberFormat="1" applyFill="1" applyAlignment="1">
      <alignment horizontal="left"/>
    </xf>
    <xf numFmtId="0" fontId="21" fillId="36" borderId="3" xfId="0" quotePrefix="1" applyFont="1" applyFill="1" applyBorder="1" applyAlignment="1">
      <alignment horizontal="center"/>
    </xf>
    <xf numFmtId="0" fontId="21" fillId="36" borderId="3" xfId="0" quotePrefix="1" applyFont="1" applyFill="1" applyBorder="1" applyAlignment="1">
      <alignment horizontal="left"/>
    </xf>
    <xf numFmtId="0" fontId="21" fillId="36" borderId="4" xfId="0" applyFont="1" applyFill="1" applyBorder="1"/>
    <xf numFmtId="0" fontId="21" fillId="36" borderId="3" xfId="0" quotePrefix="1" applyFont="1" applyFill="1" applyBorder="1"/>
    <xf numFmtId="0" fontId="21" fillId="36" borderId="3" xfId="0" applyFont="1" applyFill="1" applyBorder="1"/>
    <xf numFmtId="0" fontId="21" fillId="36" borderId="3" xfId="0" applyFont="1" applyFill="1" applyBorder="1" applyAlignment="1">
      <alignment horizontal="left"/>
    </xf>
    <xf numFmtId="0" fontId="21" fillId="36" borderId="3" xfId="97" applyNumberFormat="1" applyFont="1" applyFill="1" applyBorder="1" applyAlignment="1">
      <alignment horizontal="left"/>
    </xf>
    <xf numFmtId="10" fontId="54" fillId="36" borderId="0" xfId="0" applyNumberFormat="1" applyFont="1" applyFill="1" applyAlignment="1">
      <alignment horizontal="center"/>
    </xf>
    <xf numFmtId="0" fontId="21" fillId="36" borderId="0" xfId="34" applyFont="1" applyFill="1" applyAlignment="1"/>
    <xf numFmtId="164" fontId="21" fillId="36" borderId="0" xfId="0" quotePrefix="1" applyNumberFormat="1" applyFont="1" applyFill="1" applyBorder="1"/>
    <xf numFmtId="37" fontId="21" fillId="36" borderId="0" xfId="0" applyNumberFormat="1" applyFont="1" applyFill="1" applyAlignment="1">
      <alignment horizontal="center"/>
    </xf>
    <xf numFmtId="0" fontId="22" fillId="0" borderId="0" xfId="100" applyFont="1" applyFill="1" applyAlignment="1">
      <alignment horizontal="left"/>
    </xf>
    <xf numFmtId="0" fontId="54" fillId="36" borderId="0" xfId="0" applyFont="1" applyFill="1" applyAlignment="1">
      <alignment horizontal="left"/>
    </xf>
    <xf numFmtId="164" fontId="21" fillId="36" borderId="0" xfId="96" applyNumberFormat="1" applyFont="1" applyFill="1" applyBorder="1" applyAlignment="1">
      <alignment horizontal="right"/>
    </xf>
    <xf numFmtId="164" fontId="176" fillId="36" borderId="0" xfId="0" applyNumberFormat="1" applyFont="1" applyFill="1"/>
    <xf numFmtId="10" fontId="54" fillId="36" borderId="0" xfId="100" applyNumberFormat="1" applyFont="1" applyFill="1"/>
    <xf numFmtId="164" fontId="54" fillId="36" borderId="0" xfId="0" applyNumberFormat="1" applyFont="1" applyFill="1" applyAlignment="1">
      <alignment wrapText="1"/>
    </xf>
    <xf numFmtId="164" fontId="54" fillId="36" borderId="0" xfId="19" applyNumberFormat="1" applyFont="1" applyFill="1" applyBorder="1"/>
    <xf numFmtId="5" fontId="54" fillId="36" borderId="0" xfId="19" applyNumberFormat="1" applyFont="1" applyFill="1" applyBorder="1"/>
    <xf numFmtId="5" fontId="59" fillId="36" borderId="0" xfId="19" applyNumberFormat="1" applyFont="1" applyFill="1" applyBorder="1"/>
    <xf numFmtId="0" fontId="21" fillId="0" borderId="3" xfId="0" quotePrefix="1" applyFont="1" applyFill="1" applyBorder="1" applyAlignment="1">
      <alignment horizontal="left"/>
    </xf>
    <xf numFmtId="0" fontId="21" fillId="0" borderId="4" xfId="0" applyFont="1" applyFill="1" applyBorder="1"/>
    <xf numFmtId="3" fontId="53" fillId="36" borderId="3" xfId="22" quotePrefix="1" applyNumberFormat="1" applyFont="1" applyFill="1" applyBorder="1" applyAlignment="1">
      <alignment horizontal="center"/>
    </xf>
    <xf numFmtId="3" fontId="53" fillId="36" borderId="3" xfId="0" applyNumberFormat="1" applyFont="1" applyFill="1" applyBorder="1" applyAlignment="1">
      <alignment horizontal="center"/>
    </xf>
    <xf numFmtId="37" fontId="53" fillId="36" borderId="3" xfId="97" quotePrefix="1" applyNumberFormat="1" applyFont="1" applyFill="1" applyBorder="1" applyAlignment="1">
      <alignment horizontal="center"/>
    </xf>
    <xf numFmtId="3" fontId="53" fillId="36" borderId="3" xfId="97" quotePrefix="1" applyNumberFormat="1" applyFont="1" applyFill="1" applyBorder="1" applyAlignment="1">
      <alignment horizontal="center"/>
    </xf>
    <xf numFmtId="37" fontId="53" fillId="36" borderId="3" xfId="0" applyNumberFormat="1" applyFont="1" applyFill="1" applyBorder="1" applyAlignment="1">
      <alignment horizontal="center"/>
    </xf>
    <xf numFmtId="0" fontId="21" fillId="36" borderId="6" xfId="0" quotePrefix="1" applyFont="1" applyFill="1" applyBorder="1" applyAlignment="1">
      <alignment horizontal="left"/>
    </xf>
    <xf numFmtId="39" fontId="21" fillId="0" borderId="0" xfId="97" applyNumberFormat="1" applyFont="1" applyFill="1" applyBorder="1" applyAlignment="1">
      <alignment horizontal="right"/>
    </xf>
    <xf numFmtId="37" fontId="54" fillId="36" borderId="3" xfId="97" quotePrefix="1" applyNumberFormat="1" applyFont="1" applyFill="1" applyBorder="1" applyAlignment="1">
      <alignment horizontal="center"/>
    </xf>
    <xf numFmtId="0" fontId="54" fillId="36" borderId="3" xfId="0" quotePrefix="1" applyFont="1" applyFill="1" applyBorder="1" applyAlignment="1">
      <alignment horizontal="center"/>
    </xf>
    <xf numFmtId="0" fontId="21" fillId="0" borderId="3" xfId="0" quotePrefix="1" applyFont="1" applyFill="1" applyBorder="1"/>
    <xf numFmtId="177" fontId="21" fillId="36" borderId="3" xfId="97" applyNumberFormat="1" applyFont="1" applyFill="1" applyBorder="1"/>
    <xf numFmtId="37" fontId="21" fillId="36" borderId="3" xfId="19" applyNumberFormat="1" applyFont="1" applyFill="1" applyBorder="1" applyAlignment="1">
      <alignment horizontal="center"/>
    </xf>
    <xf numFmtId="0" fontId="21" fillId="0" borderId="3" xfId="0" applyFont="1" applyFill="1" applyBorder="1" applyAlignment="1">
      <alignment horizontal="left"/>
    </xf>
    <xf numFmtId="0" fontId="21" fillId="36" borderId="9" xfId="0" quotePrefix="1" applyFont="1" applyFill="1" applyBorder="1"/>
    <xf numFmtId="37" fontId="53" fillId="36" borderId="3" xfId="97" applyNumberFormat="1" applyFont="1" applyFill="1" applyBorder="1" applyAlignment="1">
      <alignment horizontal="center"/>
    </xf>
    <xf numFmtId="165" fontId="54" fillId="34" borderId="0" xfId="0" applyNumberFormat="1" applyFont="1" applyFill="1" applyAlignment="1">
      <alignment wrapText="1"/>
    </xf>
    <xf numFmtId="172" fontId="24" fillId="0" borderId="0" xfId="0" applyNumberFormat="1" applyFont="1" applyFill="1" applyAlignment="1">
      <alignment horizontal="right"/>
    </xf>
    <xf numFmtId="0" fontId="21" fillId="36" borderId="0" xfId="0" applyFont="1" applyFill="1" applyAlignment="1">
      <alignment horizontal="center"/>
    </xf>
    <xf numFmtId="164" fontId="21" fillId="0" borderId="0" xfId="19" applyNumberFormat="1" applyFont="1"/>
    <xf numFmtId="166" fontId="21" fillId="0" borderId="18" xfId="126" applyNumberFormat="1" applyFont="1" applyBorder="1" applyAlignment="1">
      <alignment horizontal="center"/>
    </xf>
    <xf numFmtId="164" fontId="21" fillId="0" borderId="18" xfId="126" applyNumberFormat="1" applyFont="1" applyFill="1" applyBorder="1"/>
    <xf numFmtId="0" fontId="21" fillId="36" borderId="0" xfId="0" applyFont="1" applyFill="1" applyAlignment="1"/>
    <xf numFmtId="0" fontId="55" fillId="36" borderId="0" xfId="0" applyFont="1" applyFill="1" applyAlignment="1">
      <alignment horizontal="center"/>
    </xf>
    <xf numFmtId="0" fontId="22" fillId="36" borderId="0" xfId="34" applyFont="1" applyFill="1" applyAlignment="1">
      <alignment horizontal="center"/>
    </xf>
    <xf numFmtId="10" fontId="21" fillId="0" borderId="0" xfId="0" applyNumberFormat="1" applyFont="1" applyAlignment="1">
      <alignment horizontal="left" indent="1"/>
    </xf>
    <xf numFmtId="10" fontId="21" fillId="0" borderId="0" xfId="0" applyNumberFormat="1" applyFont="1" applyFill="1" applyAlignment="1">
      <alignment horizontal="left" indent="1"/>
    </xf>
    <xf numFmtId="0" fontId="21" fillId="36" borderId="0" xfId="28" applyFont="1" applyFill="1" applyAlignment="1">
      <alignment horizontal="left"/>
    </xf>
    <xf numFmtId="5" fontId="21" fillId="0" borderId="0" xfId="0" quotePrefix="1" applyNumberFormat="1" applyFont="1" applyAlignment="1">
      <alignment horizontal="right"/>
    </xf>
    <xf numFmtId="5" fontId="28" fillId="0" borderId="0" xfId="0" quotePrefix="1" applyNumberFormat="1" applyFont="1" applyAlignment="1">
      <alignment horizontal="right"/>
    </xf>
    <xf numFmtId="164" fontId="21" fillId="0" borderId="0" xfId="0" quotePrefix="1" applyNumberFormat="1" applyFont="1" applyAlignment="1">
      <alignment horizontal="right"/>
    </xf>
    <xf numFmtId="164" fontId="28" fillId="0" borderId="0" xfId="0" quotePrefix="1" applyNumberFormat="1" applyFont="1" applyAlignment="1">
      <alignment horizontal="right"/>
    </xf>
    <xf numFmtId="0" fontId="164" fillId="0" borderId="0" xfId="0" applyFont="1" applyAlignment="1">
      <alignment horizontal="center"/>
    </xf>
    <xf numFmtId="0" fontId="0" fillId="0" borderId="0" xfId="0" applyAlignment="1">
      <alignment horizontal="center"/>
    </xf>
    <xf numFmtId="0" fontId="68" fillId="0" borderId="0" xfId="0" applyFont="1" applyAlignment="1">
      <alignment horizontal="center"/>
    </xf>
    <xf numFmtId="0" fontId="163" fillId="0" borderId="0" xfId="0" applyFont="1" applyAlignment="1">
      <alignment horizontal="center"/>
    </xf>
    <xf numFmtId="0" fontId="51" fillId="0" borderId="0" xfId="0" applyFont="1" applyAlignment="1">
      <alignment horizontal="center"/>
    </xf>
    <xf numFmtId="0" fontId="163" fillId="0" borderId="0" xfId="0" applyFont="1" applyFill="1" applyAlignment="1">
      <alignment horizontal="center"/>
    </xf>
    <xf numFmtId="0" fontId="65" fillId="36" borderId="0" xfId="0" applyFont="1" applyFill="1" applyAlignment="1">
      <alignment vertical="center"/>
    </xf>
    <xf numFmtId="167" fontId="55" fillId="0" borderId="65" xfId="19" applyNumberFormat="1" applyFont="1" applyBorder="1" applyAlignment="1">
      <alignment horizontal="center"/>
    </xf>
    <xf numFmtId="167" fontId="55" fillId="0" borderId="66" xfId="19" applyNumberFormat="1" applyFont="1" applyBorder="1" applyAlignment="1">
      <alignment horizontal="center"/>
    </xf>
    <xf numFmtId="167" fontId="55" fillId="0" borderId="67" xfId="19" applyNumberFormat="1" applyFont="1" applyBorder="1" applyAlignment="1">
      <alignment horizontal="center"/>
    </xf>
    <xf numFmtId="0" fontId="21" fillId="36" borderId="0" xfId="0" applyFont="1" applyFill="1" applyAlignment="1">
      <alignment horizontal="center"/>
    </xf>
    <xf numFmtId="0" fontId="21" fillId="0" borderId="0" xfId="0" applyNumberFormat="1" applyFont="1" applyFill="1" applyAlignment="1">
      <alignment horizontal="left"/>
    </xf>
    <xf numFmtId="0" fontId="22" fillId="0" borderId="6" xfId="28" applyFont="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Fill="1" applyBorder="1" applyAlignment="1">
      <alignment horizontal="center"/>
    </xf>
    <xf numFmtId="0" fontId="22" fillId="0" borderId="6" xfId="28" applyFont="1" applyFill="1" applyBorder="1" applyAlignment="1">
      <alignment horizontal="center"/>
    </xf>
    <xf numFmtId="0" fontId="22" fillId="0" borderId="9" xfId="28" applyFont="1" applyFill="1" applyBorder="1" applyAlignment="1">
      <alignment horizontal="center"/>
    </xf>
    <xf numFmtId="0" fontId="22" fillId="0" borderId="4" xfId="28" applyFont="1" applyFill="1" applyBorder="1" applyAlignment="1">
      <alignment horizontal="center"/>
    </xf>
    <xf numFmtId="0" fontId="22" fillId="0" borderId="3" xfId="28" applyFont="1" applyBorder="1" applyAlignment="1"/>
    <xf numFmtId="0" fontId="21"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wrapText="1"/>
    </xf>
    <xf numFmtId="0" fontId="22" fillId="0" borderId="6" xfId="0" applyNumberFormat="1" applyFont="1" applyFill="1" applyBorder="1" applyAlignment="1"/>
    <xf numFmtId="0" fontId="0" fillId="0" borderId="9" xfId="0" applyFill="1" applyBorder="1" applyAlignment="1"/>
    <xf numFmtId="0" fontId="0" fillId="0" borderId="4" xfId="0" applyFill="1" applyBorder="1" applyAlignment="1"/>
    <xf numFmtId="0" fontId="24"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0" fillId="0" borderId="0" xfId="0" applyFill="1" applyAlignment="1"/>
    <xf numFmtId="0" fontId="22"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2" fillId="0" borderId="6" xfId="0" applyFont="1" applyFill="1" applyBorder="1" applyAlignment="1"/>
    <xf numFmtId="0" fontId="21" fillId="0" borderId="0" xfId="0" applyFont="1" applyFill="1" applyBorder="1" applyAlignment="1">
      <alignment wrapText="1"/>
    </xf>
    <xf numFmtId="0" fontId="0" fillId="0" borderId="0" xfId="0" applyAlignment="1">
      <alignment wrapText="1"/>
    </xf>
    <xf numFmtId="0" fontId="24" fillId="0" borderId="6" xfId="0" applyFont="1" applyFill="1" applyBorder="1" applyAlignment="1">
      <alignment horizontal="left"/>
    </xf>
    <xf numFmtId="0" fontId="24" fillId="0" borderId="4" xfId="0" applyFont="1" applyFill="1" applyBorder="1" applyAlignment="1">
      <alignment horizontal="left"/>
    </xf>
    <xf numFmtId="0" fontId="22" fillId="0" borderId="3" xfId="0" applyFont="1" applyFill="1" applyBorder="1" applyAlignment="1">
      <alignment wrapText="1"/>
    </xf>
    <xf numFmtId="0" fontId="0" fillId="0" borderId="3" xfId="0" applyBorder="1" applyAlignment="1">
      <alignment wrapText="1"/>
    </xf>
    <xf numFmtId="39" fontId="24" fillId="0" borderId="6" xfId="22" applyNumberFormat="1" applyFont="1" applyBorder="1" applyAlignment="1">
      <alignment horizontal="center"/>
    </xf>
    <xf numFmtId="0" fontId="0" fillId="0" borderId="9" xfId="0" applyBorder="1"/>
    <xf numFmtId="0" fontId="0" fillId="0" borderId="4" xfId="0" applyBorder="1"/>
    <xf numFmtId="0" fontId="22"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NumberFormat="1" applyFont="1" applyFill="1" applyBorder="1" applyAlignment="1">
      <alignment wrapText="1"/>
    </xf>
    <xf numFmtId="0" fontId="21" fillId="0" borderId="12" xfId="126" applyFont="1" applyFill="1" applyBorder="1" applyAlignment="1">
      <alignment horizontal="center"/>
    </xf>
    <xf numFmtId="0" fontId="21" fillId="0" borderId="14" xfId="126" applyFont="1" applyFill="1" applyBorder="1" applyAlignment="1">
      <alignment horizontal="center"/>
    </xf>
    <xf numFmtId="0" fontId="0" fillId="0" borderId="14" xfId="0" applyBorder="1" applyAlignment="1"/>
    <xf numFmtId="0" fontId="0" fillId="0" borderId="13" xfId="0" applyBorder="1" applyAlignment="1"/>
    <xf numFmtId="0" fontId="21" fillId="0" borderId="13" xfId="126" applyFont="1" applyFill="1" applyBorder="1" applyAlignment="1">
      <alignment horizontal="center"/>
    </xf>
    <xf numFmtId="173" fontId="21" fillId="0" borderId="58" xfId="126" quotePrefix="1" applyNumberFormat="1" applyFont="1" applyFill="1" applyBorder="1" applyAlignment="1">
      <alignment horizontal="center" vertical="center"/>
    </xf>
    <xf numFmtId="173" fontId="21" fillId="0" borderId="60" xfId="126" quotePrefix="1" applyNumberFormat="1" applyFont="1" applyFill="1" applyBorder="1" applyAlignment="1">
      <alignment horizontal="center" vertical="center"/>
    </xf>
  </cellXfs>
  <cellStyles count="53897">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6" xr:uid="{4C1C0A83-A128-4EA0-9D67-5E1A235371E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5" xr:uid="{FEB0F29F-0CE9-424A-A6B5-2E8D48A04B44}"/>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3" xr:uid="{6DBCCEF8-EFA8-4D28-B57F-2D0A6FD5C38E}"/>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3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56" xfId="53894" xr:uid="{845C1E15-D317-47DA-AD09-29C0F635C834}"/>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2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FFCCCC"/>
      <color rgb="FFCCFFCC"/>
      <color rgb="FF99FFCC"/>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zoomScaleNormal="100" workbookViewId="0"/>
  </sheetViews>
  <sheetFormatPr defaultColWidth="9.453125" defaultRowHeight="12.5"/>
  <cols>
    <col min="1" max="2" width="9.453125" style="955"/>
    <col min="3" max="3" width="8.453125" style="955" customWidth="1"/>
    <col min="4" max="16384" width="9.453125" style="955"/>
  </cols>
  <sheetData>
    <row r="2" spans="1:14" ht="28">
      <c r="C2" s="1498"/>
      <c r="D2" s="1499"/>
      <c r="E2" s="1499"/>
      <c r="F2" s="1499"/>
      <c r="G2" s="1499"/>
      <c r="H2" s="1499"/>
    </row>
    <row r="3" spans="1:14">
      <c r="D3" s="463"/>
    </row>
    <row r="4" spans="1:14" ht="23">
      <c r="B4" s="1501"/>
      <c r="C4" s="1501"/>
      <c r="D4" s="1501"/>
      <c r="E4" s="1501"/>
      <c r="F4" s="1501"/>
      <c r="G4" s="1501"/>
      <c r="H4" s="1501"/>
      <c r="I4" s="1501"/>
    </row>
    <row r="5" spans="1:14" ht="23">
      <c r="B5" s="1226"/>
      <c r="C5" s="1209"/>
      <c r="D5" s="1501"/>
      <c r="E5" s="1499"/>
      <c r="F5" s="1499"/>
      <c r="G5" s="1499"/>
      <c r="H5" s="1209"/>
      <c r="I5" s="1209"/>
    </row>
    <row r="6" spans="1:14" ht="23">
      <c r="A6" s="1503" t="s">
        <v>2709</v>
      </c>
      <c r="B6" s="1503"/>
      <c r="C6" s="1503"/>
      <c r="D6" s="1503"/>
      <c r="E6" s="1503"/>
      <c r="F6" s="1503"/>
      <c r="G6" s="1503"/>
      <c r="H6" s="1503"/>
      <c r="I6" s="1503"/>
      <c r="J6" s="1503"/>
      <c r="K6" s="1503"/>
      <c r="L6" s="1400"/>
      <c r="M6" s="1400"/>
      <c r="N6" s="1400"/>
    </row>
    <row r="8" spans="1:14" ht="25">
      <c r="A8" s="1500" t="s">
        <v>1865</v>
      </c>
      <c r="B8" s="1500"/>
      <c r="C8" s="1500"/>
      <c r="D8" s="1500"/>
      <c r="E8" s="1500"/>
      <c r="F8" s="1500"/>
      <c r="G8" s="1500"/>
      <c r="H8" s="1500"/>
      <c r="I8" s="1500"/>
      <c r="J8" s="1500"/>
      <c r="K8" s="1500"/>
    </row>
    <row r="9" spans="1:14" ht="13">
      <c r="D9" s="1"/>
    </row>
    <row r="10" spans="1:14" ht="20">
      <c r="A10" s="1502" t="s">
        <v>1866</v>
      </c>
      <c r="B10" s="1502"/>
      <c r="C10" s="1502"/>
      <c r="D10" s="1502"/>
      <c r="E10" s="1502"/>
      <c r="F10" s="1502"/>
      <c r="G10" s="1502"/>
      <c r="H10" s="1502"/>
      <c r="I10" s="1502"/>
      <c r="J10" s="1502"/>
      <c r="K10" s="1502"/>
    </row>
  </sheetData>
  <mergeCells count="6">
    <mergeCell ref="C2:H2"/>
    <mergeCell ref="A8:K8"/>
    <mergeCell ref="B4:I4"/>
    <mergeCell ref="D5:G5"/>
    <mergeCell ref="A10:K10"/>
    <mergeCell ref="A6:K6"/>
  </mergeCells>
  <pageMargins left="0.7" right="0.7" top="0.75" bottom="0.75" header="0.3" footer="0.3"/>
  <pageSetup scale="89" orientation="portrait" r:id="rId1"/>
  <headerFooter>
    <oddHeader>&amp;C&amp;"Arial,Bold"
&amp;RTO2022 Draft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236"/>
  <sheetViews>
    <sheetView zoomScaleNormal="100" zoomScalePageLayoutView="80" workbookViewId="0"/>
  </sheetViews>
  <sheetFormatPr defaultColWidth="8.54296875" defaultRowHeight="12.5"/>
  <cols>
    <col min="1" max="1" width="4.54296875" style="955" customWidth="1"/>
    <col min="2" max="2" width="10.54296875" style="955" customWidth="1"/>
    <col min="3" max="6" width="13.54296875" style="955" customWidth="1"/>
    <col min="7" max="7" width="14.453125" style="955" customWidth="1"/>
    <col min="8" max="12" width="13.54296875" style="955" customWidth="1"/>
    <col min="13" max="13" width="15.54296875" style="955" customWidth="1"/>
    <col min="14" max="14" width="8.54296875" style="955" customWidth="1"/>
    <col min="15" max="15" width="14.453125" style="955" customWidth="1"/>
    <col min="16" max="16" width="15.453125" style="955" customWidth="1"/>
    <col min="17" max="16384" width="8.54296875" style="955"/>
  </cols>
  <sheetData>
    <row r="1" spans="1:13" ht="13">
      <c r="A1" s="382" t="s">
        <v>1179</v>
      </c>
      <c r="B1" s="227"/>
      <c r="C1" s="227"/>
      <c r="D1" s="227"/>
      <c r="E1" s="227"/>
      <c r="F1" s="227"/>
      <c r="G1" s="227"/>
      <c r="H1" s="227"/>
      <c r="I1" s="961" t="s">
        <v>17</v>
      </c>
      <c r="J1" s="958"/>
      <c r="K1" s="227"/>
      <c r="L1" s="227"/>
    </row>
    <row r="2" spans="1:13" ht="13">
      <c r="A2" s="382"/>
      <c r="B2" s="1" t="s">
        <v>2534</v>
      </c>
      <c r="C2" s="227"/>
      <c r="D2" s="227"/>
      <c r="E2" s="961" t="s">
        <v>2711</v>
      </c>
      <c r="F2" s="958"/>
      <c r="G2" s="958"/>
      <c r="H2" s="227"/>
      <c r="I2" s="227"/>
      <c r="J2" s="227"/>
      <c r="K2" s="227"/>
      <c r="L2" s="227"/>
    </row>
    <row r="3" spans="1:13" ht="13">
      <c r="A3" s="382"/>
      <c r="B3" s="227"/>
      <c r="C3" s="227"/>
      <c r="D3" s="227"/>
      <c r="E3" s="961" t="s">
        <v>2712</v>
      </c>
      <c r="F3" s="958"/>
      <c r="G3" s="958"/>
      <c r="H3" s="227"/>
      <c r="I3" s="227"/>
      <c r="J3" s="227"/>
      <c r="K3" s="227"/>
      <c r="L3" s="227"/>
    </row>
    <row r="4" spans="1:13" ht="13">
      <c r="A4" s="382"/>
      <c r="B4" s="382" t="s">
        <v>320</v>
      </c>
      <c r="C4" s="227"/>
      <c r="D4" s="227"/>
      <c r="E4" s="1124"/>
      <c r="F4" s="227"/>
      <c r="G4" s="227"/>
      <c r="H4" s="227"/>
      <c r="I4" s="227"/>
      <c r="J4" s="227"/>
      <c r="K4" s="227"/>
      <c r="L4" s="227"/>
    </row>
    <row r="5" spans="1:13" ht="13">
      <c r="A5" s="382"/>
      <c r="B5" s="382"/>
      <c r="C5" s="227"/>
      <c r="D5" s="227"/>
      <c r="E5" s="227"/>
      <c r="F5" s="227"/>
      <c r="G5" s="227"/>
      <c r="H5" s="227"/>
      <c r="I5" s="227"/>
      <c r="J5" s="227"/>
      <c r="K5" s="227"/>
      <c r="L5" s="227"/>
    </row>
    <row r="6" spans="1:13" ht="13">
      <c r="A6" s="382"/>
      <c r="B6" s="463" t="s">
        <v>1525</v>
      </c>
      <c r="C6" s="227"/>
      <c r="D6" s="227"/>
      <c r="E6" s="227"/>
      <c r="F6" s="227"/>
      <c r="G6" s="227"/>
      <c r="H6" s="463"/>
      <c r="I6" s="858" t="s">
        <v>1713</v>
      </c>
      <c r="J6" s="857">
        <v>2020</v>
      </c>
      <c r="K6" s="227"/>
      <c r="L6" s="227"/>
    </row>
    <row r="7" spans="1:13" ht="13">
      <c r="A7" s="382"/>
      <c r="B7" s="463"/>
      <c r="C7" s="227"/>
      <c r="D7" s="227"/>
      <c r="E7" s="227"/>
      <c r="F7" s="227"/>
      <c r="G7" s="227"/>
      <c r="H7" s="227"/>
      <c r="I7" s="227"/>
      <c r="J7" s="227"/>
      <c r="K7" s="227"/>
      <c r="L7" s="227"/>
    </row>
    <row r="8" spans="1:13" ht="13">
      <c r="A8" s="382"/>
      <c r="B8" s="84" t="s">
        <v>358</v>
      </c>
      <c r="C8" s="84" t="s">
        <v>342</v>
      </c>
      <c r="D8" s="84" t="s">
        <v>343</v>
      </c>
      <c r="E8" s="84" t="s">
        <v>344</v>
      </c>
      <c r="F8" s="84" t="s">
        <v>345</v>
      </c>
      <c r="G8" s="84" t="s">
        <v>346</v>
      </c>
      <c r="H8" s="84" t="s">
        <v>347</v>
      </c>
      <c r="I8" s="84" t="s">
        <v>534</v>
      </c>
      <c r="J8" s="84" t="s">
        <v>949</v>
      </c>
      <c r="K8" s="84" t="s">
        <v>961</v>
      </c>
      <c r="L8" s="84" t="s">
        <v>964</v>
      </c>
      <c r="M8" s="84" t="s">
        <v>982</v>
      </c>
    </row>
    <row r="9" spans="1:13" ht="13">
      <c r="A9" s="227"/>
      <c r="B9" s="438"/>
      <c r="C9" s="227"/>
      <c r="D9" s="227"/>
      <c r="E9" s="227"/>
      <c r="F9" s="227"/>
      <c r="G9" s="227"/>
      <c r="H9" s="227"/>
      <c r="I9" s="227"/>
      <c r="J9" s="227"/>
      <c r="K9" s="227"/>
      <c r="M9" s="243" t="s">
        <v>1214</v>
      </c>
    </row>
    <row r="10" spans="1:13" ht="13">
      <c r="A10" s="227"/>
      <c r="B10" s="109"/>
      <c r="C10" s="84"/>
      <c r="D10" s="84"/>
      <c r="E10" s="227"/>
      <c r="F10" s="227"/>
      <c r="G10" s="227"/>
      <c r="H10" s="227"/>
      <c r="I10" s="227"/>
      <c r="J10" s="227"/>
      <c r="K10" s="227"/>
      <c r="L10" s="227"/>
    </row>
    <row r="11" spans="1:13" ht="13">
      <c r="A11" s="51" t="s">
        <v>329</v>
      </c>
      <c r="B11" s="122" t="s">
        <v>1748</v>
      </c>
      <c r="C11" s="84">
        <v>350.1</v>
      </c>
      <c r="D11" s="84">
        <v>350.2</v>
      </c>
      <c r="E11" s="84">
        <v>352</v>
      </c>
      <c r="F11" s="84">
        <v>353</v>
      </c>
      <c r="G11" s="84">
        <v>354</v>
      </c>
      <c r="H11" s="84">
        <v>355</v>
      </c>
      <c r="I11" s="84">
        <v>356</v>
      </c>
      <c r="J11" s="84">
        <v>357</v>
      </c>
      <c r="K11" s="84">
        <v>358</v>
      </c>
      <c r="L11" s="84">
        <v>359</v>
      </c>
      <c r="M11" s="3" t="s">
        <v>196</v>
      </c>
    </row>
    <row r="12" spans="1:13" ht="13">
      <c r="A12" s="549">
        <v>1</v>
      </c>
      <c r="B12" s="931" t="s">
        <v>2713</v>
      </c>
      <c r="C12" s="493">
        <v>88722950.062386677</v>
      </c>
      <c r="D12" s="546">
        <v>165732566.05861396</v>
      </c>
      <c r="E12" s="963">
        <v>741230571.25435066</v>
      </c>
      <c r="F12" s="493">
        <v>3714934155.6737089</v>
      </c>
      <c r="G12" s="493">
        <v>2305124777.8401799</v>
      </c>
      <c r="H12" s="493">
        <v>408001019.08888364</v>
      </c>
      <c r="I12" s="493">
        <v>1408013215.7482004</v>
      </c>
      <c r="J12" s="493">
        <v>215368701.52640039</v>
      </c>
      <c r="K12" s="493">
        <v>59251565.606308758</v>
      </c>
      <c r="L12" s="493">
        <v>179151598.49303469</v>
      </c>
      <c r="M12" s="229">
        <f t="shared" ref="M12:M24" si="0">SUM(C12:L12)</f>
        <v>9285531121.352066</v>
      </c>
    </row>
    <row r="13" spans="1:13" ht="13">
      <c r="A13" s="549">
        <f>A12+1</f>
        <v>2</v>
      </c>
      <c r="B13" s="700" t="s">
        <v>2714</v>
      </c>
      <c r="C13" s="231">
        <f>C131+C198 +C12</f>
        <v>88741307.183015674</v>
      </c>
      <c r="D13" s="231">
        <f>D131+D198 +D12</f>
        <v>166962652.99982244</v>
      </c>
      <c r="E13" s="231">
        <f t="shared" ref="E13:L13" si="1">E131+E198 +E12</f>
        <v>743980989.8689419</v>
      </c>
      <c r="F13" s="231">
        <f t="shared" si="1"/>
        <v>3719890313.5156889</v>
      </c>
      <c r="G13" s="231">
        <f t="shared" si="1"/>
        <v>2304291127.0573182</v>
      </c>
      <c r="H13" s="231">
        <f t="shared" si="1"/>
        <v>409647374.61278379</v>
      </c>
      <c r="I13" s="231">
        <f t="shared" si="1"/>
        <v>1409926314.7974291</v>
      </c>
      <c r="J13" s="231">
        <f t="shared" si="1"/>
        <v>215372650.83183208</v>
      </c>
      <c r="K13" s="231">
        <f t="shared" si="1"/>
        <v>59252614.940755896</v>
      </c>
      <c r="L13" s="231">
        <f t="shared" si="1"/>
        <v>178878476.00365421</v>
      </c>
      <c r="M13" s="229">
        <f>SUM(C13:L13)</f>
        <v>9296943821.8112431</v>
      </c>
    </row>
    <row r="14" spans="1:13" ht="13">
      <c r="A14" s="549">
        <f t="shared" ref="A14:A25" si="2">A13+1</f>
        <v>3</v>
      </c>
      <c r="B14" s="699" t="s">
        <v>2715</v>
      </c>
      <c r="C14" s="231">
        <f>C132+C199 +C13</f>
        <v>88740719.363015622</v>
      </c>
      <c r="D14" s="231">
        <f t="shared" ref="C14:D23" si="3">D132+D199 +D13</f>
        <v>166963240.81982243</v>
      </c>
      <c r="E14" s="231">
        <f t="shared" ref="E14:E23" si="4">E132+E199 +E13</f>
        <v>748061976.02673197</v>
      </c>
      <c r="F14" s="231">
        <f t="shared" ref="F14:F23" si="5">F132+F199 +F13</f>
        <v>3748148586.8118367</v>
      </c>
      <c r="G14" s="231">
        <f t="shared" ref="G14:G23" si="6">G132+G199 +G13</f>
        <v>2304241449.6258683</v>
      </c>
      <c r="H14" s="231">
        <f t="shared" ref="H14:H23" si="7">H132+H199 +H13</f>
        <v>411512894.32204264</v>
      </c>
      <c r="I14" s="231">
        <f t="shared" ref="I14:I23" si="8">I132+I199 +I13</f>
        <v>1410792034.8643653</v>
      </c>
      <c r="J14" s="231">
        <f t="shared" ref="J14:J23" si="9">J132+J199 +J13</f>
        <v>215377094.81208503</v>
      </c>
      <c r="K14" s="231">
        <f t="shared" ref="K14:K23" si="10">K132+K199 +K13</f>
        <v>59253758.121466726</v>
      </c>
      <c r="L14" s="231">
        <f t="shared" ref="L14:L23" si="11">L132+L199 +L13</f>
        <v>178986015.38301054</v>
      </c>
      <c r="M14" s="229">
        <f>SUM(C14:L14)</f>
        <v>9332077770.1502457</v>
      </c>
    </row>
    <row r="15" spans="1:13" ht="13">
      <c r="A15" s="549">
        <f t="shared" si="2"/>
        <v>4</v>
      </c>
      <c r="B15" s="699" t="s">
        <v>2716</v>
      </c>
      <c r="C15" s="231">
        <f t="shared" si="3"/>
        <v>88749426.501645014</v>
      </c>
      <c r="D15" s="231">
        <f t="shared" si="3"/>
        <v>166968727.27847999</v>
      </c>
      <c r="E15" s="231">
        <f t="shared" si="4"/>
        <v>750916146.14378583</v>
      </c>
      <c r="F15" s="231">
        <f t="shared" si="5"/>
        <v>3758782092.8721948</v>
      </c>
      <c r="G15" s="231">
        <f t="shared" si="6"/>
        <v>2304999312.5660019</v>
      </c>
      <c r="H15" s="231">
        <f t="shared" si="7"/>
        <v>413785511.70263821</v>
      </c>
      <c r="I15" s="231">
        <f t="shared" si="8"/>
        <v>1411877248.8816786</v>
      </c>
      <c r="J15" s="231">
        <f t="shared" si="9"/>
        <v>215385546.78872225</v>
      </c>
      <c r="K15" s="231">
        <f t="shared" si="10"/>
        <v>59260382.175048292</v>
      </c>
      <c r="L15" s="231">
        <f t="shared" si="11"/>
        <v>178953130.43827477</v>
      </c>
      <c r="M15" s="229">
        <f t="shared" si="0"/>
        <v>9349677525.3484707</v>
      </c>
    </row>
    <row r="16" spans="1:13" ht="13">
      <c r="A16" s="549">
        <f t="shared" si="2"/>
        <v>5</v>
      </c>
      <c r="B16" s="700" t="s">
        <v>2717</v>
      </c>
      <c r="C16" s="231">
        <f>C134+C201 +C15</f>
        <v>88831816.93421562</v>
      </c>
      <c r="D16" s="231">
        <f t="shared" si="3"/>
        <v>166969595.14555198</v>
      </c>
      <c r="E16" s="231">
        <f t="shared" si="4"/>
        <v>758183935.76359642</v>
      </c>
      <c r="F16" s="231">
        <f t="shared" si="5"/>
        <v>3768702225.5028944</v>
      </c>
      <c r="G16" s="231">
        <f t="shared" si="6"/>
        <v>2308741647.4917316</v>
      </c>
      <c r="H16" s="231">
        <f t="shared" si="7"/>
        <v>414860803.19063449</v>
      </c>
      <c r="I16" s="231">
        <f t="shared" si="8"/>
        <v>1413157075.2171009</v>
      </c>
      <c r="J16" s="231">
        <f t="shared" si="9"/>
        <v>215395001.08338583</v>
      </c>
      <c r="K16" s="231">
        <f t="shared" si="10"/>
        <v>59258323.314141169</v>
      </c>
      <c r="L16" s="231">
        <f t="shared" si="11"/>
        <v>178922566.42889923</v>
      </c>
      <c r="M16" s="229">
        <f t="shared" si="0"/>
        <v>9373022990.0721512</v>
      </c>
    </row>
    <row r="17" spans="1:15" ht="13">
      <c r="A17" s="549">
        <f t="shared" si="2"/>
        <v>6</v>
      </c>
      <c r="B17" s="699" t="s">
        <v>2718</v>
      </c>
      <c r="C17" s="231">
        <f t="shared" si="3"/>
        <v>88896465.59750697</v>
      </c>
      <c r="D17" s="231">
        <f t="shared" si="3"/>
        <v>166967707.30750874</v>
      </c>
      <c r="E17" s="231">
        <f t="shared" si="4"/>
        <v>776958875.65458</v>
      </c>
      <c r="F17" s="231">
        <f t="shared" si="5"/>
        <v>3798012794.2677789</v>
      </c>
      <c r="G17" s="231">
        <f t="shared" si="6"/>
        <v>2308858363.2807703</v>
      </c>
      <c r="H17" s="231">
        <f t="shared" si="7"/>
        <v>415441322.25277275</v>
      </c>
      <c r="I17" s="231">
        <f t="shared" si="8"/>
        <v>1413442371.1347528</v>
      </c>
      <c r="J17" s="231">
        <f t="shared" si="9"/>
        <v>215396423.13163251</v>
      </c>
      <c r="K17" s="231">
        <f t="shared" si="10"/>
        <v>59258755.452746741</v>
      </c>
      <c r="L17" s="231">
        <f t="shared" si="11"/>
        <v>178932930.34611958</v>
      </c>
      <c r="M17" s="229">
        <f t="shared" si="0"/>
        <v>9422166008.4261684</v>
      </c>
    </row>
    <row r="18" spans="1:15" ht="13">
      <c r="A18" s="549">
        <f t="shared" si="2"/>
        <v>7</v>
      </c>
      <c r="B18" s="699" t="s">
        <v>2719</v>
      </c>
      <c r="C18" s="231">
        <f t="shared" si="3"/>
        <v>88910180.127506971</v>
      </c>
      <c r="D18" s="231">
        <f t="shared" si="3"/>
        <v>166968401.0510698</v>
      </c>
      <c r="E18" s="231">
        <f t="shared" si="4"/>
        <v>769760702.89704275</v>
      </c>
      <c r="F18" s="231">
        <f t="shared" si="5"/>
        <v>3835575955.8590183</v>
      </c>
      <c r="G18" s="231">
        <f t="shared" si="6"/>
        <v>2312716597.8183851</v>
      </c>
      <c r="H18" s="231">
        <f t="shared" si="7"/>
        <v>424312247.26588607</v>
      </c>
      <c r="I18" s="231">
        <f t="shared" si="8"/>
        <v>1413488437.2343235</v>
      </c>
      <c r="J18" s="231">
        <f t="shared" si="9"/>
        <v>215400742.10586932</v>
      </c>
      <c r="K18" s="231">
        <f t="shared" si="10"/>
        <v>59263830.266900092</v>
      </c>
      <c r="L18" s="231">
        <f t="shared" si="11"/>
        <v>179183039.93185785</v>
      </c>
      <c r="M18" s="229">
        <f t="shared" si="0"/>
        <v>9465580134.5578613</v>
      </c>
    </row>
    <row r="19" spans="1:15" ht="13">
      <c r="A19" s="549">
        <f t="shared" si="2"/>
        <v>8</v>
      </c>
      <c r="B19" s="700" t="s">
        <v>2720</v>
      </c>
      <c r="C19" s="231">
        <f t="shared" si="3"/>
        <v>88920673.787506893</v>
      </c>
      <c r="D19" s="231">
        <f t="shared" si="3"/>
        <v>166969169.49106979</v>
      </c>
      <c r="E19" s="231">
        <f t="shared" si="4"/>
        <v>794178462.83732998</v>
      </c>
      <c r="F19" s="231">
        <f t="shared" si="5"/>
        <v>3845663688.413105</v>
      </c>
      <c r="G19" s="231">
        <f t="shared" si="6"/>
        <v>2313723786.4311733</v>
      </c>
      <c r="H19" s="231">
        <f t="shared" si="7"/>
        <v>425343146.44567668</v>
      </c>
      <c r="I19" s="231">
        <f t="shared" si="8"/>
        <v>1414833019.4271023</v>
      </c>
      <c r="J19" s="231">
        <f t="shared" si="9"/>
        <v>215403423.10418692</v>
      </c>
      <c r="K19" s="231">
        <f t="shared" si="10"/>
        <v>59264176.487589054</v>
      </c>
      <c r="L19" s="231">
        <f t="shared" si="11"/>
        <v>179250903.424485</v>
      </c>
      <c r="M19" s="229">
        <f t="shared" si="0"/>
        <v>9503550449.8492241</v>
      </c>
    </row>
    <row r="20" spans="1:15" ht="13">
      <c r="A20" s="549">
        <f t="shared" si="2"/>
        <v>9</v>
      </c>
      <c r="B20" s="699" t="s">
        <v>2721</v>
      </c>
      <c r="C20" s="231">
        <f t="shared" si="3"/>
        <v>88920071.507506892</v>
      </c>
      <c r="D20" s="231">
        <f t="shared" si="3"/>
        <v>166970879.58900836</v>
      </c>
      <c r="E20" s="231">
        <f t="shared" si="4"/>
        <v>796501378.22452569</v>
      </c>
      <c r="F20" s="231">
        <f t="shared" si="5"/>
        <v>3898562810.6727595</v>
      </c>
      <c r="G20" s="231">
        <f t="shared" si="6"/>
        <v>2321211368.6332693</v>
      </c>
      <c r="H20" s="231">
        <f t="shared" si="7"/>
        <v>424863667.44904679</v>
      </c>
      <c r="I20" s="231">
        <f t="shared" si="8"/>
        <v>1414052510.9152007</v>
      </c>
      <c r="J20" s="231">
        <f t="shared" si="9"/>
        <v>215406132.01264757</v>
      </c>
      <c r="K20" s="231">
        <f t="shared" si="10"/>
        <v>59265582.683329627</v>
      </c>
      <c r="L20" s="231">
        <f t="shared" si="11"/>
        <v>179209604.88069525</v>
      </c>
      <c r="M20" s="229">
        <f t="shared" si="0"/>
        <v>9564964006.5679913</v>
      </c>
    </row>
    <row r="21" spans="1:15" ht="13">
      <c r="A21" s="549">
        <f t="shared" si="2"/>
        <v>10</v>
      </c>
      <c r="B21" s="699" t="s">
        <v>2722</v>
      </c>
      <c r="C21" s="231">
        <f t="shared" si="3"/>
        <v>88920071.617506891</v>
      </c>
      <c r="D21" s="231">
        <f t="shared" si="3"/>
        <v>166982524.89501318</v>
      </c>
      <c r="E21" s="231">
        <f t="shared" si="4"/>
        <v>799901216.59626353</v>
      </c>
      <c r="F21" s="231">
        <f t="shared" si="5"/>
        <v>3912169017.295743</v>
      </c>
      <c r="G21" s="231">
        <f t="shared" si="6"/>
        <v>2318768399.5329771</v>
      </c>
      <c r="H21" s="231">
        <f t="shared" si="7"/>
        <v>426262752.07681221</v>
      </c>
      <c r="I21" s="231">
        <f t="shared" si="8"/>
        <v>1413709717.7686784</v>
      </c>
      <c r="J21" s="231">
        <f t="shared" si="9"/>
        <v>215410617.62585068</v>
      </c>
      <c r="K21" s="231">
        <f t="shared" si="10"/>
        <v>59267114.308641575</v>
      </c>
      <c r="L21" s="231">
        <f t="shared" si="11"/>
        <v>179111943.78944454</v>
      </c>
      <c r="M21" s="229">
        <f t="shared" si="0"/>
        <v>9580503375.5069294</v>
      </c>
    </row>
    <row r="22" spans="1:15" ht="13">
      <c r="A22" s="549">
        <f t="shared" si="2"/>
        <v>11</v>
      </c>
      <c r="B22" s="700" t="s">
        <v>2723</v>
      </c>
      <c r="C22" s="231">
        <f t="shared" si="3"/>
        <v>88942153.917506918</v>
      </c>
      <c r="D22" s="231">
        <f t="shared" si="3"/>
        <v>167007304.38528082</v>
      </c>
      <c r="E22" s="231">
        <f t="shared" si="4"/>
        <v>802239738.13924849</v>
      </c>
      <c r="F22" s="231">
        <f t="shared" si="5"/>
        <v>3917286472.4661717</v>
      </c>
      <c r="G22" s="231">
        <f t="shared" si="6"/>
        <v>2298693752.5199437</v>
      </c>
      <c r="H22" s="231">
        <f t="shared" si="7"/>
        <v>428529287.45462382</v>
      </c>
      <c r="I22" s="231">
        <f t="shared" si="8"/>
        <v>1424762592.3306279</v>
      </c>
      <c r="J22" s="231">
        <f t="shared" si="9"/>
        <v>215417102.26480165</v>
      </c>
      <c r="K22" s="231">
        <f t="shared" si="10"/>
        <v>59270552.079089716</v>
      </c>
      <c r="L22" s="231">
        <f t="shared" si="11"/>
        <v>192283678.2933422</v>
      </c>
      <c r="M22" s="229">
        <f t="shared" si="0"/>
        <v>9594432633.8506374</v>
      </c>
    </row>
    <row r="23" spans="1:15" ht="13">
      <c r="A23" s="549">
        <f t="shared" si="2"/>
        <v>12</v>
      </c>
      <c r="B23" s="700" t="s">
        <v>2724</v>
      </c>
      <c r="C23" s="231">
        <f t="shared" si="3"/>
        <v>88945939.08750692</v>
      </c>
      <c r="D23" s="231">
        <f t="shared" si="3"/>
        <v>167008481.21528083</v>
      </c>
      <c r="E23" s="231">
        <f t="shared" si="4"/>
        <v>804793718.97257936</v>
      </c>
      <c r="F23" s="231">
        <f t="shared" si="5"/>
        <v>3944218834.4683685</v>
      </c>
      <c r="G23" s="231">
        <f t="shared" si="6"/>
        <v>2299336562.8785391</v>
      </c>
      <c r="H23" s="231">
        <f t="shared" si="7"/>
        <v>429179961.39067507</v>
      </c>
      <c r="I23" s="231">
        <f t="shared" si="8"/>
        <v>1425243572.5835612</v>
      </c>
      <c r="J23" s="231">
        <f t="shared" si="9"/>
        <v>215420918.98423791</v>
      </c>
      <c r="K23" s="231">
        <f t="shared" si="10"/>
        <v>59269675.758342721</v>
      </c>
      <c r="L23" s="231">
        <f t="shared" si="11"/>
        <v>192079367.22132963</v>
      </c>
      <c r="M23" s="229">
        <f t="shared" si="0"/>
        <v>9625497032.5604191</v>
      </c>
    </row>
    <row r="24" spans="1:15" ht="13">
      <c r="A24" s="549">
        <f t="shared" si="2"/>
        <v>13</v>
      </c>
      <c r="B24" s="699" t="s">
        <v>2725</v>
      </c>
      <c r="C24" s="115">
        <v>88947677.147506893</v>
      </c>
      <c r="D24" s="115">
        <v>166997788.6995331</v>
      </c>
      <c r="E24" s="445">
        <f>'7-PlantStudy'!E10</f>
        <v>804153066.44668055</v>
      </c>
      <c r="F24" s="445">
        <f>'7-PlantStudy'!E11</f>
        <v>3951945554.2101927</v>
      </c>
      <c r="G24" s="445">
        <f>'7-PlantStudy'!E20</f>
        <v>2302122819.4770331</v>
      </c>
      <c r="H24" s="445">
        <f>'7-PlantStudy'!E21</f>
        <v>431972729.20086581</v>
      </c>
      <c r="I24" s="445">
        <f>'7-PlantStudy'!E22</f>
        <v>1449635757.7995038</v>
      </c>
      <c r="J24" s="445">
        <f>'7-PlantStudy'!E23</f>
        <v>215412775.95431966</v>
      </c>
      <c r="K24" s="445">
        <f>'7-PlantStudy'!E24</f>
        <v>59261609.025810957</v>
      </c>
      <c r="L24" s="445">
        <f>'7-PlantStudy'!E25</f>
        <v>192098212.92509732</v>
      </c>
      <c r="M24" s="360">
        <f t="shared" si="0"/>
        <v>9662547990.8865414</v>
      </c>
      <c r="O24" s="1"/>
    </row>
    <row r="25" spans="1:15" ht="13">
      <c r="A25" s="549">
        <f t="shared" si="2"/>
        <v>14</v>
      </c>
      <c r="B25" s="1049" t="s">
        <v>1180</v>
      </c>
      <c r="C25" s="229">
        <f>AVERAGE(C12:C24)</f>
        <v>88860727.141102612</v>
      </c>
      <c r="D25" s="229">
        <f t="shared" ref="D25:M25" si="12">AVERAGE(D12:D24)</f>
        <v>166882233.76431194</v>
      </c>
      <c r="E25" s="229">
        <f t="shared" si="12"/>
        <v>776220059.90966594</v>
      </c>
      <c r="F25" s="229">
        <f t="shared" si="12"/>
        <v>3831837884.7714968</v>
      </c>
      <c r="G25" s="229">
        <f t="shared" si="12"/>
        <v>2307909997.3194761</v>
      </c>
      <c r="H25" s="229">
        <f t="shared" si="12"/>
        <v>420285593.57333398</v>
      </c>
      <c r="I25" s="229">
        <f t="shared" si="12"/>
        <v>1417148759.1309636</v>
      </c>
      <c r="J25" s="229">
        <f t="shared" si="12"/>
        <v>215397471.55584398</v>
      </c>
      <c r="K25" s="229">
        <f t="shared" si="12"/>
        <v>59261380.016936265</v>
      </c>
      <c r="L25" s="229">
        <f t="shared" si="12"/>
        <v>182080112.88917267</v>
      </c>
      <c r="M25" s="229">
        <f t="shared" si="12"/>
        <v>9465884220.0723038</v>
      </c>
    </row>
    <row r="26" spans="1:15">
      <c r="A26" s="463"/>
      <c r="B26" s="463"/>
      <c r="C26" s="463"/>
      <c r="D26" s="463"/>
      <c r="E26" s="463"/>
      <c r="F26" s="463"/>
      <c r="G26" s="463"/>
      <c r="H26" s="463"/>
      <c r="I26" s="463"/>
      <c r="J26" s="463"/>
      <c r="K26" s="463"/>
      <c r="L26" s="463"/>
    </row>
    <row r="27" spans="1:15" ht="13">
      <c r="A27" s="463"/>
      <c r="B27" s="382" t="s">
        <v>321</v>
      </c>
      <c r="C27" s="463"/>
      <c r="D27" s="463"/>
      <c r="E27" s="463"/>
      <c r="F27" s="463"/>
      <c r="G27" s="463"/>
      <c r="H27" s="463"/>
      <c r="I27" s="463"/>
      <c r="J27" s="463"/>
      <c r="K27" s="463"/>
      <c r="L27" s="463"/>
    </row>
    <row r="28" spans="1:15" ht="13">
      <c r="A28" s="463"/>
      <c r="B28" s="382"/>
      <c r="C28" s="463"/>
      <c r="D28" s="463"/>
      <c r="E28" s="463"/>
      <c r="F28" s="463"/>
      <c r="G28" s="463"/>
      <c r="H28" s="463"/>
      <c r="I28" s="463"/>
      <c r="J28" s="463"/>
      <c r="K28" s="463"/>
      <c r="L28" s="463"/>
    </row>
    <row r="29" spans="1:15">
      <c r="A29" s="463"/>
      <c r="B29" s="235" t="s">
        <v>1714</v>
      </c>
      <c r="C29" s="465"/>
      <c r="D29" s="465"/>
      <c r="E29" s="465"/>
      <c r="F29" s="465"/>
      <c r="G29" s="465"/>
      <c r="H29" s="465"/>
      <c r="I29" s="463"/>
      <c r="J29" s="463"/>
      <c r="K29" s="463"/>
      <c r="L29" s="463"/>
    </row>
    <row r="30" spans="1:15" ht="13">
      <c r="A30" s="463"/>
      <c r="B30" s="382"/>
      <c r="C30" s="463"/>
      <c r="D30" s="463"/>
      <c r="E30" s="463"/>
      <c r="F30" s="463"/>
      <c r="G30" s="463"/>
      <c r="H30" s="463"/>
      <c r="I30" s="463"/>
      <c r="J30" s="463"/>
      <c r="K30" s="463"/>
      <c r="L30" s="463"/>
    </row>
    <row r="31" spans="1:15" ht="13">
      <c r="A31" s="382"/>
      <c r="B31" s="84" t="s">
        <v>358</v>
      </c>
      <c r="C31" s="84" t="s">
        <v>342</v>
      </c>
      <c r="D31" s="84" t="s">
        <v>343</v>
      </c>
      <c r="E31" s="84" t="s">
        <v>344</v>
      </c>
      <c r="F31" s="84" t="s">
        <v>345</v>
      </c>
      <c r="G31" s="463"/>
      <c r="H31" s="463"/>
      <c r="I31" s="463"/>
      <c r="J31" s="463"/>
      <c r="K31" s="463"/>
      <c r="L31" s="463"/>
    </row>
    <row r="32" spans="1:15">
      <c r="A32" s="227"/>
      <c r="B32" s="243"/>
      <c r="C32" s="227"/>
      <c r="D32" s="227"/>
      <c r="E32" s="227"/>
      <c r="F32" s="243" t="s">
        <v>1181</v>
      </c>
      <c r="G32" s="463"/>
      <c r="H32" s="463"/>
      <c r="K32" s="463"/>
      <c r="L32" s="463"/>
    </row>
    <row r="33" spans="1:12" ht="13">
      <c r="A33" s="227"/>
      <c r="B33" s="109"/>
      <c r="C33" s="84"/>
      <c r="D33" s="84"/>
      <c r="E33" s="227"/>
      <c r="F33" s="227"/>
      <c r="G33" s="463"/>
      <c r="H33" s="463"/>
      <c r="K33" s="463"/>
      <c r="L33" s="463"/>
    </row>
    <row r="34" spans="1:12" ht="12.75" customHeight="1">
      <c r="A34" s="51" t="s">
        <v>329</v>
      </c>
      <c r="B34" s="122" t="s">
        <v>1748</v>
      </c>
      <c r="C34" s="361">
        <v>360</v>
      </c>
      <c r="D34" s="361">
        <v>361</v>
      </c>
      <c r="E34" s="361">
        <v>362</v>
      </c>
      <c r="F34" s="3" t="s">
        <v>196</v>
      </c>
      <c r="G34" s="463"/>
      <c r="H34" s="463"/>
      <c r="K34" s="463"/>
      <c r="L34" s="463"/>
    </row>
    <row r="35" spans="1:12" ht="12.75" customHeight="1">
      <c r="A35" s="549">
        <f>A25+1</f>
        <v>15</v>
      </c>
      <c r="B35" s="699" t="s">
        <v>2713</v>
      </c>
      <c r="C35" s="963">
        <v>0</v>
      </c>
      <c r="D35" s="963">
        <v>0</v>
      </c>
      <c r="E35" s="963">
        <v>0</v>
      </c>
      <c r="F35" s="229">
        <f>SUM(C35:E35)</f>
        <v>0</v>
      </c>
      <c r="G35" s="463"/>
      <c r="H35" s="463"/>
      <c r="K35" s="463"/>
      <c r="L35" s="463"/>
    </row>
    <row r="36" spans="1:12" ht="12.75" customHeight="1">
      <c r="A36" s="549">
        <f>A35+1</f>
        <v>16</v>
      </c>
      <c r="B36" s="699" t="s">
        <v>2725</v>
      </c>
      <c r="C36" s="384">
        <v>0</v>
      </c>
      <c r="D36" s="384">
        <v>0</v>
      </c>
      <c r="E36" s="384">
        <v>0</v>
      </c>
      <c r="F36" s="360">
        <f>SUM(C36:E36)</f>
        <v>0</v>
      </c>
      <c r="G36" s="463"/>
      <c r="H36" s="463"/>
      <c r="K36" s="463"/>
      <c r="L36" s="463"/>
    </row>
    <row r="37" spans="1:12" ht="12.75" customHeight="1">
      <c r="A37" s="549">
        <f>A36+1</f>
        <v>17</v>
      </c>
      <c r="B37" s="1049" t="s">
        <v>1182</v>
      </c>
      <c r="C37" s="229">
        <f>AVERAGE(C35:C36)</f>
        <v>0</v>
      </c>
      <c r="D37" s="229">
        <f>AVERAGE(D35:D36)</f>
        <v>0</v>
      </c>
      <c r="E37" s="229">
        <f>AVERAGE(E35:E36)</f>
        <v>0</v>
      </c>
      <c r="F37" s="229">
        <f>AVERAGE(F35:F36)</f>
        <v>0</v>
      </c>
      <c r="G37" s="463"/>
      <c r="H37" s="463"/>
      <c r="K37" s="463"/>
      <c r="L37" s="463"/>
    </row>
    <row r="38" spans="1:12" ht="12.75" customHeight="1">
      <c r="A38" s="463"/>
      <c r="B38" s="463"/>
      <c r="C38" s="463"/>
      <c r="D38" s="463"/>
      <c r="E38" s="463"/>
      <c r="F38" s="463"/>
      <c r="G38" s="463"/>
      <c r="H38" s="463"/>
      <c r="K38" s="463"/>
      <c r="L38" s="463"/>
    </row>
    <row r="39" spans="1:12" ht="13">
      <c r="A39" s="463"/>
      <c r="B39" s="1" t="s">
        <v>1044</v>
      </c>
      <c r="C39" s="615"/>
      <c r="D39" s="615"/>
      <c r="E39" s="1050"/>
      <c r="F39" s="1051"/>
      <c r="G39" s="1052"/>
      <c r="H39" s="463"/>
      <c r="K39" s="463"/>
      <c r="L39" s="463"/>
    </row>
    <row r="40" spans="1:12" ht="13">
      <c r="A40" s="463"/>
      <c r="B40" s="463" t="s">
        <v>1045</v>
      </c>
      <c r="C40" s="615"/>
      <c r="D40" s="615"/>
      <c r="E40" s="1050"/>
      <c r="F40" s="1051"/>
      <c r="G40" s="1052"/>
      <c r="H40" s="463"/>
      <c r="K40" s="463"/>
      <c r="L40" s="463"/>
    </row>
    <row r="41" spans="1:12" ht="13">
      <c r="A41" s="463"/>
      <c r="B41" s="463"/>
      <c r="C41" s="615"/>
      <c r="D41" s="615"/>
      <c r="E41" s="1050"/>
      <c r="F41" s="1051"/>
      <c r="G41" s="1052"/>
      <c r="H41" s="463"/>
      <c r="K41" s="463"/>
      <c r="L41" s="463"/>
    </row>
    <row r="42" spans="1:12" ht="13">
      <c r="A42" s="463"/>
      <c r="B42" s="463"/>
      <c r="C42" s="615"/>
      <c r="D42" s="1053" t="s">
        <v>175</v>
      </c>
      <c r="E42" s="1054" t="s">
        <v>179</v>
      </c>
      <c r="F42" s="1051"/>
      <c r="G42" s="1052"/>
      <c r="H42" s="463"/>
      <c r="K42" s="463"/>
      <c r="L42" s="463"/>
    </row>
    <row r="43" spans="1:12" ht="13">
      <c r="A43" s="549">
        <f>A37+1</f>
        <v>18</v>
      </c>
      <c r="B43" s="463"/>
      <c r="C43" s="1050" t="s">
        <v>322</v>
      </c>
      <c r="D43" s="1051">
        <f>M25+F37</f>
        <v>9465884220.0723038</v>
      </c>
      <c r="E43" s="1055" t="str">
        <f>"Sum of Line "&amp;A25&amp;", "&amp;M8&amp;" and Line "&amp;A37&amp;", "&amp;F31&amp;""</f>
        <v>Sum of Line 14, Col 12 and Line 17, Col 5</v>
      </c>
      <c r="F43" s="463"/>
      <c r="G43" s="463"/>
      <c r="H43" s="465"/>
      <c r="K43" s="463"/>
      <c r="L43" s="463"/>
    </row>
    <row r="44" spans="1:12" ht="13">
      <c r="A44" s="549">
        <f>A43+1</f>
        <v>19</v>
      </c>
      <c r="B44" s="463"/>
      <c r="C44" s="1050" t="s">
        <v>156</v>
      </c>
      <c r="D44" s="1051">
        <f>M24+F36</f>
        <v>9662547990.8865414</v>
      </c>
      <c r="E44" s="1055" t="str">
        <f>"Sum of Line "&amp;A24&amp;", "&amp;M8&amp;" and Line "&amp;A36&amp;", "&amp;F31&amp;""</f>
        <v>Sum of Line 13, Col 12 and Line 16, Col 5</v>
      </c>
      <c r="F44" s="463"/>
      <c r="G44" s="463"/>
      <c r="H44" s="465"/>
      <c r="I44" s="463"/>
      <c r="J44" s="463"/>
      <c r="K44" s="463"/>
      <c r="L44" s="463"/>
    </row>
    <row r="45" spans="1:12" ht="13">
      <c r="A45" s="463"/>
      <c r="B45" s="463"/>
      <c r="C45" s="615"/>
      <c r="D45" s="615"/>
      <c r="E45" s="1056"/>
      <c r="F45" s="1057"/>
      <c r="G45" s="1058"/>
      <c r="H45" s="463"/>
      <c r="I45" s="463"/>
      <c r="J45" s="463"/>
      <c r="K45" s="463"/>
      <c r="L45" s="463"/>
    </row>
    <row r="46" spans="1:12" ht="13">
      <c r="A46" s="463"/>
      <c r="B46" s="1" t="s">
        <v>1715</v>
      </c>
      <c r="C46" s="463"/>
      <c r="D46" s="463"/>
      <c r="E46" s="1056"/>
      <c r="F46" s="1057"/>
      <c r="G46" s="1058"/>
      <c r="H46" s="463"/>
      <c r="I46" s="463"/>
      <c r="J46" s="463"/>
      <c r="K46" s="463"/>
      <c r="L46" s="463"/>
    </row>
    <row r="47" spans="1:12">
      <c r="A47" s="463"/>
      <c r="B47" s="467" t="s">
        <v>303</v>
      </c>
      <c r="C47" s="463"/>
      <c r="D47" s="463"/>
      <c r="E47" s="1056"/>
      <c r="F47" s="1057"/>
      <c r="G47" s="1058"/>
      <c r="H47" s="463"/>
      <c r="I47" s="463"/>
      <c r="J47" s="463"/>
      <c r="K47" s="463"/>
      <c r="L47" s="463"/>
    </row>
    <row r="48" spans="1:12" ht="12.75" customHeight="1">
      <c r="A48" s="463"/>
      <c r="B48" s="467"/>
      <c r="C48" s="463"/>
      <c r="D48" s="463"/>
      <c r="E48" s="1056"/>
      <c r="F48" s="1057"/>
      <c r="G48" s="1058"/>
      <c r="H48" s="463"/>
      <c r="I48" s="463"/>
      <c r="J48" s="463"/>
      <c r="K48" s="463"/>
      <c r="L48" s="463"/>
    </row>
    <row r="49" spans="1:12" ht="13">
      <c r="A49" s="463"/>
      <c r="B49" s="1"/>
      <c r="C49" s="243" t="s">
        <v>359</v>
      </c>
      <c r="D49" s="463"/>
      <c r="E49" s="1056"/>
      <c r="F49" s="84" t="s">
        <v>358</v>
      </c>
      <c r="G49" s="84" t="s">
        <v>342</v>
      </c>
      <c r="H49" s="84" t="s">
        <v>343</v>
      </c>
      <c r="I49" s="463"/>
      <c r="J49" s="463"/>
      <c r="K49" s="463"/>
      <c r="L49" s="463"/>
    </row>
    <row r="50" spans="1:12" ht="13">
      <c r="A50" s="463"/>
      <c r="B50" s="1"/>
      <c r="C50" s="549" t="s">
        <v>402</v>
      </c>
      <c r="D50" s="1056"/>
      <c r="F50" s="549" t="s">
        <v>1201</v>
      </c>
      <c r="G50" s="549" t="s">
        <v>1202</v>
      </c>
      <c r="H50" s="1038" t="s">
        <v>196</v>
      </c>
      <c r="I50" s="1058"/>
      <c r="J50" s="463"/>
      <c r="K50" s="463"/>
      <c r="L50" s="463"/>
    </row>
    <row r="51" spans="1:12" ht="13">
      <c r="A51" s="463"/>
      <c r="B51" s="463"/>
      <c r="C51" s="549" t="s">
        <v>193</v>
      </c>
      <c r="D51" s="622" t="s">
        <v>194</v>
      </c>
      <c r="F51" s="622" t="s">
        <v>371</v>
      </c>
      <c r="G51" s="622" t="s">
        <v>371</v>
      </c>
      <c r="H51" s="622" t="s">
        <v>1183</v>
      </c>
      <c r="I51" s="622"/>
      <c r="J51" s="463"/>
      <c r="K51" s="463"/>
      <c r="L51" s="463"/>
    </row>
    <row r="52" spans="1:12" ht="13">
      <c r="A52" s="463"/>
      <c r="B52" s="463"/>
      <c r="C52" s="3" t="s">
        <v>192</v>
      </c>
      <c r="D52" s="607" t="s">
        <v>179</v>
      </c>
      <c r="F52" s="619" t="s">
        <v>2</v>
      </c>
      <c r="G52" s="619" t="s">
        <v>2</v>
      </c>
      <c r="H52" s="619" t="s">
        <v>2</v>
      </c>
      <c r="I52" s="1059" t="s">
        <v>168</v>
      </c>
      <c r="J52" s="463"/>
      <c r="K52" s="463"/>
      <c r="L52" s="463"/>
    </row>
    <row r="53" spans="1:12" ht="13">
      <c r="A53" s="549">
        <f>A44+1</f>
        <v>20</v>
      </c>
      <c r="B53" s="463"/>
      <c r="C53" s="604" t="s">
        <v>180</v>
      </c>
      <c r="D53" s="1037" t="s">
        <v>1203</v>
      </c>
      <c r="F53" s="977">
        <v>3238857833</v>
      </c>
      <c r="G53" s="493">
        <v>1253827471</v>
      </c>
      <c r="H53" s="1051">
        <f>SUM(F53:G53)</f>
        <v>4492685304</v>
      </c>
      <c r="I53" s="1037" t="s">
        <v>1716</v>
      </c>
      <c r="J53" s="465"/>
      <c r="K53" s="463"/>
      <c r="L53" s="463"/>
    </row>
    <row r="54" spans="1:12" ht="12.75" customHeight="1">
      <c r="A54" s="549">
        <f>A53+1</f>
        <v>21</v>
      </c>
      <c r="B54" s="463"/>
      <c r="C54" s="611" t="s">
        <v>180</v>
      </c>
      <c r="D54" s="1037" t="s">
        <v>1743</v>
      </c>
      <c r="E54" s="14"/>
      <c r="F54" s="977">
        <v>3458659697</v>
      </c>
      <c r="G54" s="493">
        <v>1587005797</v>
      </c>
      <c r="H54" s="1051">
        <f>SUM(F54:G54)</f>
        <v>5045665494</v>
      </c>
      <c r="I54" s="462" t="s">
        <v>1717</v>
      </c>
      <c r="J54" s="465"/>
      <c r="K54" s="463"/>
      <c r="L54" s="463"/>
    </row>
    <row r="55" spans="1:12" ht="12.75" customHeight="1">
      <c r="A55" s="463"/>
      <c r="B55" s="463"/>
      <c r="C55" s="611"/>
      <c r="D55" s="1060"/>
      <c r="E55" s="1061"/>
      <c r="F55" s="1051"/>
      <c r="G55" s="467"/>
      <c r="H55" s="463"/>
      <c r="I55" s="463"/>
      <c r="J55" s="463"/>
      <c r="K55" s="463"/>
      <c r="L55" s="463"/>
    </row>
    <row r="56" spans="1:12" ht="12.75" customHeight="1">
      <c r="A56" s="463"/>
      <c r="B56" s="463"/>
      <c r="C56" s="615" t="s">
        <v>1205</v>
      </c>
      <c r="D56" s="615"/>
      <c r="E56" s="1056"/>
      <c r="F56" s="1054" t="s">
        <v>175</v>
      </c>
      <c r="G56" s="1062" t="s">
        <v>179</v>
      </c>
      <c r="H56" s="463"/>
      <c r="I56" s="463"/>
      <c r="J56" s="463"/>
      <c r="K56" s="463"/>
      <c r="L56" s="463"/>
    </row>
    <row r="57" spans="1:12" ht="13">
      <c r="A57" s="549">
        <f>A54+1</f>
        <v>22</v>
      </c>
      <c r="B57" s="463"/>
      <c r="C57" s="615"/>
      <c r="D57" s="615"/>
      <c r="E57" s="1050" t="s">
        <v>84</v>
      </c>
      <c r="F57" s="1051">
        <f>(H53+H54)/2</f>
        <v>4769175399</v>
      </c>
      <c r="G57" s="499" t="str">
        <f>"Average of Line "&amp;A53&amp;" and "&amp;A54&amp;"."</f>
        <v>Average of Line 20 and 21.</v>
      </c>
      <c r="H57" s="463"/>
      <c r="I57" s="465"/>
      <c r="J57" s="463"/>
      <c r="K57" s="463"/>
      <c r="L57" s="463"/>
    </row>
    <row r="58" spans="1:12" ht="13">
      <c r="A58" s="549">
        <f>A57+1</f>
        <v>23</v>
      </c>
      <c r="B58" s="463"/>
      <c r="C58" s="615"/>
      <c r="D58" s="615"/>
      <c r="E58" s="585" t="s">
        <v>239</v>
      </c>
      <c r="F58" s="1063">
        <f>'27-Allocators'!G15</f>
        <v>6.9804259326257695E-2</v>
      </c>
      <c r="G58" s="499" t="str">
        <f>"27-Allocators, Line "&amp;'27-Allocators'!A15&amp;""</f>
        <v>27-Allocators, Line 9</v>
      </c>
      <c r="H58" s="463"/>
      <c r="I58" s="465"/>
      <c r="J58" s="463"/>
      <c r="K58" s="463"/>
      <c r="L58" s="463"/>
    </row>
    <row r="59" spans="1:12" ht="13">
      <c r="A59" s="549">
        <f>A58+1</f>
        <v>24</v>
      </c>
      <c r="B59" s="463"/>
      <c r="C59" s="615"/>
      <c r="D59" s="615"/>
      <c r="E59" s="585" t="s">
        <v>304</v>
      </c>
      <c r="F59" s="1051">
        <f>F57*F58</f>
        <v>332908756.3242045</v>
      </c>
      <c r="G59" s="499" t="str">
        <f>"Line "&amp;A57&amp;" * Line "&amp;A58&amp;"."</f>
        <v>Line 22 * Line 23.</v>
      </c>
      <c r="H59" s="463"/>
      <c r="I59" s="465"/>
      <c r="J59" s="463"/>
      <c r="K59" s="463"/>
      <c r="L59" s="463"/>
    </row>
    <row r="60" spans="1:12" ht="13">
      <c r="A60" s="463"/>
      <c r="B60" s="463"/>
      <c r="C60" s="615"/>
      <c r="D60" s="615"/>
      <c r="E60" s="585"/>
      <c r="F60" s="1051"/>
      <c r="G60" s="1052"/>
      <c r="H60" s="463"/>
      <c r="I60" s="463"/>
      <c r="J60" s="463"/>
      <c r="K60" s="463"/>
      <c r="L60" s="463"/>
    </row>
    <row r="61" spans="1:12" ht="13">
      <c r="A61" s="463"/>
      <c r="B61" s="463"/>
      <c r="C61" s="615" t="s">
        <v>1204</v>
      </c>
      <c r="D61" s="615"/>
      <c r="E61" s="1056"/>
      <c r="F61" s="1054" t="s">
        <v>175</v>
      </c>
      <c r="G61" s="1062" t="s">
        <v>179</v>
      </c>
      <c r="H61" s="463"/>
      <c r="I61" s="463"/>
      <c r="J61" s="463"/>
      <c r="K61" s="463"/>
      <c r="L61" s="463"/>
    </row>
    <row r="62" spans="1:12" ht="13">
      <c r="A62" s="549">
        <f>A59+1</f>
        <v>25</v>
      </c>
      <c r="B62" s="463"/>
      <c r="C62" s="615"/>
      <c r="D62" s="615"/>
      <c r="E62" s="1050" t="s">
        <v>156</v>
      </c>
      <c r="F62" s="1051">
        <f>H54</f>
        <v>5045665494</v>
      </c>
      <c r="G62" s="499" t="str">
        <f>"Line "&amp;A54&amp;"."</f>
        <v>Line 21.</v>
      </c>
      <c r="H62" s="465"/>
      <c r="I62" s="463"/>
      <c r="J62" s="463"/>
      <c r="K62" s="463"/>
      <c r="L62" s="463"/>
    </row>
    <row r="63" spans="1:12" ht="13">
      <c r="A63" s="549">
        <f>A62+1</f>
        <v>26</v>
      </c>
      <c r="B63" s="463"/>
      <c r="C63" s="615"/>
      <c r="D63" s="615"/>
      <c r="E63" s="585" t="s">
        <v>239</v>
      </c>
      <c r="F63" s="1063">
        <f>'27-Allocators'!G15</f>
        <v>6.9804259326257695E-2</v>
      </c>
      <c r="G63" s="499" t="str">
        <f>"27-Allocators, Line "&amp;'27-Allocators'!A15&amp;""</f>
        <v>27-Allocators, Line 9</v>
      </c>
      <c r="H63" s="465"/>
      <c r="I63" s="463"/>
      <c r="J63" s="463"/>
      <c r="K63" s="463"/>
      <c r="L63" s="463"/>
    </row>
    <row r="64" spans="1:12" ht="13">
      <c r="A64" s="549">
        <f>A63+1</f>
        <v>27</v>
      </c>
      <c r="B64" s="463"/>
      <c r="C64" s="615"/>
      <c r="D64" s="615"/>
      <c r="E64" s="585" t="s">
        <v>304</v>
      </c>
      <c r="F64" s="1051">
        <f>F62*F63</f>
        <v>352208942.61672616</v>
      </c>
      <c r="G64" s="499" t="str">
        <f>"Line "&amp;A62&amp;" * Line "&amp;A63&amp;"."</f>
        <v>Line 25 * Line 26.</v>
      </c>
      <c r="H64" s="465"/>
      <c r="I64" s="463"/>
      <c r="J64" s="463"/>
      <c r="K64" s="463"/>
      <c r="L64" s="463"/>
    </row>
    <row r="65" spans="1:14">
      <c r="A65" s="463"/>
      <c r="B65" s="463"/>
      <c r="C65" s="463"/>
      <c r="D65" s="463"/>
      <c r="E65" s="463"/>
      <c r="F65" s="463"/>
      <c r="G65" s="463"/>
      <c r="H65" s="463"/>
      <c r="I65" s="463"/>
      <c r="J65" s="463"/>
      <c r="K65" s="463"/>
      <c r="L65" s="463"/>
    </row>
    <row r="66" spans="1:14">
      <c r="A66" s="463"/>
      <c r="B66" s="463"/>
      <c r="C66" s="463"/>
      <c r="D66" s="463"/>
      <c r="E66" s="463"/>
      <c r="F66" s="463"/>
      <c r="G66" s="463"/>
      <c r="H66" s="463"/>
      <c r="I66" s="463"/>
      <c r="J66" s="463"/>
      <c r="K66" s="463"/>
      <c r="L66" s="463"/>
    </row>
    <row r="67" spans="1:14" ht="13">
      <c r="A67" s="463"/>
      <c r="B67" s="1" t="s">
        <v>1526</v>
      </c>
      <c r="C67" s="463"/>
      <c r="D67" s="463"/>
      <c r="E67" s="463"/>
      <c r="F67" s="463"/>
      <c r="G67" s="463"/>
      <c r="H67" s="463"/>
      <c r="I67" s="463"/>
      <c r="J67" s="463"/>
      <c r="K67" s="463"/>
      <c r="L67" s="463"/>
    </row>
    <row r="68" spans="1:14">
      <c r="A68" s="463"/>
      <c r="C68" s="463"/>
      <c r="D68" s="463"/>
      <c r="E68" s="463"/>
      <c r="F68" s="463"/>
      <c r="G68" s="463"/>
      <c r="H68" s="463"/>
      <c r="I68" s="463"/>
      <c r="J68" s="463"/>
      <c r="K68" s="463"/>
      <c r="L68" s="463"/>
    </row>
    <row r="69" spans="1:14" ht="13">
      <c r="B69" s="1" t="s">
        <v>2347</v>
      </c>
      <c r="C69" s="463"/>
      <c r="D69" s="463"/>
      <c r="E69" s="463"/>
      <c r="F69" s="463"/>
      <c r="G69" s="463"/>
      <c r="H69" s="463"/>
      <c r="I69" s="463"/>
      <c r="J69" s="463"/>
      <c r="K69" s="463"/>
      <c r="L69" s="463"/>
    </row>
    <row r="70" spans="1:14">
      <c r="A70" s="463"/>
      <c r="C70" s="463"/>
      <c r="D70" s="463"/>
      <c r="E70" s="463"/>
      <c r="F70" s="463"/>
      <c r="G70" s="463"/>
      <c r="H70" s="463"/>
      <c r="I70" s="463"/>
      <c r="J70" s="463"/>
      <c r="K70" s="463"/>
      <c r="L70" s="463"/>
    </row>
    <row r="71" spans="1:14" ht="13">
      <c r="A71" s="382"/>
      <c r="B71" s="84" t="s">
        <v>358</v>
      </c>
      <c r="C71" s="84" t="s">
        <v>342</v>
      </c>
      <c r="D71" s="84" t="s">
        <v>343</v>
      </c>
      <c r="E71" s="84" t="s">
        <v>344</v>
      </c>
      <c r="F71" s="84" t="s">
        <v>345</v>
      </c>
      <c r="G71" s="84" t="s">
        <v>346</v>
      </c>
      <c r="H71" s="84" t="s">
        <v>347</v>
      </c>
      <c r="I71" s="84" t="s">
        <v>534</v>
      </c>
      <c r="J71" s="84" t="s">
        <v>949</v>
      </c>
      <c r="K71" s="84" t="s">
        <v>961</v>
      </c>
      <c r="L71" s="84" t="s">
        <v>964</v>
      </c>
      <c r="M71" s="84" t="s">
        <v>982</v>
      </c>
    </row>
    <row r="72" spans="1:14">
      <c r="A72" s="227"/>
      <c r="B72" s="243"/>
      <c r="C72" s="227"/>
      <c r="D72" s="227"/>
      <c r="E72" s="227"/>
      <c r="F72" s="227"/>
      <c r="G72" s="227"/>
      <c r="H72" s="227"/>
      <c r="I72" s="227"/>
      <c r="J72" s="227"/>
      <c r="K72" s="227"/>
      <c r="M72" s="243" t="s">
        <v>1214</v>
      </c>
    </row>
    <row r="73" spans="1:14" ht="13">
      <c r="A73" s="51"/>
      <c r="B73" s="122" t="s">
        <v>1748</v>
      </c>
      <c r="C73" s="84">
        <v>350.1</v>
      </c>
      <c r="D73" s="84">
        <v>350.2</v>
      </c>
      <c r="E73" s="84">
        <v>352</v>
      </c>
      <c r="F73" s="84">
        <v>353</v>
      </c>
      <c r="G73" s="84">
        <v>354</v>
      </c>
      <c r="H73" s="84">
        <v>355</v>
      </c>
      <c r="I73" s="84">
        <v>356</v>
      </c>
      <c r="J73" s="84">
        <v>357</v>
      </c>
      <c r="K73" s="84">
        <v>358</v>
      </c>
      <c r="L73" s="84">
        <v>359</v>
      </c>
      <c r="M73" s="3" t="s">
        <v>196</v>
      </c>
    </row>
    <row r="74" spans="1:14" ht="13">
      <c r="A74" s="549">
        <f>A64+1</f>
        <v>28</v>
      </c>
      <c r="B74" s="931" t="s">
        <v>2713</v>
      </c>
      <c r="C74" s="493">
        <v>133220266.06</v>
      </c>
      <c r="D74" s="493">
        <v>211856223.38</v>
      </c>
      <c r="E74" s="963">
        <v>1143959577.47</v>
      </c>
      <c r="F74" s="963">
        <v>6517444413.6999998</v>
      </c>
      <c r="G74" s="963">
        <v>2380316640.98</v>
      </c>
      <c r="H74" s="963">
        <v>1666864455.23</v>
      </c>
      <c r="I74" s="963">
        <v>1763812033.4000001</v>
      </c>
      <c r="J74" s="963">
        <v>296662316.01999998</v>
      </c>
      <c r="K74" s="963">
        <v>376202208.05000001</v>
      </c>
      <c r="L74" s="963">
        <v>201604231.86000001</v>
      </c>
      <c r="M74" s="229">
        <f t="shared" ref="M74:M85" si="13">SUM(C74:L74)</f>
        <v>14691942366.15</v>
      </c>
      <c r="N74" s="14"/>
    </row>
    <row r="75" spans="1:14" ht="13">
      <c r="A75" s="549">
        <f t="shared" ref="A75:A86" si="14">A74+1</f>
        <v>29</v>
      </c>
      <c r="B75" s="700" t="s">
        <v>2714</v>
      </c>
      <c r="C75" s="493">
        <v>133229354.27</v>
      </c>
      <c r="D75" s="493">
        <v>213672305.89000002</v>
      </c>
      <c r="E75" s="963">
        <v>1148589784.2</v>
      </c>
      <c r="F75" s="963">
        <v>6525918155.5299997</v>
      </c>
      <c r="G75" s="963">
        <v>2378526113.8800001</v>
      </c>
      <c r="H75" s="963">
        <v>1683812794.9400001</v>
      </c>
      <c r="I75" s="963">
        <v>1768913633.6700001</v>
      </c>
      <c r="J75" s="963">
        <v>296666912.30000001</v>
      </c>
      <c r="K75" s="963">
        <v>374940694.63</v>
      </c>
      <c r="L75" s="963">
        <v>201501621.94</v>
      </c>
      <c r="M75" s="229">
        <f t="shared" si="13"/>
        <v>14725771371.25</v>
      </c>
      <c r="N75" s="14"/>
    </row>
    <row r="76" spans="1:14" ht="13">
      <c r="A76" s="549">
        <f t="shared" si="14"/>
        <v>30</v>
      </c>
      <c r="B76" s="931" t="s">
        <v>2715</v>
      </c>
      <c r="C76" s="493">
        <v>133228766.45</v>
      </c>
      <c r="D76" s="493">
        <v>213672893.71000001</v>
      </c>
      <c r="E76" s="963">
        <v>1155307949.55</v>
      </c>
      <c r="F76" s="963">
        <v>6575146419.7000008</v>
      </c>
      <c r="G76" s="963">
        <v>2378268151.4500003</v>
      </c>
      <c r="H76" s="963">
        <v>1699950828.3199999</v>
      </c>
      <c r="I76" s="963">
        <v>1770720795.23</v>
      </c>
      <c r="J76" s="963">
        <v>296781188.68000001</v>
      </c>
      <c r="K76" s="963">
        <v>374476773.76999998</v>
      </c>
      <c r="L76" s="963">
        <v>201628727.58000001</v>
      </c>
      <c r="M76" s="229">
        <f t="shared" si="13"/>
        <v>14799182494.440001</v>
      </c>
      <c r="N76" s="14"/>
    </row>
    <row r="77" spans="1:14" ht="13">
      <c r="A77" s="549">
        <f t="shared" si="14"/>
        <v>31</v>
      </c>
      <c r="B77" s="700" t="s">
        <v>2716</v>
      </c>
      <c r="C77" s="493">
        <v>133227565.69</v>
      </c>
      <c r="D77" s="493">
        <v>213680995.41000003</v>
      </c>
      <c r="E77" s="963">
        <v>1160375174.5599999</v>
      </c>
      <c r="F77" s="963">
        <v>6595010549.6499996</v>
      </c>
      <c r="G77" s="963">
        <v>2380234520.0300002</v>
      </c>
      <c r="H77" s="963">
        <v>1720476512.1700001</v>
      </c>
      <c r="I77" s="963">
        <v>1774161254.8900001</v>
      </c>
      <c r="J77" s="963">
        <v>296790885.27999997</v>
      </c>
      <c r="K77" s="963">
        <v>376845227.92000002</v>
      </c>
      <c r="L77" s="963">
        <v>201599404.01000002</v>
      </c>
      <c r="M77" s="229">
        <f t="shared" si="13"/>
        <v>14852402089.610001</v>
      </c>
      <c r="N77" s="14"/>
    </row>
    <row r="78" spans="1:14" ht="13">
      <c r="A78" s="549">
        <f t="shared" si="14"/>
        <v>32</v>
      </c>
      <c r="B78" s="931" t="s">
        <v>2717</v>
      </c>
      <c r="C78" s="493">
        <v>133255635.59</v>
      </c>
      <c r="D78" s="493">
        <v>213682274.82000002</v>
      </c>
      <c r="E78" s="963">
        <v>1173646864.25</v>
      </c>
      <c r="F78" s="963">
        <v>6610484303.5299997</v>
      </c>
      <c r="G78" s="963">
        <v>2389872603.25</v>
      </c>
      <c r="H78" s="963">
        <v>1730491012.4000001</v>
      </c>
      <c r="I78" s="963">
        <v>1779035046.3200002</v>
      </c>
      <c r="J78" s="963">
        <v>296587504.62</v>
      </c>
      <c r="K78" s="963">
        <v>375915619.48000002</v>
      </c>
      <c r="L78" s="963">
        <v>201571664.99000001</v>
      </c>
      <c r="M78" s="229">
        <f t="shared" si="13"/>
        <v>14904542529.249998</v>
      </c>
      <c r="N78" s="14"/>
    </row>
    <row r="79" spans="1:14" ht="13">
      <c r="A79" s="549">
        <f t="shared" si="14"/>
        <v>33</v>
      </c>
      <c r="B79" s="700" t="s">
        <v>2718</v>
      </c>
      <c r="C79" s="493">
        <v>133259473.23999999</v>
      </c>
      <c r="D79" s="493">
        <v>213678773.92000002</v>
      </c>
      <c r="E79" s="963">
        <v>1207831199.27</v>
      </c>
      <c r="F79" s="963">
        <v>6666543876.8400002</v>
      </c>
      <c r="G79" s="963">
        <v>2390152318.2600002</v>
      </c>
      <c r="H79" s="963">
        <v>1735675296.3300002</v>
      </c>
      <c r="I79" s="963">
        <v>1779965121.48</v>
      </c>
      <c r="J79" s="963">
        <v>296589022.92000002</v>
      </c>
      <c r="K79" s="963">
        <v>377356788.72000003</v>
      </c>
      <c r="L79" s="963">
        <v>201585855.53</v>
      </c>
      <c r="M79" s="229">
        <f t="shared" si="13"/>
        <v>15002637726.51</v>
      </c>
      <c r="N79" s="14"/>
    </row>
    <row r="80" spans="1:14" ht="13">
      <c r="A80" s="549">
        <f t="shared" si="14"/>
        <v>34</v>
      </c>
      <c r="B80" s="931" t="s">
        <v>2719</v>
      </c>
      <c r="C80" s="493">
        <v>133273187.77</v>
      </c>
      <c r="D80" s="493">
        <v>213679462.46000004</v>
      </c>
      <c r="E80" s="963">
        <v>1194705349.0999999</v>
      </c>
      <c r="F80" s="963">
        <v>6739746030.7600002</v>
      </c>
      <c r="G80" s="963">
        <v>2394354129.6700001</v>
      </c>
      <c r="H80" s="963">
        <v>1782205014.25</v>
      </c>
      <c r="I80" s="963">
        <v>1757099703.3600001</v>
      </c>
      <c r="J80" s="963">
        <v>318470110.05000001</v>
      </c>
      <c r="K80" s="963">
        <v>399457341.99000001</v>
      </c>
      <c r="L80" s="963">
        <v>202847547.83000001</v>
      </c>
      <c r="M80" s="229">
        <f t="shared" si="13"/>
        <v>15135837877.24</v>
      </c>
      <c r="N80" s="14"/>
    </row>
    <row r="81" spans="1:14" ht="13">
      <c r="A81" s="549">
        <f t="shared" si="14"/>
        <v>35</v>
      </c>
      <c r="B81" s="700" t="s">
        <v>2720</v>
      </c>
      <c r="C81" s="493">
        <v>133283681.43000001</v>
      </c>
      <c r="D81" s="493">
        <v>213680230.90000004</v>
      </c>
      <c r="E81" s="963">
        <v>1234078427.4400001</v>
      </c>
      <c r="F81" s="963">
        <v>6765201823.039999</v>
      </c>
      <c r="G81" s="963">
        <v>2396857545.0900002</v>
      </c>
      <c r="H81" s="963">
        <v>1791045634.47</v>
      </c>
      <c r="I81" s="963">
        <v>1762604921.9000001</v>
      </c>
      <c r="J81" s="963">
        <v>320579022.43000001</v>
      </c>
      <c r="K81" s="963">
        <v>398294903.87</v>
      </c>
      <c r="L81" s="963">
        <v>202962119.21000001</v>
      </c>
      <c r="M81" s="229">
        <f t="shared" si="13"/>
        <v>15218588309.779999</v>
      </c>
      <c r="N81" s="14"/>
    </row>
    <row r="82" spans="1:14" ht="13">
      <c r="A82" s="549">
        <f t="shared" si="14"/>
        <v>36</v>
      </c>
      <c r="B82" s="931" t="s">
        <v>2721</v>
      </c>
      <c r="C82" s="493">
        <v>133283079.15000001</v>
      </c>
      <c r="D82" s="493">
        <v>213682470.06000003</v>
      </c>
      <c r="E82" s="963">
        <v>1238291036.6699998</v>
      </c>
      <c r="F82" s="963">
        <v>6868264254.1499996</v>
      </c>
      <c r="G82" s="963">
        <v>2416155650.8000002</v>
      </c>
      <c r="H82" s="963">
        <v>1786778093.1500001</v>
      </c>
      <c r="I82" s="963">
        <v>1758487241.3100002</v>
      </c>
      <c r="J82" s="963">
        <v>320594435.38</v>
      </c>
      <c r="K82" s="963">
        <v>398939332.81999999</v>
      </c>
      <c r="L82" s="963">
        <v>202926225.13000003</v>
      </c>
      <c r="M82" s="229">
        <f t="shared" si="13"/>
        <v>15337401818.619997</v>
      </c>
      <c r="N82" s="14"/>
    </row>
    <row r="83" spans="1:14" ht="13">
      <c r="A83" s="549">
        <f t="shared" si="14"/>
        <v>37</v>
      </c>
      <c r="B83" s="700" t="s">
        <v>2722</v>
      </c>
      <c r="C83" s="493">
        <v>133283079.26000001</v>
      </c>
      <c r="D83" s="493">
        <v>213699666.41000003</v>
      </c>
      <c r="E83" s="963">
        <v>1244590979.04</v>
      </c>
      <c r="F83" s="963">
        <v>6895069305.0699997</v>
      </c>
      <c r="G83" s="963">
        <v>2411061748.1500001</v>
      </c>
      <c r="H83" s="963">
        <v>1802247726.3199999</v>
      </c>
      <c r="I83" s="963">
        <v>1758102117.6000001</v>
      </c>
      <c r="J83" s="963">
        <v>320562776.51999998</v>
      </c>
      <c r="K83" s="963">
        <v>398180019.61000001</v>
      </c>
      <c r="L83" s="963">
        <v>202847556.03</v>
      </c>
      <c r="M83" s="229">
        <f t="shared" si="13"/>
        <v>15379644974.010002</v>
      </c>
      <c r="N83" s="14"/>
    </row>
    <row r="84" spans="1:14" ht="13">
      <c r="A84" s="549">
        <f t="shared" si="14"/>
        <v>38</v>
      </c>
      <c r="B84" s="931" t="s">
        <v>2723</v>
      </c>
      <c r="C84" s="493">
        <v>133305161.56</v>
      </c>
      <c r="D84" s="493">
        <v>213736257.59</v>
      </c>
      <c r="E84" s="963">
        <v>1248715738.78</v>
      </c>
      <c r="F84" s="963">
        <v>6904584063.0199995</v>
      </c>
      <c r="G84" s="963">
        <v>2391042122.3800001</v>
      </c>
      <c r="H84" s="963">
        <v>1801023437.73</v>
      </c>
      <c r="I84" s="963">
        <v>1787269759.3400002</v>
      </c>
      <c r="J84" s="963">
        <v>324688728.56</v>
      </c>
      <c r="K84" s="963">
        <v>405787920.58999997</v>
      </c>
      <c r="L84" s="963">
        <v>216012942.28</v>
      </c>
      <c r="M84" s="229">
        <f t="shared" si="13"/>
        <v>15426166131.829998</v>
      </c>
      <c r="N84" s="14"/>
    </row>
    <row r="85" spans="1:14" ht="13">
      <c r="A85" s="549">
        <f t="shared" si="14"/>
        <v>39</v>
      </c>
      <c r="B85" s="700" t="s">
        <v>2724</v>
      </c>
      <c r="C85" s="493">
        <v>133308946.73</v>
      </c>
      <c r="D85" s="493">
        <v>213737434.42000002</v>
      </c>
      <c r="E85" s="963">
        <v>1253365522.73</v>
      </c>
      <c r="F85" s="963">
        <v>6949321079.8100004</v>
      </c>
      <c r="G85" s="963">
        <v>2392420817.9400001</v>
      </c>
      <c r="H85" s="963">
        <v>1805881020.78</v>
      </c>
      <c r="I85" s="963">
        <v>1788889367.75</v>
      </c>
      <c r="J85" s="963">
        <v>324802018</v>
      </c>
      <c r="K85" s="963">
        <v>405466664.76999998</v>
      </c>
      <c r="L85" s="963">
        <v>215815134.16000003</v>
      </c>
      <c r="M85" s="360">
        <f t="shared" si="13"/>
        <v>15483008007.090002</v>
      </c>
      <c r="N85" s="14"/>
    </row>
    <row r="86" spans="1:14" ht="13">
      <c r="A86" s="549">
        <f t="shared" si="14"/>
        <v>40</v>
      </c>
      <c r="B86" s="931" t="s">
        <v>2725</v>
      </c>
      <c r="C86" s="493">
        <v>133310684.79000001</v>
      </c>
      <c r="D86" s="493">
        <v>213721519.03000003</v>
      </c>
      <c r="E86" s="477">
        <f>'7-PlantStudy'!C10</f>
        <v>1253582423</v>
      </c>
      <c r="F86" s="477">
        <f>'7-PlantStudy'!C11</f>
        <v>6970450866</v>
      </c>
      <c r="G86" s="477">
        <f>'7-PlantStudy'!C20</f>
        <v>2396538521</v>
      </c>
      <c r="H86" s="477">
        <f>'7-PlantStudy'!C21</f>
        <v>1828031265</v>
      </c>
      <c r="I86" s="477">
        <f>'7-PlantStudy'!C22</f>
        <v>1891498739</v>
      </c>
      <c r="J86" s="477">
        <f>'7-PlantStudy'!C23</f>
        <v>325221172</v>
      </c>
      <c r="K86" s="477">
        <f>'7-PlantStudy'!C24</f>
        <v>406147584</v>
      </c>
      <c r="L86" s="477">
        <f>'7-PlantStudy'!C25</f>
        <v>215837806</v>
      </c>
      <c r="M86" s="229">
        <f>SUM(C86:L86)</f>
        <v>15634340579.82</v>
      </c>
      <c r="N86" s="14"/>
    </row>
    <row r="88" spans="1:14" ht="13">
      <c r="B88" s="44" t="s">
        <v>2348</v>
      </c>
      <c r="C88" s="14"/>
      <c r="D88" s="14"/>
      <c r="E88" s="14"/>
    </row>
    <row r="89" spans="1:14">
      <c r="B89" s="14"/>
      <c r="C89" s="14"/>
      <c r="D89" s="14"/>
    </row>
    <row r="90" spans="1:14" ht="13">
      <c r="A90" s="382"/>
      <c r="B90" s="351" t="s">
        <v>358</v>
      </c>
      <c r="C90" s="351" t="s">
        <v>342</v>
      </c>
      <c r="D90" s="351" t="s">
        <v>343</v>
      </c>
      <c r="E90" s="84" t="s">
        <v>344</v>
      </c>
      <c r="F90" s="84" t="s">
        <v>345</v>
      </c>
      <c r="G90" s="84" t="s">
        <v>346</v>
      </c>
      <c r="H90" s="84" t="s">
        <v>347</v>
      </c>
      <c r="I90" s="84" t="s">
        <v>534</v>
      </c>
      <c r="J90" s="84" t="s">
        <v>949</v>
      </c>
      <c r="K90" s="84" t="s">
        <v>961</v>
      </c>
      <c r="L90" s="84" t="s">
        <v>964</v>
      </c>
      <c r="M90" s="84" t="s">
        <v>982</v>
      </c>
    </row>
    <row r="91" spans="1:14">
      <c r="A91" s="227"/>
      <c r="B91" s="440"/>
      <c r="C91" s="235"/>
      <c r="D91" s="235"/>
      <c r="E91" s="227"/>
      <c r="F91" s="227"/>
      <c r="G91" s="227"/>
      <c r="H91" s="227"/>
      <c r="I91" s="227"/>
      <c r="J91" s="227"/>
      <c r="K91" s="227"/>
      <c r="M91" s="243" t="s">
        <v>1214</v>
      </c>
    </row>
    <row r="92" spans="1:14" ht="13">
      <c r="A92" s="51"/>
      <c r="B92" s="122" t="s">
        <v>1748</v>
      </c>
      <c r="C92" s="351">
        <v>350.1</v>
      </c>
      <c r="D92" s="351">
        <v>350.2</v>
      </c>
      <c r="E92" s="84">
        <v>352</v>
      </c>
      <c r="F92" s="84">
        <v>353</v>
      </c>
      <c r="G92" s="84">
        <v>354</v>
      </c>
      <c r="H92" s="84">
        <v>355</v>
      </c>
      <c r="I92" s="84">
        <v>356</v>
      </c>
      <c r="J92" s="84">
        <v>357</v>
      </c>
      <c r="K92" s="84">
        <v>358</v>
      </c>
      <c r="L92" s="84">
        <v>359</v>
      </c>
      <c r="M92" s="3" t="s">
        <v>196</v>
      </c>
    </row>
    <row r="93" spans="1:14" ht="13">
      <c r="A93" s="549">
        <f>A86+1</f>
        <v>41</v>
      </c>
      <c r="B93" s="700" t="s">
        <v>2714</v>
      </c>
      <c r="C93" s="477">
        <f t="shared" ref="C93:L93" si="15">C75-C74</f>
        <v>9088.2099999934435</v>
      </c>
      <c r="D93" s="477">
        <f t="shared" si="15"/>
        <v>1816082.5100000203</v>
      </c>
      <c r="E93" s="477">
        <f t="shared" si="15"/>
        <v>4630206.7300000191</v>
      </c>
      <c r="F93" s="477">
        <f t="shared" si="15"/>
        <v>8473741.8299999237</v>
      </c>
      <c r="G93" s="477">
        <f t="shared" si="15"/>
        <v>-1790527.0999999046</v>
      </c>
      <c r="H93" s="477">
        <f t="shared" si="15"/>
        <v>16948339.710000038</v>
      </c>
      <c r="I93" s="477">
        <f t="shared" si="15"/>
        <v>5101600.2699999809</v>
      </c>
      <c r="J93" s="477">
        <f t="shared" si="15"/>
        <v>4596.2800000309944</v>
      </c>
      <c r="K93" s="477">
        <f t="shared" si="15"/>
        <v>-1261513.4200000167</v>
      </c>
      <c r="L93" s="477">
        <f t="shared" si="15"/>
        <v>-102609.92000001669</v>
      </c>
      <c r="M93" s="229">
        <f t="shared" ref="M93:M105" si="16">SUM(C93:L93)</f>
        <v>33829005.100000069</v>
      </c>
      <c r="N93" s="14"/>
    </row>
    <row r="94" spans="1:14" ht="13">
      <c r="A94" s="549">
        <f t="shared" ref="A94:A105" si="17">A93+1</f>
        <v>42</v>
      </c>
      <c r="B94" s="699" t="s">
        <v>2715</v>
      </c>
      <c r="C94" s="477">
        <f t="shared" ref="C94:L94" si="18">C76-C75</f>
        <v>-587.81999999284744</v>
      </c>
      <c r="D94" s="477">
        <f t="shared" si="18"/>
        <v>587.81999999284744</v>
      </c>
      <c r="E94" s="477">
        <f t="shared" si="18"/>
        <v>6718165.3499999046</v>
      </c>
      <c r="F94" s="477">
        <f t="shared" si="18"/>
        <v>49228264.17000103</v>
      </c>
      <c r="G94" s="477">
        <f t="shared" si="18"/>
        <v>-257962.42999982834</v>
      </c>
      <c r="H94" s="477">
        <f t="shared" si="18"/>
        <v>16138033.379999876</v>
      </c>
      <c r="I94" s="477">
        <f t="shared" si="18"/>
        <v>1807161.5599999428</v>
      </c>
      <c r="J94" s="477">
        <f t="shared" si="18"/>
        <v>114276.37999999523</v>
      </c>
      <c r="K94" s="477">
        <f t="shared" si="18"/>
        <v>-463920.86000001431</v>
      </c>
      <c r="L94" s="477">
        <f t="shared" si="18"/>
        <v>127105.6400000155</v>
      </c>
      <c r="M94" s="229">
        <f t="shared" si="16"/>
        <v>73411123.190000921</v>
      </c>
      <c r="N94" s="14"/>
    </row>
    <row r="95" spans="1:14" ht="13">
      <c r="A95" s="549">
        <f t="shared" si="17"/>
        <v>43</v>
      </c>
      <c r="B95" s="699" t="s">
        <v>2716</v>
      </c>
      <c r="C95" s="477">
        <f t="shared" ref="C95:L95" si="19">C77-C76</f>
        <v>-1200.7600000053644</v>
      </c>
      <c r="D95" s="477">
        <f t="shared" si="19"/>
        <v>8101.7000000178814</v>
      </c>
      <c r="E95" s="477">
        <f t="shared" si="19"/>
        <v>5067225.0099999905</v>
      </c>
      <c r="F95" s="477">
        <f t="shared" si="19"/>
        <v>19864129.949998856</v>
      </c>
      <c r="G95" s="477">
        <f t="shared" si="19"/>
        <v>1966368.5799999237</v>
      </c>
      <c r="H95" s="477">
        <f t="shared" si="19"/>
        <v>20525683.850000143</v>
      </c>
      <c r="I95" s="477">
        <f t="shared" si="19"/>
        <v>3440459.6600000858</v>
      </c>
      <c r="J95" s="477">
        <f t="shared" si="19"/>
        <v>9696.5999999642372</v>
      </c>
      <c r="K95" s="477">
        <f t="shared" si="19"/>
        <v>2368454.1500000358</v>
      </c>
      <c r="L95" s="477">
        <f t="shared" si="19"/>
        <v>-29323.569999992847</v>
      </c>
      <c r="M95" s="229">
        <f t="shared" si="16"/>
        <v>53219595.169999018</v>
      </c>
      <c r="N95" s="14"/>
    </row>
    <row r="96" spans="1:14" ht="13">
      <c r="A96" s="549">
        <f t="shared" si="17"/>
        <v>44</v>
      </c>
      <c r="B96" s="700" t="s">
        <v>2717</v>
      </c>
      <c r="C96" s="477">
        <f t="shared" ref="C96:L96" si="20">C78-C77</f>
        <v>28069.90000000596</v>
      </c>
      <c r="D96" s="477">
        <f t="shared" si="20"/>
        <v>1279.4099999964237</v>
      </c>
      <c r="E96" s="477">
        <f t="shared" si="20"/>
        <v>13271689.690000057</v>
      </c>
      <c r="F96" s="477">
        <f t="shared" si="20"/>
        <v>15473753.880000114</v>
      </c>
      <c r="G96" s="477">
        <f t="shared" si="20"/>
        <v>9638083.2199997902</v>
      </c>
      <c r="H96" s="477">
        <f t="shared" si="20"/>
        <v>10014500.230000019</v>
      </c>
      <c r="I96" s="477">
        <f t="shared" si="20"/>
        <v>4873791.4300000668</v>
      </c>
      <c r="J96" s="477">
        <f t="shared" si="20"/>
        <v>-203380.65999996662</v>
      </c>
      <c r="K96" s="477">
        <f t="shared" si="20"/>
        <v>-929608.43999999762</v>
      </c>
      <c r="L96" s="477">
        <f t="shared" si="20"/>
        <v>-27739.020000010729</v>
      </c>
      <c r="M96" s="229">
        <f t="shared" si="16"/>
        <v>52140439.640000075</v>
      </c>
      <c r="N96" s="14"/>
    </row>
    <row r="97" spans="1:14" ht="13">
      <c r="A97" s="549">
        <f t="shared" si="17"/>
        <v>45</v>
      </c>
      <c r="B97" s="699" t="s">
        <v>2718</v>
      </c>
      <c r="C97" s="477">
        <f t="shared" ref="C97:I104" si="21">C79-C78</f>
        <v>3837.6499999910593</v>
      </c>
      <c r="D97" s="477">
        <f t="shared" si="21"/>
        <v>-3500.9000000059605</v>
      </c>
      <c r="E97" s="477">
        <f t="shared" si="21"/>
        <v>34184335.019999981</v>
      </c>
      <c r="F97" s="477">
        <f t="shared" si="21"/>
        <v>56059573.31000042</v>
      </c>
      <c r="G97" s="477">
        <f t="shared" si="21"/>
        <v>279715.01000022888</v>
      </c>
      <c r="H97" s="477">
        <f t="shared" si="21"/>
        <v>5184283.9300000668</v>
      </c>
      <c r="I97" s="477">
        <f t="shared" si="21"/>
        <v>930075.15999984741</v>
      </c>
      <c r="J97" s="477">
        <f t="shared" ref="J97" si="22">J79-J78</f>
        <v>1518.3000000119209</v>
      </c>
      <c r="K97" s="477">
        <f t="shared" ref="K97:L104" si="23">K79-K78</f>
        <v>1441169.2400000095</v>
      </c>
      <c r="L97" s="477">
        <f t="shared" si="23"/>
        <v>14190.539999991655</v>
      </c>
      <c r="M97" s="229">
        <f t="shared" si="16"/>
        <v>98095197.260000542</v>
      </c>
      <c r="N97" s="14"/>
    </row>
    <row r="98" spans="1:14" ht="13">
      <c r="A98" s="549">
        <f t="shared" si="17"/>
        <v>46</v>
      </c>
      <c r="B98" s="699" t="s">
        <v>2719</v>
      </c>
      <c r="C98" s="477">
        <f t="shared" si="21"/>
        <v>13714.530000001192</v>
      </c>
      <c r="D98" s="477">
        <f t="shared" si="21"/>
        <v>688.54000002145767</v>
      </c>
      <c r="E98" s="477">
        <f t="shared" si="21"/>
        <v>-13125850.170000076</v>
      </c>
      <c r="F98" s="477">
        <f t="shared" si="21"/>
        <v>73202153.920000076</v>
      </c>
      <c r="G98" s="477">
        <f t="shared" si="21"/>
        <v>4201811.4099998474</v>
      </c>
      <c r="H98" s="477">
        <f t="shared" si="21"/>
        <v>46529717.919999838</v>
      </c>
      <c r="I98" s="477">
        <f t="shared" si="21"/>
        <v>-22865418.119999886</v>
      </c>
      <c r="J98" s="477">
        <f t="shared" ref="J98:J104" si="24">J80-J79</f>
        <v>21881087.129999995</v>
      </c>
      <c r="K98" s="477">
        <f t="shared" si="23"/>
        <v>22100553.269999981</v>
      </c>
      <c r="L98" s="477">
        <f t="shared" si="23"/>
        <v>1261692.3000000119</v>
      </c>
      <c r="M98" s="229">
        <f t="shared" si="16"/>
        <v>133200150.72999981</v>
      </c>
      <c r="N98" s="14"/>
    </row>
    <row r="99" spans="1:14" ht="13">
      <c r="A99" s="549">
        <f t="shared" si="17"/>
        <v>47</v>
      </c>
      <c r="B99" s="700" t="s">
        <v>2720</v>
      </c>
      <c r="C99" s="477">
        <f t="shared" si="21"/>
        <v>10493.660000011325</v>
      </c>
      <c r="D99" s="477">
        <f t="shared" si="21"/>
        <v>768.43999999761581</v>
      </c>
      <c r="E99" s="477">
        <f t="shared" si="21"/>
        <v>39373078.340000153</v>
      </c>
      <c r="F99" s="477">
        <f t="shared" si="21"/>
        <v>25455792.279998779</v>
      </c>
      <c r="G99" s="477">
        <f t="shared" si="21"/>
        <v>2503415.4200000763</v>
      </c>
      <c r="H99" s="477">
        <f t="shared" si="21"/>
        <v>8840620.2200000286</v>
      </c>
      <c r="I99" s="477">
        <f t="shared" si="21"/>
        <v>5505218.5399999619</v>
      </c>
      <c r="J99" s="477">
        <f t="shared" si="24"/>
        <v>2108912.3799999952</v>
      </c>
      <c r="K99" s="477">
        <f t="shared" si="23"/>
        <v>-1162438.1200000048</v>
      </c>
      <c r="L99" s="477">
        <f t="shared" si="23"/>
        <v>114571.37999999523</v>
      </c>
      <c r="M99" s="229">
        <f t="shared" si="16"/>
        <v>82750432.539998993</v>
      </c>
      <c r="N99" s="14"/>
    </row>
    <row r="100" spans="1:14" ht="13">
      <c r="A100" s="549">
        <f t="shared" si="17"/>
        <v>48</v>
      </c>
      <c r="B100" s="699" t="s">
        <v>2721</v>
      </c>
      <c r="C100" s="477">
        <f t="shared" si="21"/>
        <v>-602.28000000119209</v>
      </c>
      <c r="D100" s="477">
        <f t="shared" si="21"/>
        <v>2239.1599999964237</v>
      </c>
      <c r="E100" s="477">
        <f t="shared" si="21"/>
        <v>4212609.2299997807</v>
      </c>
      <c r="F100" s="477">
        <f t="shared" si="21"/>
        <v>103062431.11000061</v>
      </c>
      <c r="G100" s="477">
        <f t="shared" si="21"/>
        <v>19298105.710000038</v>
      </c>
      <c r="H100" s="477">
        <f t="shared" si="21"/>
        <v>-4267541.3199999332</v>
      </c>
      <c r="I100" s="477">
        <f t="shared" si="21"/>
        <v>-4117680.5899999142</v>
      </c>
      <c r="J100" s="477">
        <f t="shared" si="24"/>
        <v>15412.949999988079</v>
      </c>
      <c r="K100" s="477">
        <f t="shared" si="23"/>
        <v>644428.94999998808</v>
      </c>
      <c r="L100" s="477">
        <f t="shared" si="23"/>
        <v>-35894.079999983311</v>
      </c>
      <c r="M100" s="229">
        <f t="shared" si="16"/>
        <v>118813508.84000057</v>
      </c>
      <c r="N100" s="14"/>
    </row>
    <row r="101" spans="1:14" ht="13">
      <c r="A101" s="549">
        <f t="shared" si="17"/>
        <v>49</v>
      </c>
      <c r="B101" s="699" t="s">
        <v>2722</v>
      </c>
      <c r="C101" s="477">
        <f t="shared" si="21"/>
        <v>0.10999999940395355</v>
      </c>
      <c r="D101" s="477">
        <f t="shared" si="21"/>
        <v>17196.34999999404</v>
      </c>
      <c r="E101" s="477">
        <f t="shared" si="21"/>
        <v>6299942.370000124</v>
      </c>
      <c r="F101" s="477">
        <f t="shared" si="21"/>
        <v>26805050.920000076</v>
      </c>
      <c r="G101" s="477">
        <f t="shared" si="21"/>
        <v>-5093902.6500000954</v>
      </c>
      <c r="H101" s="477">
        <f t="shared" si="21"/>
        <v>15469633.169999838</v>
      </c>
      <c r="I101" s="477">
        <f t="shared" si="21"/>
        <v>-385123.71000003815</v>
      </c>
      <c r="J101" s="477">
        <f t="shared" si="24"/>
        <v>-31658.860000014305</v>
      </c>
      <c r="K101" s="477">
        <f t="shared" si="23"/>
        <v>-759313.20999997854</v>
      </c>
      <c r="L101" s="477">
        <f t="shared" si="23"/>
        <v>-78669.100000023842</v>
      </c>
      <c r="M101" s="229">
        <f t="shared" si="16"/>
        <v>42243155.389999881</v>
      </c>
      <c r="N101" s="14"/>
    </row>
    <row r="102" spans="1:14" ht="13">
      <c r="A102" s="549">
        <f t="shared" si="17"/>
        <v>50</v>
      </c>
      <c r="B102" s="700" t="s">
        <v>2723</v>
      </c>
      <c r="C102" s="477">
        <f t="shared" si="21"/>
        <v>22082.29999999702</v>
      </c>
      <c r="D102" s="477">
        <f t="shared" si="21"/>
        <v>36591.17999997735</v>
      </c>
      <c r="E102" s="477">
        <f t="shared" si="21"/>
        <v>4124759.7400000095</v>
      </c>
      <c r="F102" s="477">
        <f t="shared" si="21"/>
        <v>9514757.9499998093</v>
      </c>
      <c r="G102" s="477">
        <f t="shared" si="21"/>
        <v>-20019625.769999981</v>
      </c>
      <c r="H102" s="477">
        <f t="shared" si="21"/>
        <v>-1224288.5899999142</v>
      </c>
      <c r="I102" s="477">
        <f t="shared" si="21"/>
        <v>29167641.74000001</v>
      </c>
      <c r="J102" s="477">
        <f t="shared" si="24"/>
        <v>4125952.0400000215</v>
      </c>
      <c r="K102" s="477">
        <f t="shared" si="23"/>
        <v>7607900.9799999595</v>
      </c>
      <c r="L102" s="477">
        <f t="shared" si="23"/>
        <v>13165386.25</v>
      </c>
      <c r="M102" s="229">
        <f t="shared" si="16"/>
        <v>46521157.819999889</v>
      </c>
      <c r="N102" s="14"/>
    </row>
    <row r="103" spans="1:14" ht="13">
      <c r="A103" s="549">
        <f t="shared" si="17"/>
        <v>51</v>
      </c>
      <c r="B103" s="700" t="s">
        <v>2724</v>
      </c>
      <c r="C103" s="477">
        <f t="shared" si="21"/>
        <v>3785.1700000017881</v>
      </c>
      <c r="D103" s="477">
        <f t="shared" si="21"/>
        <v>1176.830000013113</v>
      </c>
      <c r="E103" s="477">
        <f t="shared" si="21"/>
        <v>4649783.9500000477</v>
      </c>
      <c r="F103" s="477">
        <f t="shared" si="21"/>
        <v>44737016.790000916</v>
      </c>
      <c r="G103" s="477">
        <f t="shared" si="21"/>
        <v>1378695.5599999428</v>
      </c>
      <c r="H103" s="477">
        <f t="shared" si="21"/>
        <v>4857583.0499999523</v>
      </c>
      <c r="I103" s="477">
        <f t="shared" si="21"/>
        <v>1619608.4099998474</v>
      </c>
      <c r="J103" s="477">
        <f t="shared" si="24"/>
        <v>113289.43999999762</v>
      </c>
      <c r="K103" s="477">
        <f t="shared" si="23"/>
        <v>-321255.81999999285</v>
      </c>
      <c r="L103" s="477">
        <f t="shared" si="23"/>
        <v>-197808.11999997497</v>
      </c>
      <c r="M103" s="229">
        <f t="shared" si="16"/>
        <v>56841875.26000075</v>
      </c>
      <c r="N103" s="14"/>
    </row>
    <row r="104" spans="1:14" ht="13">
      <c r="A104" s="549">
        <f t="shared" si="17"/>
        <v>52</v>
      </c>
      <c r="B104" s="699" t="s">
        <v>2725</v>
      </c>
      <c r="C104" s="110">
        <f t="shared" si="21"/>
        <v>1738.0600000023842</v>
      </c>
      <c r="D104" s="110">
        <f t="shared" si="21"/>
        <v>-15915.389999985695</v>
      </c>
      <c r="E104" s="110">
        <f t="shared" si="21"/>
        <v>216900.26999998093</v>
      </c>
      <c r="F104" s="110">
        <f t="shared" si="21"/>
        <v>21129786.18999958</v>
      </c>
      <c r="G104" s="110">
        <f t="shared" si="21"/>
        <v>4117703.0599999428</v>
      </c>
      <c r="H104" s="110">
        <f t="shared" si="21"/>
        <v>22150244.220000029</v>
      </c>
      <c r="I104" s="110">
        <f t="shared" si="21"/>
        <v>102609371.25</v>
      </c>
      <c r="J104" s="110">
        <f t="shared" si="24"/>
        <v>419154</v>
      </c>
      <c r="K104" s="110">
        <f t="shared" si="23"/>
        <v>680919.23000001907</v>
      </c>
      <c r="L104" s="110">
        <f t="shared" si="23"/>
        <v>22671.839999973774</v>
      </c>
      <c r="M104" s="360">
        <f t="shared" si="16"/>
        <v>151332572.72999954</v>
      </c>
      <c r="N104" s="14"/>
    </row>
    <row r="105" spans="1:14" ht="13">
      <c r="A105" s="549">
        <f t="shared" si="17"/>
        <v>53</v>
      </c>
      <c r="B105" s="1049" t="s">
        <v>4</v>
      </c>
      <c r="C105" s="229">
        <f t="shared" ref="C105:L105" si="25">SUM(C93:C104)</f>
        <v>90418.730000004172</v>
      </c>
      <c r="D105" s="229">
        <f t="shared" si="25"/>
        <v>1865295.6500000358</v>
      </c>
      <c r="E105" s="229">
        <f t="shared" si="25"/>
        <v>109622845.52999997</v>
      </c>
      <c r="F105" s="229">
        <f t="shared" si="25"/>
        <v>453006452.30000019</v>
      </c>
      <c r="G105" s="229">
        <f t="shared" si="25"/>
        <v>16221880.019999981</v>
      </c>
      <c r="H105" s="229">
        <f t="shared" si="25"/>
        <v>161166809.76999998</v>
      </c>
      <c r="I105" s="229">
        <f t="shared" si="25"/>
        <v>127686705.5999999</v>
      </c>
      <c r="J105" s="229">
        <f t="shared" si="25"/>
        <v>28558855.980000019</v>
      </c>
      <c r="K105" s="229">
        <f t="shared" si="25"/>
        <v>29945375.949999988</v>
      </c>
      <c r="L105" s="229">
        <f t="shared" si="25"/>
        <v>14233574.139999986</v>
      </c>
      <c r="M105" s="229">
        <f t="shared" si="16"/>
        <v>942398213.66999996</v>
      </c>
      <c r="N105" s="14"/>
    </row>
    <row r="106" spans="1:14" ht="13">
      <c r="A106" s="549"/>
      <c r="B106" s="1049"/>
      <c r="C106" s="231"/>
      <c r="D106" s="231"/>
      <c r="E106" s="231"/>
      <c r="F106" s="231"/>
      <c r="G106" s="231"/>
      <c r="H106" s="231"/>
      <c r="I106" s="231"/>
      <c r="J106" s="231"/>
      <c r="K106" s="231"/>
      <c r="L106" s="231"/>
      <c r="M106" s="229"/>
    </row>
    <row r="107" spans="1:14" ht="13">
      <c r="B107" s="44" t="s">
        <v>2349</v>
      </c>
      <c r="C107" s="14"/>
      <c r="D107" s="14"/>
      <c r="E107" s="14"/>
    </row>
    <row r="108" spans="1:14">
      <c r="B108" s="14"/>
      <c r="C108" s="14"/>
      <c r="D108" s="14"/>
    </row>
    <row r="109" spans="1:14" ht="13">
      <c r="A109" s="382"/>
      <c r="B109" s="351" t="s">
        <v>358</v>
      </c>
      <c r="C109" s="351" t="s">
        <v>342</v>
      </c>
      <c r="D109" s="351" t="s">
        <v>343</v>
      </c>
      <c r="E109" s="84" t="s">
        <v>344</v>
      </c>
      <c r="F109" s="84" t="s">
        <v>345</v>
      </c>
      <c r="G109" s="84" t="s">
        <v>346</v>
      </c>
      <c r="H109" s="84" t="s">
        <v>347</v>
      </c>
      <c r="I109" s="84" t="s">
        <v>534</v>
      </c>
      <c r="J109" s="84" t="s">
        <v>949</v>
      </c>
      <c r="K109" s="84" t="s">
        <v>961</v>
      </c>
      <c r="L109" s="84" t="s">
        <v>964</v>
      </c>
      <c r="M109" s="84" t="s">
        <v>982</v>
      </c>
    </row>
    <row r="110" spans="1:14">
      <c r="A110" s="227"/>
      <c r="B110" s="440"/>
      <c r="C110" s="235"/>
      <c r="D110" s="235"/>
      <c r="E110" s="227"/>
      <c r="F110" s="227"/>
      <c r="G110" s="227"/>
      <c r="H110" s="227"/>
      <c r="I110" s="227"/>
      <c r="J110" s="227"/>
      <c r="K110" s="227"/>
      <c r="M110" s="243" t="s">
        <v>1214</v>
      </c>
    </row>
    <row r="111" spans="1:14" ht="13">
      <c r="A111" s="51"/>
      <c r="B111" s="122" t="s">
        <v>1748</v>
      </c>
      <c r="C111" s="351">
        <v>350.1</v>
      </c>
      <c r="D111" s="351">
        <v>350.2</v>
      </c>
      <c r="E111" s="84">
        <v>352</v>
      </c>
      <c r="F111" s="84">
        <v>353</v>
      </c>
      <c r="G111" s="84">
        <v>354</v>
      </c>
      <c r="H111" s="84">
        <v>355</v>
      </c>
      <c r="I111" s="84">
        <v>356</v>
      </c>
      <c r="J111" s="84">
        <v>357</v>
      </c>
      <c r="K111" s="84">
        <v>358</v>
      </c>
      <c r="L111" s="84">
        <v>359</v>
      </c>
      <c r="M111" s="3" t="s">
        <v>196</v>
      </c>
    </row>
    <row r="112" spans="1:14" ht="13">
      <c r="A112" s="549">
        <f>A105+1</f>
        <v>54</v>
      </c>
      <c r="B112" s="931" t="s">
        <v>2713</v>
      </c>
      <c r="C112" s="1067">
        <v>20567881.547499988</v>
      </c>
      <c r="D112" s="1067">
        <v>95086484.279999986</v>
      </c>
      <c r="E112" s="1067">
        <v>327560005.78420037</v>
      </c>
      <c r="F112" s="1067">
        <v>1285246061.5526114</v>
      </c>
      <c r="G112" s="1067">
        <v>1754773794.6018269</v>
      </c>
      <c r="H112" s="1067">
        <v>161600028.58000001</v>
      </c>
      <c r="I112" s="1067">
        <v>827789058.51719701</v>
      </c>
      <c r="J112" s="1067">
        <v>215074930.83000007</v>
      </c>
      <c r="K112" s="1067">
        <v>57157937.139999986</v>
      </c>
      <c r="L112" s="1067">
        <v>150244444.52059191</v>
      </c>
      <c r="M112" s="1029">
        <f t="shared" ref="M112:M124" si="26">SUM(C112:L112)</f>
        <v>4895100627.3539276</v>
      </c>
      <c r="N112" s="14"/>
    </row>
    <row r="113" spans="1:14" ht="13">
      <c r="A113" s="549">
        <f t="shared" ref="A113:A124" si="27">A112+1</f>
        <v>55</v>
      </c>
      <c r="B113" s="700" t="s">
        <v>2714</v>
      </c>
      <c r="C113" s="1067">
        <v>20578172.127499986</v>
      </c>
      <c r="D113" s="1067">
        <v>95087223.699999988</v>
      </c>
      <c r="E113" s="1067">
        <v>328030592.07798439</v>
      </c>
      <c r="F113" s="1067">
        <v>1286500561.209775</v>
      </c>
      <c r="G113" s="1067">
        <v>1754548969.6118271</v>
      </c>
      <c r="H113" s="1067">
        <v>161326424.69</v>
      </c>
      <c r="I113" s="1067">
        <v>828733233.18719697</v>
      </c>
      <c r="J113" s="1067">
        <v>215078880.08000007</v>
      </c>
      <c r="K113" s="1067">
        <v>57159200.779999986</v>
      </c>
      <c r="L113" s="1067">
        <v>149928057.51059192</v>
      </c>
      <c r="M113" s="1029">
        <f t="shared" si="26"/>
        <v>4896971314.9748745</v>
      </c>
      <c r="N113" s="14"/>
    </row>
    <row r="114" spans="1:14" ht="13">
      <c r="A114" s="549">
        <f t="shared" si="27"/>
        <v>56</v>
      </c>
      <c r="B114" s="699" t="s">
        <v>2715</v>
      </c>
      <c r="C114" s="1067">
        <v>20577584.307499986</v>
      </c>
      <c r="D114" s="1067">
        <v>95087811.519999981</v>
      </c>
      <c r="E114" s="1067">
        <v>328913171.8255645</v>
      </c>
      <c r="F114" s="1067">
        <v>1292691489.811923</v>
      </c>
      <c r="G114" s="1067">
        <v>1754631816.3918271</v>
      </c>
      <c r="H114" s="1067">
        <v>161401153.95999998</v>
      </c>
      <c r="I114" s="1067">
        <v>829312867.23719692</v>
      </c>
      <c r="J114" s="1067">
        <v>215083314.65000007</v>
      </c>
      <c r="K114" s="1067">
        <v>57160422.899999984</v>
      </c>
      <c r="L114" s="1067">
        <v>150030632.30059192</v>
      </c>
      <c r="M114" s="1029">
        <f t="shared" si="26"/>
        <v>4904890264.9046021</v>
      </c>
      <c r="N114" s="14"/>
    </row>
    <row r="115" spans="1:14" ht="13">
      <c r="A115" s="549">
        <f t="shared" si="27"/>
        <v>57</v>
      </c>
      <c r="B115" s="699" t="s">
        <v>2716</v>
      </c>
      <c r="C115" s="1067">
        <v>20577668.807499986</v>
      </c>
      <c r="D115" s="1067">
        <v>95087811.519999981</v>
      </c>
      <c r="E115" s="1067">
        <v>329083319.18957442</v>
      </c>
      <c r="F115" s="1067">
        <v>1293611335.988559</v>
      </c>
      <c r="G115" s="1067">
        <v>1754620750.9018264</v>
      </c>
      <c r="H115" s="1067">
        <v>161383535.87999997</v>
      </c>
      <c r="I115" s="1067">
        <v>829682367.26719689</v>
      </c>
      <c r="J115" s="1067">
        <v>215091766.52000007</v>
      </c>
      <c r="K115" s="1067">
        <v>57166646.05999998</v>
      </c>
      <c r="L115" s="1067">
        <v>149996843.7205919</v>
      </c>
      <c r="M115" s="1029">
        <f t="shared" si="26"/>
        <v>4906302045.8552494</v>
      </c>
      <c r="N115" s="14"/>
    </row>
    <row r="116" spans="1:14" ht="13">
      <c r="A116" s="549">
        <f t="shared" si="27"/>
        <v>58</v>
      </c>
      <c r="B116" s="700" t="s">
        <v>2717</v>
      </c>
      <c r="C116" s="1067">
        <v>20612785.207499985</v>
      </c>
      <c r="D116" s="1067">
        <v>95087816.019999981</v>
      </c>
      <c r="E116" s="1067">
        <v>329069498.01574641</v>
      </c>
      <c r="F116" s="1067">
        <v>1297687227.9066391</v>
      </c>
      <c r="G116" s="1067">
        <v>1754611834.4218268</v>
      </c>
      <c r="H116" s="1067">
        <v>161337213.47999996</v>
      </c>
      <c r="I116" s="1067">
        <v>829870056.52719712</v>
      </c>
      <c r="J116" s="1067">
        <v>215101239.05000007</v>
      </c>
      <c r="K116" s="1067">
        <v>57164744.639999978</v>
      </c>
      <c r="L116" s="1067">
        <v>149965562.92059189</v>
      </c>
      <c r="M116" s="1029">
        <f t="shared" si="26"/>
        <v>4910507978.1895027</v>
      </c>
      <c r="N116" s="14"/>
    </row>
    <row r="117" spans="1:14" ht="13">
      <c r="A117" s="549">
        <f t="shared" si="27"/>
        <v>59</v>
      </c>
      <c r="B117" s="699" t="s">
        <v>2718</v>
      </c>
      <c r="C117" s="1067">
        <v>20624511.307499986</v>
      </c>
      <c r="D117" s="1067">
        <v>95089312.189999983</v>
      </c>
      <c r="E117" s="1067">
        <v>329155716.14535242</v>
      </c>
      <c r="F117" s="1067">
        <v>1298849024.1198652</v>
      </c>
      <c r="G117" s="1067">
        <v>1754624839.7018268</v>
      </c>
      <c r="H117" s="1067">
        <v>161340092.30999997</v>
      </c>
      <c r="I117" s="1067">
        <v>829959416.39719701</v>
      </c>
      <c r="J117" s="1067">
        <v>215102661.09000006</v>
      </c>
      <c r="K117" s="1067">
        <v>57164932.229999982</v>
      </c>
      <c r="L117" s="1067">
        <v>149974955.90059188</v>
      </c>
      <c r="M117" s="1029">
        <f t="shared" si="26"/>
        <v>4911885461.392333</v>
      </c>
      <c r="N117" s="14"/>
    </row>
    <row r="118" spans="1:14" ht="13">
      <c r="A118" s="549">
        <f t="shared" si="27"/>
        <v>60</v>
      </c>
      <c r="B118" s="699" t="s">
        <v>2719</v>
      </c>
      <c r="C118" s="1067">
        <v>20638225.837499987</v>
      </c>
      <c r="D118" s="1067">
        <v>95090016.849999979</v>
      </c>
      <c r="E118" s="1067">
        <v>329146710.31651038</v>
      </c>
      <c r="F118" s="1067">
        <v>1298908214.7748952</v>
      </c>
      <c r="G118" s="1067">
        <v>1758264468.7018266</v>
      </c>
      <c r="H118" s="1067">
        <v>165485920.68999997</v>
      </c>
      <c r="I118" s="1067">
        <v>836967843.20719695</v>
      </c>
      <c r="J118" s="1067">
        <v>215105105.70000008</v>
      </c>
      <c r="K118" s="1067">
        <v>57166256.589999981</v>
      </c>
      <c r="L118" s="1067">
        <v>149968394.43059188</v>
      </c>
      <c r="M118" s="1029">
        <f t="shared" si="26"/>
        <v>4926741157.0985203</v>
      </c>
      <c r="N118" s="14"/>
    </row>
    <row r="119" spans="1:14" ht="13">
      <c r="A119" s="549">
        <f t="shared" si="27"/>
        <v>61</v>
      </c>
      <c r="B119" s="700" t="s">
        <v>2720</v>
      </c>
      <c r="C119" s="1067">
        <v>20648719.497499987</v>
      </c>
      <c r="D119" s="1067">
        <v>95090785.289999977</v>
      </c>
      <c r="E119" s="1067">
        <v>335426458.86277837</v>
      </c>
      <c r="F119" s="1067">
        <v>1292823681.2898712</v>
      </c>
      <c r="G119" s="1067">
        <v>1758319662.3118265</v>
      </c>
      <c r="H119" s="1067">
        <v>165536924.23999998</v>
      </c>
      <c r="I119" s="1067">
        <v>837048087.79719698</v>
      </c>
      <c r="J119" s="1067">
        <v>215107606.24000007</v>
      </c>
      <c r="K119" s="1067">
        <v>57166800.179999985</v>
      </c>
      <c r="L119" s="1067">
        <v>150024406.63059187</v>
      </c>
      <c r="M119" s="1029">
        <f t="shared" si="26"/>
        <v>4927193132.3397655</v>
      </c>
      <c r="N119" s="14"/>
    </row>
    <row r="120" spans="1:14" ht="13">
      <c r="A120" s="549">
        <f t="shared" si="27"/>
        <v>62</v>
      </c>
      <c r="B120" s="699" t="s">
        <v>2721</v>
      </c>
      <c r="C120" s="1067">
        <v>20648117.217499986</v>
      </c>
      <c r="D120" s="1067">
        <v>95091385.479999974</v>
      </c>
      <c r="E120" s="1067">
        <v>335457528.12969041</v>
      </c>
      <c r="F120" s="1067">
        <v>1292934462.6269553</v>
      </c>
      <c r="G120" s="1067">
        <v>1758292635.5618267</v>
      </c>
      <c r="H120" s="1067">
        <v>165532738.23999998</v>
      </c>
      <c r="I120" s="1067">
        <v>837281681.88719678</v>
      </c>
      <c r="J120" s="1067">
        <v>215110314.06000006</v>
      </c>
      <c r="K120" s="1067">
        <v>57168097.229999982</v>
      </c>
      <c r="L120" s="1067">
        <v>149981736.80059186</v>
      </c>
      <c r="M120" s="1029">
        <f t="shared" si="26"/>
        <v>4927498697.2337599</v>
      </c>
      <c r="N120" s="14"/>
    </row>
    <row r="121" spans="1:14" ht="13">
      <c r="A121" s="549">
        <f t="shared" si="27"/>
        <v>63</v>
      </c>
      <c r="B121" s="699" t="s">
        <v>2722</v>
      </c>
      <c r="C121" s="1067">
        <v>20648117.327499986</v>
      </c>
      <c r="D121" s="1067">
        <v>95091385.369999975</v>
      </c>
      <c r="E121" s="1067">
        <v>335340081.34852034</v>
      </c>
      <c r="F121" s="1067">
        <v>1292651133.0829072</v>
      </c>
      <c r="G121" s="1067">
        <v>1757536359.6018271</v>
      </c>
      <c r="H121" s="1067">
        <v>165166373.24999997</v>
      </c>
      <c r="I121" s="1067">
        <v>836951752.18719697</v>
      </c>
      <c r="J121" s="1067">
        <v>215114802.77000007</v>
      </c>
      <c r="K121" s="1067">
        <v>57169757.999999985</v>
      </c>
      <c r="L121" s="1067">
        <v>149879256.83059186</v>
      </c>
      <c r="M121" s="1029">
        <f t="shared" si="26"/>
        <v>4925549019.7685442</v>
      </c>
      <c r="N121" s="14"/>
    </row>
    <row r="122" spans="1:14" ht="13">
      <c r="A122" s="549">
        <f t="shared" si="27"/>
        <v>64</v>
      </c>
      <c r="B122" s="700" t="s">
        <v>2723</v>
      </c>
      <c r="C122" s="1067">
        <v>20670199.627499986</v>
      </c>
      <c r="D122" s="1067">
        <v>95091385.369999975</v>
      </c>
      <c r="E122" s="1067">
        <v>335512229.17053437</v>
      </c>
      <c r="F122" s="1067">
        <v>1293141175.8360193</v>
      </c>
      <c r="G122" s="1067">
        <v>1737426704.5618272</v>
      </c>
      <c r="H122" s="1067">
        <v>167870906.75</v>
      </c>
      <c r="I122" s="1067">
        <v>842499896.3671968</v>
      </c>
      <c r="J122" s="1067">
        <v>215120934.46000007</v>
      </c>
      <c r="K122" s="1067">
        <v>57171904.999999985</v>
      </c>
      <c r="L122" s="1067">
        <v>163052602.09059185</v>
      </c>
      <c r="M122" s="1029">
        <f t="shared" si="26"/>
        <v>4927557939.2336693</v>
      </c>
      <c r="N122" s="14"/>
    </row>
    <row r="123" spans="1:14" ht="13">
      <c r="A123" s="549">
        <f t="shared" si="27"/>
        <v>65</v>
      </c>
      <c r="B123" s="700" t="s">
        <v>2724</v>
      </c>
      <c r="C123" s="1067">
        <v>20673984.797499988</v>
      </c>
      <c r="D123" s="1067">
        <v>95092562.199999973</v>
      </c>
      <c r="E123" s="1067">
        <v>335524391.78283036</v>
      </c>
      <c r="F123" s="1067">
        <v>1301337170.3918171</v>
      </c>
      <c r="G123" s="1067">
        <v>1737601297.7818267</v>
      </c>
      <c r="H123" s="1067">
        <v>167993734.44999999</v>
      </c>
      <c r="I123" s="1067">
        <v>842634869.35719693</v>
      </c>
      <c r="J123" s="1067">
        <v>215124741.80000007</v>
      </c>
      <c r="K123" s="1067">
        <v>57171083.059999987</v>
      </c>
      <c r="L123" s="1067">
        <v>162846641.01059183</v>
      </c>
      <c r="M123" s="1029">
        <f t="shared" si="26"/>
        <v>4936000476.6317625</v>
      </c>
      <c r="N123" s="14"/>
    </row>
    <row r="124" spans="1:14" ht="13">
      <c r="A124" s="549">
        <f t="shared" si="27"/>
        <v>66</v>
      </c>
      <c r="B124" s="699" t="s">
        <v>2725</v>
      </c>
      <c r="C124" s="1067">
        <v>20675722.857499987</v>
      </c>
      <c r="D124" s="1067">
        <v>95092826.639999971</v>
      </c>
      <c r="E124" s="1067">
        <v>333843687.6868304</v>
      </c>
      <c r="F124" s="1067">
        <v>1294959444.9267893</v>
      </c>
      <c r="G124" s="1067">
        <v>1739540403.1518271</v>
      </c>
      <c r="H124" s="1067">
        <v>168357695.07999998</v>
      </c>
      <c r="I124" s="1067">
        <v>843258351.60719705</v>
      </c>
      <c r="J124" s="1067">
        <v>215116562.16000009</v>
      </c>
      <c r="K124" s="1067">
        <v>57162899.379999988</v>
      </c>
      <c r="L124" s="1067">
        <v>162864515.90059182</v>
      </c>
      <c r="M124" s="1029">
        <f t="shared" si="26"/>
        <v>4930872109.3907356</v>
      </c>
      <c r="N124" s="14"/>
    </row>
    <row r="125" spans="1:14" ht="13">
      <c r="A125" s="549"/>
      <c r="B125" s="1049"/>
      <c r="C125" s="229"/>
      <c r="D125" s="229"/>
      <c r="E125" s="229"/>
      <c r="F125" s="229"/>
      <c r="G125" s="229"/>
      <c r="H125" s="229"/>
      <c r="I125" s="229"/>
      <c r="J125" s="229"/>
      <c r="K125" s="229"/>
      <c r="L125" s="229"/>
      <c r="M125" s="229"/>
      <c r="N125" s="14"/>
    </row>
    <row r="126" spans="1:14" ht="13">
      <c r="B126" s="44" t="s">
        <v>2350</v>
      </c>
      <c r="C126" s="14"/>
      <c r="D126" s="14"/>
      <c r="E126" s="14"/>
      <c r="F126" s="14"/>
      <c r="G126" s="14"/>
    </row>
    <row r="127" spans="1:14">
      <c r="B127" s="14"/>
      <c r="C127" s="14"/>
      <c r="D127" s="14"/>
      <c r="E127" s="14"/>
      <c r="F127" s="14"/>
      <c r="G127" s="14"/>
    </row>
    <row r="128" spans="1:14" ht="13">
      <c r="A128" s="382"/>
      <c r="B128" s="351" t="s">
        <v>358</v>
      </c>
      <c r="C128" s="351" t="s">
        <v>342</v>
      </c>
      <c r="D128" s="351" t="s">
        <v>343</v>
      </c>
      <c r="E128" s="351" t="s">
        <v>344</v>
      </c>
      <c r="F128" s="351" t="s">
        <v>345</v>
      </c>
      <c r="G128" s="351" t="s">
        <v>346</v>
      </c>
      <c r="H128" s="84" t="s">
        <v>347</v>
      </c>
      <c r="I128" s="84" t="s">
        <v>534</v>
      </c>
      <c r="J128" s="84" t="s">
        <v>949</v>
      </c>
      <c r="K128" s="84" t="s">
        <v>961</v>
      </c>
      <c r="L128" s="84" t="s">
        <v>964</v>
      </c>
      <c r="M128" s="84" t="s">
        <v>982</v>
      </c>
    </row>
    <row r="129" spans="1:16">
      <c r="A129" s="227"/>
      <c r="B129" s="440"/>
      <c r="C129" s="235"/>
      <c r="D129" s="235"/>
      <c r="E129" s="235"/>
      <c r="F129" s="235"/>
      <c r="G129" s="235"/>
      <c r="H129" s="227"/>
      <c r="I129" s="227"/>
      <c r="J129" s="227"/>
      <c r="K129" s="227"/>
      <c r="M129" s="243" t="s">
        <v>1214</v>
      </c>
    </row>
    <row r="130" spans="1:16" ht="13">
      <c r="A130" s="51"/>
      <c r="B130" s="122" t="s">
        <v>1748</v>
      </c>
      <c r="C130" s="351">
        <v>350.1</v>
      </c>
      <c r="D130" s="351">
        <v>350.2</v>
      </c>
      <c r="E130" s="351">
        <v>352</v>
      </c>
      <c r="F130" s="351">
        <v>353</v>
      </c>
      <c r="G130" s="351">
        <v>354</v>
      </c>
      <c r="H130" s="84">
        <v>355</v>
      </c>
      <c r="I130" s="84">
        <v>356</v>
      </c>
      <c r="J130" s="84">
        <v>357</v>
      </c>
      <c r="K130" s="84">
        <v>358</v>
      </c>
      <c r="L130" s="84">
        <v>359</v>
      </c>
      <c r="M130" s="3" t="s">
        <v>196</v>
      </c>
    </row>
    <row r="131" spans="1:16" ht="13">
      <c r="A131" s="549">
        <f>A124+1</f>
        <v>67</v>
      </c>
      <c r="B131" s="931" t="s">
        <v>2714</v>
      </c>
      <c r="C131" s="1494">
        <f t="shared" ref="C131:L131" si="28">C113-C112</f>
        <v>10290.579999998212</v>
      </c>
      <c r="D131" s="1494">
        <f t="shared" si="28"/>
        <v>739.42000000178814</v>
      </c>
      <c r="E131" s="1494">
        <f t="shared" si="28"/>
        <v>470586.29378402233</v>
      </c>
      <c r="F131" s="1494">
        <f t="shared" si="28"/>
        <v>1254499.65716362</v>
      </c>
      <c r="G131" s="1494">
        <f t="shared" si="28"/>
        <v>-224824.98999977112</v>
      </c>
      <c r="H131" s="1494">
        <f t="shared" si="28"/>
        <v>-273603.8900000155</v>
      </c>
      <c r="I131" s="1494">
        <f t="shared" si="28"/>
        <v>944174.66999995708</v>
      </c>
      <c r="J131" s="1494">
        <f t="shared" si="28"/>
        <v>3949.25</v>
      </c>
      <c r="K131" s="1494">
        <f t="shared" si="28"/>
        <v>1263.640000000596</v>
      </c>
      <c r="L131" s="1494">
        <f t="shared" si="28"/>
        <v>-316387.00999999046</v>
      </c>
      <c r="M131" s="1494">
        <f t="shared" ref="M131:M142" si="29">SUM(C131:L131)</f>
        <v>1870687.6209478229</v>
      </c>
      <c r="N131" s="14"/>
      <c r="P131" s="7"/>
    </row>
    <row r="132" spans="1:16" ht="13">
      <c r="A132" s="549">
        <f t="shared" ref="A132:A143" si="30">A131+1</f>
        <v>68</v>
      </c>
      <c r="B132" s="699" t="s">
        <v>2715</v>
      </c>
      <c r="C132" s="1494">
        <f t="shared" ref="C132:L132" si="31">C114-C113</f>
        <v>-587.82000000029802</v>
      </c>
      <c r="D132" s="1494">
        <f t="shared" si="31"/>
        <v>587.81999999284744</v>
      </c>
      <c r="E132" s="1494">
        <f t="shared" si="31"/>
        <v>882579.74758011103</v>
      </c>
      <c r="F132" s="1494">
        <f t="shared" si="31"/>
        <v>6190928.602148056</v>
      </c>
      <c r="G132" s="1494">
        <f t="shared" si="31"/>
        <v>82846.77999997139</v>
      </c>
      <c r="H132" s="1494">
        <f t="shared" si="31"/>
        <v>74729.269999980927</v>
      </c>
      <c r="I132" s="1494">
        <f t="shared" si="31"/>
        <v>579634.04999995232</v>
      </c>
      <c r="J132" s="1494">
        <f t="shared" si="31"/>
        <v>4434.5699999928474</v>
      </c>
      <c r="K132" s="1494">
        <f t="shared" si="31"/>
        <v>1222.1199999973178</v>
      </c>
      <c r="L132" s="1494">
        <f t="shared" si="31"/>
        <v>102574.78999999166</v>
      </c>
      <c r="M132" s="1494">
        <f t="shared" si="29"/>
        <v>7918949.9297280461</v>
      </c>
      <c r="N132" s="14"/>
      <c r="P132" s="7"/>
    </row>
    <row r="133" spans="1:16" ht="13">
      <c r="A133" s="549">
        <f t="shared" si="30"/>
        <v>69</v>
      </c>
      <c r="B133" s="699" t="s">
        <v>2716</v>
      </c>
      <c r="C133" s="1494">
        <f t="shared" ref="C133:L133" si="32">C115-C114</f>
        <v>84.5</v>
      </c>
      <c r="D133" s="1494">
        <f t="shared" si="32"/>
        <v>0</v>
      </c>
      <c r="E133" s="1494">
        <f t="shared" si="32"/>
        <v>170147.36400991678</v>
      </c>
      <c r="F133" s="1494">
        <f t="shared" si="32"/>
        <v>919846.17663598061</v>
      </c>
      <c r="G133" s="1494">
        <f t="shared" si="32"/>
        <v>-11065.490000724792</v>
      </c>
      <c r="H133" s="1494">
        <f t="shared" si="32"/>
        <v>-17618.080000013113</v>
      </c>
      <c r="I133" s="1494">
        <f t="shared" si="32"/>
        <v>369500.02999997139</v>
      </c>
      <c r="J133" s="1494">
        <f t="shared" si="32"/>
        <v>8451.8700000047684</v>
      </c>
      <c r="K133" s="1494">
        <f t="shared" si="32"/>
        <v>6223.1599999964237</v>
      </c>
      <c r="L133" s="1494">
        <f t="shared" si="32"/>
        <v>-33788.580000013113</v>
      </c>
      <c r="M133" s="1494">
        <f t="shared" si="29"/>
        <v>1411780.950645119</v>
      </c>
      <c r="N133" s="14"/>
      <c r="P133" s="7"/>
    </row>
    <row r="134" spans="1:16" ht="13">
      <c r="A134" s="549">
        <f t="shared" si="30"/>
        <v>70</v>
      </c>
      <c r="B134" s="700" t="s">
        <v>2717</v>
      </c>
      <c r="C134" s="1494">
        <f t="shared" ref="C134:L134" si="33">C116-C115</f>
        <v>35116.39999999851</v>
      </c>
      <c r="D134" s="1494">
        <f t="shared" si="33"/>
        <v>4.5</v>
      </c>
      <c r="E134" s="1494">
        <f t="shared" si="33"/>
        <v>-13821.173828005791</v>
      </c>
      <c r="F134" s="1494">
        <f t="shared" si="33"/>
        <v>4075891.9180800915</v>
      </c>
      <c r="G134" s="1494">
        <f t="shared" si="33"/>
        <v>-8916.4799995422363</v>
      </c>
      <c r="H134" s="1494">
        <f t="shared" si="33"/>
        <v>-46322.40000000596</v>
      </c>
      <c r="I134" s="1494">
        <f t="shared" si="33"/>
        <v>187689.26000022888</v>
      </c>
      <c r="J134" s="1494">
        <f t="shared" si="33"/>
        <v>9472.5300000011921</v>
      </c>
      <c r="K134" s="1494">
        <f t="shared" si="33"/>
        <v>-1901.4200000017881</v>
      </c>
      <c r="L134" s="1494">
        <f t="shared" si="33"/>
        <v>-31280.800000011921</v>
      </c>
      <c r="M134" s="1494">
        <f t="shared" si="29"/>
        <v>4205932.3342527524</v>
      </c>
      <c r="N134" s="14"/>
      <c r="P134" s="7"/>
    </row>
    <row r="135" spans="1:16" ht="13">
      <c r="A135" s="549">
        <f t="shared" si="30"/>
        <v>71</v>
      </c>
      <c r="B135" s="699" t="s">
        <v>2718</v>
      </c>
      <c r="C135" s="1494">
        <f t="shared" ref="C135:L135" si="34">C117-C116</f>
        <v>11726.10000000149</v>
      </c>
      <c r="D135" s="1494">
        <f t="shared" si="34"/>
        <v>1496.1700000017881</v>
      </c>
      <c r="E135" s="1494">
        <f t="shared" si="34"/>
        <v>86218.12960600853</v>
      </c>
      <c r="F135" s="1494">
        <f t="shared" si="34"/>
        <v>1161796.2132260799</v>
      </c>
      <c r="G135" s="1494">
        <f t="shared" si="34"/>
        <v>13005.27999997139</v>
      </c>
      <c r="H135" s="1494">
        <f t="shared" si="34"/>
        <v>2878.830000013113</v>
      </c>
      <c r="I135" s="1494">
        <f t="shared" si="34"/>
        <v>89359.869999885559</v>
      </c>
      <c r="J135" s="1494">
        <f t="shared" si="34"/>
        <v>1422.0399999916553</v>
      </c>
      <c r="K135" s="1494">
        <f t="shared" si="34"/>
        <v>187.59000000357628</v>
      </c>
      <c r="L135" s="1494">
        <f t="shared" si="34"/>
        <v>9392.9799999892712</v>
      </c>
      <c r="M135" s="1494">
        <f t="shared" si="29"/>
        <v>1377483.2028319463</v>
      </c>
      <c r="N135" s="14"/>
      <c r="P135" s="7"/>
    </row>
    <row r="136" spans="1:16" ht="13">
      <c r="A136" s="549">
        <f t="shared" si="30"/>
        <v>72</v>
      </c>
      <c r="B136" s="699" t="s">
        <v>2719</v>
      </c>
      <c r="C136" s="1494">
        <f t="shared" ref="C136:L136" si="35">C118-C117</f>
        <v>13714.530000001192</v>
      </c>
      <c r="D136" s="1494">
        <f t="shared" si="35"/>
        <v>704.65999999642372</v>
      </c>
      <c r="E136" s="1494">
        <f t="shared" si="35"/>
        <v>-9005.8288420438766</v>
      </c>
      <c r="F136" s="1494">
        <f t="shared" si="35"/>
        <v>59190.655030012131</v>
      </c>
      <c r="G136" s="1494">
        <f t="shared" si="35"/>
        <v>3639628.9999997616</v>
      </c>
      <c r="H136" s="1494">
        <f t="shared" si="35"/>
        <v>4145828.3799999952</v>
      </c>
      <c r="I136" s="1494">
        <f t="shared" si="35"/>
        <v>7008426.8099999428</v>
      </c>
      <c r="J136" s="1494">
        <f t="shared" si="35"/>
        <v>2444.6100000143051</v>
      </c>
      <c r="K136" s="1494">
        <f t="shared" si="35"/>
        <v>1324.359999999404</v>
      </c>
      <c r="L136" s="1494">
        <f t="shared" si="35"/>
        <v>-6561.4699999988079</v>
      </c>
      <c r="M136" s="1494">
        <f t="shared" si="29"/>
        <v>14855695.70618768</v>
      </c>
      <c r="N136" s="14"/>
      <c r="P136" s="7"/>
    </row>
    <row r="137" spans="1:16" ht="13">
      <c r="A137" s="549">
        <f t="shared" si="30"/>
        <v>73</v>
      </c>
      <c r="B137" s="700" t="s">
        <v>2720</v>
      </c>
      <c r="C137" s="1494">
        <f t="shared" ref="C137:L137" si="36">C119-C118</f>
        <v>10493.660000000149</v>
      </c>
      <c r="D137" s="1494">
        <f t="shared" si="36"/>
        <v>768.43999999761581</v>
      </c>
      <c r="E137" s="1494">
        <f t="shared" si="36"/>
        <v>6279748.5462679863</v>
      </c>
      <c r="F137" s="1494">
        <f t="shared" si="36"/>
        <v>-6084533.4850239754</v>
      </c>
      <c r="G137" s="1494">
        <f t="shared" si="36"/>
        <v>55193.609999895096</v>
      </c>
      <c r="H137" s="1494">
        <f t="shared" si="36"/>
        <v>51003.550000011921</v>
      </c>
      <c r="I137" s="1494">
        <f t="shared" si="36"/>
        <v>80244.590000033379</v>
      </c>
      <c r="J137" s="1494">
        <f t="shared" si="36"/>
        <v>2500.5399999916553</v>
      </c>
      <c r="K137" s="1494">
        <f t="shared" si="36"/>
        <v>543.59000000357628</v>
      </c>
      <c r="L137" s="1494">
        <f t="shared" si="36"/>
        <v>56012.199999988079</v>
      </c>
      <c r="M137" s="1494">
        <f t="shared" si="29"/>
        <v>451975.2412439324</v>
      </c>
      <c r="N137" s="14"/>
      <c r="P137" s="7"/>
    </row>
    <row r="138" spans="1:16" ht="13">
      <c r="A138" s="549">
        <f t="shared" si="30"/>
        <v>74</v>
      </c>
      <c r="B138" s="699" t="s">
        <v>2721</v>
      </c>
      <c r="C138" s="1494">
        <f t="shared" ref="C138:L138" si="37">C120-C119</f>
        <v>-602.28000000119209</v>
      </c>
      <c r="D138" s="1494">
        <f t="shared" si="37"/>
        <v>600.18999999761581</v>
      </c>
      <c r="E138" s="1494">
        <f t="shared" si="37"/>
        <v>31069.266912043095</v>
      </c>
      <c r="F138" s="1494">
        <f t="shared" si="37"/>
        <v>110781.33708405495</v>
      </c>
      <c r="G138" s="1494">
        <f t="shared" si="37"/>
        <v>-27026.749999761581</v>
      </c>
      <c r="H138" s="1494">
        <f t="shared" si="37"/>
        <v>-4186</v>
      </c>
      <c r="I138" s="1494">
        <f t="shared" si="37"/>
        <v>233594.08999979496</v>
      </c>
      <c r="J138" s="1494">
        <f t="shared" si="37"/>
        <v>2707.8199999928474</v>
      </c>
      <c r="K138" s="1494">
        <f t="shared" si="37"/>
        <v>1297.0499999970198</v>
      </c>
      <c r="L138" s="1494">
        <f t="shared" si="37"/>
        <v>-42669.830000013113</v>
      </c>
      <c r="M138" s="1494">
        <f t="shared" si="29"/>
        <v>305564.8939961046</v>
      </c>
      <c r="N138" s="14"/>
      <c r="P138" s="7"/>
    </row>
    <row r="139" spans="1:16" ht="13">
      <c r="A139" s="549">
        <f t="shared" si="30"/>
        <v>75</v>
      </c>
      <c r="B139" s="699" t="s">
        <v>2722</v>
      </c>
      <c r="C139" s="1494">
        <f t="shared" ref="C139:L139" si="38">C121-C120</f>
        <v>0.10999999940395355</v>
      </c>
      <c r="D139" s="1494">
        <f t="shared" si="38"/>
        <v>-0.10999999940395355</v>
      </c>
      <c r="E139" s="1494">
        <f t="shared" si="38"/>
        <v>-117446.78117007017</v>
      </c>
      <c r="F139" s="1494">
        <f t="shared" si="38"/>
        <v>-283329.54404807091</v>
      </c>
      <c r="G139" s="1494">
        <f t="shared" si="38"/>
        <v>-756275.95999956131</v>
      </c>
      <c r="H139" s="1494">
        <f t="shared" si="38"/>
        <v>-366364.99000000954</v>
      </c>
      <c r="I139" s="1494">
        <f t="shared" si="38"/>
        <v>-329929.69999980927</v>
      </c>
      <c r="J139" s="1494">
        <f t="shared" si="38"/>
        <v>4488.7100000083447</v>
      </c>
      <c r="K139" s="1494">
        <f t="shared" si="38"/>
        <v>1660.7700000032783</v>
      </c>
      <c r="L139" s="1494">
        <f t="shared" si="38"/>
        <v>-102479.96999999881</v>
      </c>
      <c r="M139" s="1494">
        <f t="shared" si="29"/>
        <v>-1949677.4652175084</v>
      </c>
      <c r="N139" s="14"/>
      <c r="P139" s="7"/>
    </row>
    <row r="140" spans="1:16" ht="13">
      <c r="A140" s="549">
        <f t="shared" si="30"/>
        <v>76</v>
      </c>
      <c r="B140" s="700" t="s">
        <v>2723</v>
      </c>
      <c r="C140" s="1494">
        <f t="shared" ref="C140:L140" si="39">C122-C121</f>
        <v>22082.300000000745</v>
      </c>
      <c r="D140" s="1494">
        <f t="shared" si="39"/>
        <v>0</v>
      </c>
      <c r="E140" s="1494">
        <f t="shared" si="39"/>
        <v>172147.82201403379</v>
      </c>
      <c r="F140" s="1494">
        <f t="shared" si="39"/>
        <v>490042.75311207771</v>
      </c>
      <c r="G140" s="1494">
        <f t="shared" si="39"/>
        <v>-20109655.039999962</v>
      </c>
      <c r="H140" s="1494">
        <f t="shared" si="39"/>
        <v>2704533.5000000298</v>
      </c>
      <c r="I140" s="1494">
        <f t="shared" si="39"/>
        <v>5548144.1799998283</v>
      </c>
      <c r="J140" s="1494">
        <f t="shared" si="39"/>
        <v>6131.6899999976158</v>
      </c>
      <c r="K140" s="1494">
        <f t="shared" si="39"/>
        <v>2147</v>
      </c>
      <c r="L140" s="1494">
        <f t="shared" si="39"/>
        <v>13173345.25999999</v>
      </c>
      <c r="M140" s="1494">
        <f t="shared" si="29"/>
        <v>2008919.4651259966</v>
      </c>
      <c r="N140" s="14"/>
      <c r="P140" s="7"/>
    </row>
    <row r="141" spans="1:16" ht="13">
      <c r="A141" s="549">
        <f t="shared" si="30"/>
        <v>77</v>
      </c>
      <c r="B141" s="700" t="s">
        <v>2724</v>
      </c>
      <c r="C141" s="1494">
        <f t="shared" ref="C141:L141" si="40">C123-C122</f>
        <v>3785.1700000017881</v>
      </c>
      <c r="D141" s="1494">
        <f t="shared" si="40"/>
        <v>1176.8299999982119</v>
      </c>
      <c r="E141" s="1494">
        <f t="shared" si="40"/>
        <v>12162.612295985222</v>
      </c>
      <c r="F141" s="1494">
        <f t="shared" si="40"/>
        <v>8195994.5557978153</v>
      </c>
      <c r="G141" s="1494">
        <f t="shared" si="40"/>
        <v>174593.21999955177</v>
      </c>
      <c r="H141" s="1494">
        <f t="shared" si="40"/>
        <v>122827.69999998808</v>
      </c>
      <c r="I141" s="1494">
        <f t="shared" si="40"/>
        <v>134972.99000012875</v>
      </c>
      <c r="J141" s="1494">
        <f t="shared" si="40"/>
        <v>3807.3400000035763</v>
      </c>
      <c r="K141" s="1494">
        <f t="shared" si="40"/>
        <v>-821.93999999761581</v>
      </c>
      <c r="L141" s="1494">
        <f t="shared" si="40"/>
        <v>-205961.08000001311</v>
      </c>
      <c r="M141" s="1494">
        <f t="shared" si="29"/>
        <v>8442537.398093462</v>
      </c>
      <c r="N141" s="14"/>
      <c r="P141" s="7"/>
    </row>
    <row r="142" spans="1:16" ht="13">
      <c r="A142" s="549">
        <f t="shared" si="30"/>
        <v>78</v>
      </c>
      <c r="B142" s="699" t="s">
        <v>2725</v>
      </c>
      <c r="C142" s="1495">
        <f t="shared" ref="C142:L142" si="41">C124-C123</f>
        <v>1738.0599999986589</v>
      </c>
      <c r="D142" s="1495">
        <f t="shared" si="41"/>
        <v>264.43999999761581</v>
      </c>
      <c r="E142" s="1495">
        <f t="shared" si="41"/>
        <v>-1680704.0959999561</v>
      </c>
      <c r="F142" s="1495">
        <f t="shared" si="41"/>
        <v>-6377725.4650278091</v>
      </c>
      <c r="G142" s="1495">
        <f t="shared" si="41"/>
        <v>1939105.3700003624</v>
      </c>
      <c r="H142" s="1495">
        <f t="shared" si="41"/>
        <v>363960.62999999523</v>
      </c>
      <c r="I142" s="1495">
        <f t="shared" si="41"/>
        <v>623482.25000011921</v>
      </c>
      <c r="J142" s="1495">
        <f t="shared" si="41"/>
        <v>-8179.6399999856949</v>
      </c>
      <c r="K142" s="1495">
        <f t="shared" si="41"/>
        <v>-8183.679999999702</v>
      </c>
      <c r="L142" s="1495">
        <f t="shared" si="41"/>
        <v>17874.889999985695</v>
      </c>
      <c r="M142" s="1495">
        <f t="shared" si="29"/>
        <v>-5128367.2410272919</v>
      </c>
      <c r="N142" s="14"/>
      <c r="P142" s="7"/>
    </row>
    <row r="143" spans="1:16" ht="13">
      <c r="A143" s="549">
        <f t="shared" si="30"/>
        <v>79</v>
      </c>
      <c r="B143" s="1049" t="s">
        <v>4</v>
      </c>
      <c r="C143" s="1494">
        <f t="shared" ref="C143:M143" si="42">SUM(C131:C142)</f>
        <v>107841.30999999866</v>
      </c>
      <c r="D143" s="1494">
        <f t="shared" si="42"/>
        <v>6342.3599999845028</v>
      </c>
      <c r="E143" s="1494">
        <f t="shared" si="42"/>
        <v>6283681.9026300311</v>
      </c>
      <c r="F143" s="1494">
        <f t="shared" si="42"/>
        <v>9713383.3741779327</v>
      </c>
      <c r="G143" s="1494">
        <f t="shared" si="42"/>
        <v>-15233391.449999809</v>
      </c>
      <c r="H143" s="1494">
        <f t="shared" si="42"/>
        <v>6757666.4999999702</v>
      </c>
      <c r="I143" s="1494">
        <f t="shared" si="42"/>
        <v>15469293.090000033</v>
      </c>
      <c r="J143" s="1494">
        <f t="shared" si="42"/>
        <v>41631.330000013113</v>
      </c>
      <c r="K143" s="1494">
        <f t="shared" si="42"/>
        <v>4962.2400000020862</v>
      </c>
      <c r="L143" s="1494">
        <f t="shared" si="42"/>
        <v>12620071.379999906</v>
      </c>
      <c r="M143" s="1494">
        <f t="shared" si="42"/>
        <v>35771482.036808059</v>
      </c>
      <c r="N143" s="14"/>
      <c r="P143" s="7"/>
    </row>
    <row r="144" spans="1:16" ht="13">
      <c r="A144" s="549"/>
      <c r="B144" s="1049"/>
      <c r="C144" s="1148"/>
      <c r="D144" s="1148"/>
      <c r="E144" s="1148"/>
      <c r="F144" s="1148"/>
      <c r="G144" s="1148"/>
      <c r="H144" s="1148"/>
      <c r="I144" s="1148"/>
      <c r="J144" s="1148"/>
      <c r="K144" s="1148"/>
      <c r="L144" s="1148"/>
      <c r="M144" s="1148"/>
    </row>
    <row r="145" spans="1:14" ht="13">
      <c r="B145" s="1065" t="s">
        <v>2351</v>
      </c>
      <c r="C145" s="14"/>
      <c r="D145" s="14"/>
      <c r="E145" s="14"/>
      <c r="F145" s="14"/>
      <c r="G145" s="14"/>
    </row>
    <row r="146" spans="1:14">
      <c r="B146" s="14"/>
      <c r="C146" s="14"/>
      <c r="D146" s="14"/>
      <c r="E146" s="14"/>
      <c r="F146" s="14"/>
      <c r="G146" s="14"/>
    </row>
    <row r="147" spans="1:14" ht="13">
      <c r="A147" s="382"/>
      <c r="B147" s="351" t="s">
        <v>358</v>
      </c>
      <c r="C147" s="351" t="s">
        <v>342</v>
      </c>
      <c r="D147" s="351" t="s">
        <v>343</v>
      </c>
      <c r="E147" s="351" t="s">
        <v>344</v>
      </c>
      <c r="F147" s="351" t="s">
        <v>345</v>
      </c>
      <c r="G147" s="351" t="s">
        <v>346</v>
      </c>
      <c r="H147" s="84" t="s">
        <v>347</v>
      </c>
      <c r="I147" s="84" t="s">
        <v>534</v>
      </c>
      <c r="J147" s="84" t="s">
        <v>949</v>
      </c>
      <c r="K147" s="84" t="s">
        <v>961</v>
      </c>
      <c r="L147" s="84" t="s">
        <v>964</v>
      </c>
      <c r="M147" s="84" t="s">
        <v>982</v>
      </c>
    </row>
    <row r="148" spans="1:14">
      <c r="A148" s="227"/>
      <c r="B148" s="440"/>
      <c r="C148" s="235"/>
      <c r="D148" s="235"/>
      <c r="E148" s="235"/>
      <c r="F148" s="235"/>
      <c r="G148" s="235"/>
      <c r="H148" s="227"/>
      <c r="I148" s="227"/>
      <c r="J148" s="227"/>
      <c r="K148" s="227"/>
      <c r="M148" s="243" t="s">
        <v>1214</v>
      </c>
    </row>
    <row r="149" spans="1:14" ht="13">
      <c r="A149" s="51"/>
      <c r="B149" s="122" t="s">
        <v>1748</v>
      </c>
      <c r="C149" s="351">
        <v>350.1</v>
      </c>
      <c r="D149" s="351">
        <v>350.2</v>
      </c>
      <c r="E149" s="351">
        <v>352</v>
      </c>
      <c r="F149" s="351">
        <v>353</v>
      </c>
      <c r="G149" s="351">
        <v>354</v>
      </c>
      <c r="H149" s="84">
        <v>355</v>
      </c>
      <c r="I149" s="84">
        <v>356</v>
      </c>
      <c r="J149" s="84">
        <v>357</v>
      </c>
      <c r="K149" s="84">
        <v>358</v>
      </c>
      <c r="L149" s="84">
        <v>359</v>
      </c>
      <c r="M149" s="3" t="s">
        <v>196</v>
      </c>
    </row>
    <row r="150" spans="1:14" ht="13">
      <c r="A150" s="549">
        <f>A143+1</f>
        <v>80</v>
      </c>
      <c r="B150" s="700" t="s">
        <v>2714</v>
      </c>
      <c r="C150" s="1496">
        <f>C93-C131</f>
        <v>-1202.3700000047684</v>
      </c>
      <c r="D150" s="1496">
        <f t="shared" ref="D150:L161" si="43">D93-D131</f>
        <v>1815343.0900000185</v>
      </c>
      <c r="E150" s="1496">
        <f t="shared" si="43"/>
        <v>4159620.4362159967</v>
      </c>
      <c r="F150" s="1496">
        <f t="shared" si="43"/>
        <v>7219242.1728363037</v>
      </c>
      <c r="G150" s="1496">
        <f t="shared" si="43"/>
        <v>-1565702.1100001335</v>
      </c>
      <c r="H150" s="1496">
        <f t="shared" si="43"/>
        <v>17221943.600000054</v>
      </c>
      <c r="I150" s="1496">
        <f t="shared" si="43"/>
        <v>4157425.6000000238</v>
      </c>
      <c r="J150" s="1496">
        <f t="shared" si="43"/>
        <v>647.03000003099442</v>
      </c>
      <c r="K150" s="1496">
        <f t="shared" si="43"/>
        <v>-1262777.0600000173</v>
      </c>
      <c r="L150" s="1496">
        <f t="shared" si="43"/>
        <v>213777.08999997377</v>
      </c>
      <c r="M150" s="1496">
        <f t="shared" ref="M150:M161" si="44">SUM(C150:L150)</f>
        <v>31958317.479052246</v>
      </c>
      <c r="N150" s="14"/>
    </row>
    <row r="151" spans="1:14" ht="13">
      <c r="A151" s="549">
        <f t="shared" ref="A151:A162" si="45">A150+1</f>
        <v>81</v>
      </c>
      <c r="B151" s="699" t="s">
        <v>2715</v>
      </c>
      <c r="C151" s="1496">
        <f t="shared" ref="C151:C161" si="46">C94-C132</f>
        <v>7.4505805969238281E-9</v>
      </c>
      <c r="D151" s="1496">
        <f t="shared" si="43"/>
        <v>0</v>
      </c>
      <c r="E151" s="1496">
        <f t="shared" si="43"/>
        <v>5835585.6024197936</v>
      </c>
      <c r="F151" s="1496">
        <f t="shared" si="43"/>
        <v>43037335.567852974</v>
      </c>
      <c r="G151" s="1496">
        <f t="shared" si="43"/>
        <v>-340809.20999979973</v>
      </c>
      <c r="H151" s="1496">
        <f t="shared" si="43"/>
        <v>16063304.109999895</v>
      </c>
      <c r="I151" s="1496">
        <f t="shared" si="43"/>
        <v>1227527.5099999905</v>
      </c>
      <c r="J151" s="1496">
        <f t="shared" si="43"/>
        <v>109841.81000000238</v>
      </c>
      <c r="K151" s="1496">
        <f t="shared" si="43"/>
        <v>-465142.98000001162</v>
      </c>
      <c r="L151" s="1496">
        <f t="shared" si="43"/>
        <v>24530.850000023842</v>
      </c>
      <c r="M151" s="1496">
        <f t="shared" si="44"/>
        <v>65492173.260272875</v>
      </c>
      <c r="N151" s="14"/>
    </row>
    <row r="152" spans="1:14" ht="13">
      <c r="A152" s="549">
        <f t="shared" si="45"/>
        <v>82</v>
      </c>
      <c r="B152" s="699" t="s">
        <v>2716</v>
      </c>
      <c r="C152" s="1496">
        <f t="shared" si="46"/>
        <v>-1285.2600000053644</v>
      </c>
      <c r="D152" s="1496">
        <f t="shared" si="43"/>
        <v>8101.7000000178814</v>
      </c>
      <c r="E152" s="1496">
        <f t="shared" si="43"/>
        <v>4897077.6459900737</v>
      </c>
      <c r="F152" s="1496">
        <f t="shared" si="43"/>
        <v>18944283.773362875</v>
      </c>
      <c r="G152" s="1496">
        <f t="shared" si="43"/>
        <v>1977434.0700006485</v>
      </c>
      <c r="H152" s="1496">
        <f t="shared" si="43"/>
        <v>20543301.930000156</v>
      </c>
      <c r="I152" s="1496">
        <f t="shared" si="43"/>
        <v>3070959.6300001144</v>
      </c>
      <c r="J152" s="1496">
        <f t="shared" si="43"/>
        <v>1244.7299999594688</v>
      </c>
      <c r="K152" s="1496">
        <f t="shared" si="43"/>
        <v>2362230.9900000393</v>
      </c>
      <c r="L152" s="1496">
        <f t="shared" si="43"/>
        <v>4465.0100000202656</v>
      </c>
      <c r="M152" s="1496">
        <f t="shared" si="44"/>
        <v>51807814.219353899</v>
      </c>
      <c r="N152" s="14"/>
    </row>
    <row r="153" spans="1:14" ht="13">
      <c r="A153" s="549">
        <f t="shared" si="45"/>
        <v>83</v>
      </c>
      <c r="B153" s="700" t="s">
        <v>2717</v>
      </c>
      <c r="C153" s="1496">
        <f t="shared" si="46"/>
        <v>-7046.4999999925494</v>
      </c>
      <c r="D153" s="1496">
        <f t="shared" si="43"/>
        <v>1274.9099999964237</v>
      </c>
      <c r="E153" s="1496">
        <f t="shared" si="43"/>
        <v>13285510.863828063</v>
      </c>
      <c r="F153" s="1496">
        <f t="shared" si="43"/>
        <v>11397861.961920023</v>
      </c>
      <c r="G153" s="1496">
        <f t="shared" si="43"/>
        <v>9646999.6999993324</v>
      </c>
      <c r="H153" s="1496">
        <f t="shared" si="43"/>
        <v>10060822.630000025</v>
      </c>
      <c r="I153" s="1496">
        <f t="shared" si="43"/>
        <v>4686102.1699998379</v>
      </c>
      <c r="J153" s="1496">
        <f t="shared" si="43"/>
        <v>-212853.18999996781</v>
      </c>
      <c r="K153" s="1496">
        <f t="shared" si="43"/>
        <v>-927707.01999999583</v>
      </c>
      <c r="L153" s="1496">
        <f t="shared" si="43"/>
        <v>3541.7800000011921</v>
      </c>
      <c r="M153" s="1496">
        <f t="shared" si="44"/>
        <v>47934507.305747323</v>
      </c>
      <c r="N153" s="14"/>
    </row>
    <row r="154" spans="1:14" ht="13">
      <c r="A154" s="549">
        <f t="shared" si="45"/>
        <v>84</v>
      </c>
      <c r="B154" s="699" t="s">
        <v>2718</v>
      </c>
      <c r="C154" s="1496">
        <f t="shared" si="46"/>
        <v>-7888.4500000104308</v>
      </c>
      <c r="D154" s="1496">
        <f t="shared" si="43"/>
        <v>-4997.0700000077486</v>
      </c>
      <c r="E154" s="1496">
        <f t="shared" si="43"/>
        <v>34098116.890393972</v>
      </c>
      <c r="F154" s="1496">
        <f t="shared" si="43"/>
        <v>54897777.09677434</v>
      </c>
      <c r="G154" s="1496">
        <f t="shared" si="43"/>
        <v>266709.73000025749</v>
      </c>
      <c r="H154" s="1496">
        <f t="shared" si="43"/>
        <v>5181405.1000000536</v>
      </c>
      <c r="I154" s="1496">
        <f t="shared" si="43"/>
        <v>840715.28999996185</v>
      </c>
      <c r="J154" s="1496">
        <f t="shared" si="43"/>
        <v>96.260000020265579</v>
      </c>
      <c r="K154" s="1496">
        <f t="shared" si="43"/>
        <v>1440981.650000006</v>
      </c>
      <c r="L154" s="1496">
        <f t="shared" si="43"/>
        <v>4797.5600000023842</v>
      </c>
      <c r="M154" s="1496">
        <f t="shared" si="44"/>
        <v>96717714.057168603</v>
      </c>
      <c r="N154" s="14"/>
    </row>
    <row r="155" spans="1:14" ht="13">
      <c r="A155" s="549">
        <f t="shared" si="45"/>
        <v>85</v>
      </c>
      <c r="B155" s="699" t="s">
        <v>2719</v>
      </c>
      <c r="C155" s="1496">
        <f t="shared" si="46"/>
        <v>0</v>
      </c>
      <c r="D155" s="1496">
        <f t="shared" si="43"/>
        <v>-16.119999974966049</v>
      </c>
      <c r="E155" s="1496">
        <f t="shared" si="43"/>
        <v>-13116844.341158032</v>
      </c>
      <c r="F155" s="1496">
        <f t="shared" si="43"/>
        <v>73142963.264970064</v>
      </c>
      <c r="G155" s="1496">
        <f t="shared" si="43"/>
        <v>562182.41000008583</v>
      </c>
      <c r="H155" s="1496">
        <f t="shared" si="43"/>
        <v>42383889.539999843</v>
      </c>
      <c r="I155" s="1496">
        <f t="shared" si="43"/>
        <v>-29873844.929999828</v>
      </c>
      <c r="J155" s="1496">
        <f t="shared" si="43"/>
        <v>21878642.519999981</v>
      </c>
      <c r="K155" s="1496">
        <f t="shared" si="43"/>
        <v>22099228.909999982</v>
      </c>
      <c r="L155" s="1496">
        <f t="shared" si="43"/>
        <v>1268253.7700000107</v>
      </c>
      <c r="M155" s="1496">
        <f t="shared" si="44"/>
        <v>118344455.02381213</v>
      </c>
      <c r="N155" s="14"/>
    </row>
    <row r="156" spans="1:14" ht="13">
      <c r="A156" s="549">
        <f t="shared" si="45"/>
        <v>86</v>
      </c>
      <c r="B156" s="700" t="s">
        <v>2720</v>
      </c>
      <c r="C156" s="1496">
        <f t="shared" si="46"/>
        <v>1.1175870895385742E-8</v>
      </c>
      <c r="D156" s="1496">
        <f t="shared" si="43"/>
        <v>0</v>
      </c>
      <c r="E156" s="1496">
        <f t="shared" si="43"/>
        <v>33093329.793732166</v>
      </c>
      <c r="F156" s="1496">
        <f t="shared" si="43"/>
        <v>31540325.765022755</v>
      </c>
      <c r="G156" s="1496">
        <f t="shared" si="43"/>
        <v>2448221.8100001812</v>
      </c>
      <c r="H156" s="1496">
        <f t="shared" si="43"/>
        <v>8789616.6700000167</v>
      </c>
      <c r="I156" s="1496">
        <f t="shared" si="43"/>
        <v>5424973.9499999285</v>
      </c>
      <c r="J156" s="1496">
        <f t="shared" si="43"/>
        <v>2106411.8400000036</v>
      </c>
      <c r="K156" s="1496">
        <f t="shared" si="43"/>
        <v>-1162981.7100000083</v>
      </c>
      <c r="L156" s="1496">
        <f t="shared" si="43"/>
        <v>58559.180000007153</v>
      </c>
      <c r="M156" s="1496">
        <f t="shared" si="44"/>
        <v>82298457.298755065</v>
      </c>
      <c r="N156" s="14"/>
    </row>
    <row r="157" spans="1:14" ht="13">
      <c r="A157" s="549">
        <f t="shared" si="45"/>
        <v>87</v>
      </c>
      <c r="B157" s="699" t="s">
        <v>2721</v>
      </c>
      <c r="C157" s="1496">
        <f t="shared" si="46"/>
        <v>0</v>
      </c>
      <c r="D157" s="1496">
        <f t="shared" si="43"/>
        <v>1638.9699999988079</v>
      </c>
      <c r="E157" s="1496">
        <f t="shared" si="43"/>
        <v>4181539.9630877376</v>
      </c>
      <c r="F157" s="1496">
        <f t="shared" si="43"/>
        <v>102951649.77291656</v>
      </c>
      <c r="G157" s="1496">
        <f t="shared" si="43"/>
        <v>19325132.4599998</v>
      </c>
      <c r="H157" s="1496">
        <f t="shared" si="43"/>
        <v>-4263355.3199999332</v>
      </c>
      <c r="I157" s="1496">
        <f t="shared" si="43"/>
        <v>-4351274.6799997091</v>
      </c>
      <c r="J157" s="1496">
        <f t="shared" si="43"/>
        <v>12705.129999995232</v>
      </c>
      <c r="K157" s="1496">
        <f t="shared" si="43"/>
        <v>643131.89999999106</v>
      </c>
      <c r="L157" s="1496">
        <f t="shared" si="43"/>
        <v>6775.7500000298023</v>
      </c>
      <c r="M157" s="1496">
        <f t="shared" si="44"/>
        <v>118507943.94600447</v>
      </c>
      <c r="N157" s="14"/>
    </row>
    <row r="158" spans="1:14" ht="13">
      <c r="A158" s="549">
        <f t="shared" si="45"/>
        <v>88</v>
      </c>
      <c r="B158" s="699" t="s">
        <v>2722</v>
      </c>
      <c r="C158" s="1496">
        <f t="shared" si="46"/>
        <v>0</v>
      </c>
      <c r="D158" s="1496">
        <f t="shared" si="43"/>
        <v>17196.459999993443</v>
      </c>
      <c r="E158" s="1496">
        <f t="shared" si="43"/>
        <v>6417389.1511701941</v>
      </c>
      <c r="F158" s="1496">
        <f t="shared" si="43"/>
        <v>27088380.464048147</v>
      </c>
      <c r="G158" s="1496">
        <f t="shared" si="43"/>
        <v>-4337626.6900005341</v>
      </c>
      <c r="H158" s="1496">
        <f t="shared" si="43"/>
        <v>15835998.159999847</v>
      </c>
      <c r="I158" s="1496">
        <f t="shared" si="43"/>
        <v>-55194.010000228882</v>
      </c>
      <c r="J158" s="1496">
        <f t="shared" si="43"/>
        <v>-36147.57000002265</v>
      </c>
      <c r="K158" s="1496">
        <f t="shared" si="43"/>
        <v>-760973.97999998182</v>
      </c>
      <c r="L158" s="1496">
        <f t="shared" si="43"/>
        <v>23810.869999974966</v>
      </c>
      <c r="M158" s="1496">
        <f t="shared" si="44"/>
        <v>44192832.85521739</v>
      </c>
      <c r="N158" s="14"/>
    </row>
    <row r="159" spans="1:14" ht="13">
      <c r="A159" s="549">
        <f t="shared" si="45"/>
        <v>89</v>
      </c>
      <c r="B159" s="700" t="s">
        <v>2723</v>
      </c>
      <c r="C159" s="1496">
        <f t="shared" si="46"/>
        <v>-3.7252902984619141E-9</v>
      </c>
      <c r="D159" s="1496">
        <f t="shared" si="43"/>
        <v>36591.17999997735</v>
      </c>
      <c r="E159" s="1496">
        <f t="shared" si="43"/>
        <v>3952611.9179859757</v>
      </c>
      <c r="F159" s="1496">
        <f t="shared" si="43"/>
        <v>9024715.1968877316</v>
      </c>
      <c r="G159" s="1496">
        <f t="shared" si="43"/>
        <v>90029.269999980927</v>
      </c>
      <c r="H159" s="1496">
        <f t="shared" si="43"/>
        <v>-3928822.089999944</v>
      </c>
      <c r="I159" s="1496">
        <f t="shared" si="43"/>
        <v>23619497.560000181</v>
      </c>
      <c r="J159" s="1496">
        <f t="shared" si="43"/>
        <v>4119820.3500000238</v>
      </c>
      <c r="K159" s="1496">
        <f t="shared" si="43"/>
        <v>7605753.9799999595</v>
      </c>
      <c r="L159" s="1496">
        <f t="shared" si="43"/>
        <v>-7959.0099999904633</v>
      </c>
      <c r="M159" s="1496">
        <f t="shared" si="44"/>
        <v>44512238.354873896</v>
      </c>
      <c r="N159" s="14"/>
    </row>
    <row r="160" spans="1:14" ht="13">
      <c r="A160" s="549">
        <f t="shared" si="45"/>
        <v>90</v>
      </c>
      <c r="B160" s="700" t="s">
        <v>2724</v>
      </c>
      <c r="C160" s="1496">
        <f t="shared" si="46"/>
        <v>0</v>
      </c>
      <c r="D160" s="1496">
        <f t="shared" si="43"/>
        <v>1.4901161193847656E-8</v>
      </c>
      <c r="E160" s="1496">
        <f t="shared" si="43"/>
        <v>4637621.3377040625</v>
      </c>
      <c r="F160" s="1496">
        <f t="shared" si="43"/>
        <v>36541022.2342031</v>
      </c>
      <c r="G160" s="1496">
        <f t="shared" si="43"/>
        <v>1204102.340000391</v>
      </c>
      <c r="H160" s="1496">
        <f t="shared" si="43"/>
        <v>4734755.3499999642</v>
      </c>
      <c r="I160" s="1496">
        <f t="shared" si="43"/>
        <v>1484635.4199997187</v>
      </c>
      <c r="J160" s="1496">
        <f t="shared" si="43"/>
        <v>109482.09999999404</v>
      </c>
      <c r="K160" s="1496">
        <f t="shared" si="43"/>
        <v>-320433.87999999523</v>
      </c>
      <c r="L160" s="1496">
        <f t="shared" si="43"/>
        <v>8152.960000038147</v>
      </c>
      <c r="M160" s="1496">
        <f t="shared" si="44"/>
        <v>48399337.861907288</v>
      </c>
      <c r="N160" s="14"/>
    </row>
    <row r="161" spans="1:14" ht="13">
      <c r="A161" s="549">
        <f t="shared" si="45"/>
        <v>91</v>
      </c>
      <c r="B161" s="699" t="s">
        <v>2725</v>
      </c>
      <c r="C161" s="1497">
        <f t="shared" si="46"/>
        <v>3.7252902984619141E-9</v>
      </c>
      <c r="D161" s="1497">
        <f t="shared" si="43"/>
        <v>-16179.829999983311</v>
      </c>
      <c r="E161" s="1497">
        <f t="shared" si="43"/>
        <v>1897604.3659999371</v>
      </c>
      <c r="F161" s="1497">
        <f t="shared" si="43"/>
        <v>27507511.65502739</v>
      </c>
      <c r="G161" s="1497">
        <f t="shared" si="43"/>
        <v>2178597.6899995804</v>
      </c>
      <c r="H161" s="1497">
        <f t="shared" si="43"/>
        <v>21786283.590000033</v>
      </c>
      <c r="I161" s="1497">
        <f t="shared" si="43"/>
        <v>101985888.99999988</v>
      </c>
      <c r="J161" s="1497">
        <f t="shared" si="43"/>
        <v>427333.63999998569</v>
      </c>
      <c r="K161" s="1497">
        <f t="shared" si="43"/>
        <v>689102.91000001878</v>
      </c>
      <c r="L161" s="1497">
        <f t="shared" si="43"/>
        <v>4796.9499999880791</v>
      </c>
      <c r="M161" s="1497">
        <f t="shared" si="44"/>
        <v>156460939.97102684</v>
      </c>
      <c r="N161" s="14"/>
    </row>
    <row r="162" spans="1:14" ht="13">
      <c r="A162" s="549">
        <f t="shared" si="45"/>
        <v>92</v>
      </c>
      <c r="B162" s="1049" t="s">
        <v>4</v>
      </c>
      <c r="C162" s="1496">
        <f t="shared" ref="C162:M162" si="47">SUM(C150:C161)</f>
        <v>-17422.579999994487</v>
      </c>
      <c r="D162" s="1496">
        <f t="shared" si="47"/>
        <v>1858953.2900000513</v>
      </c>
      <c r="E162" s="1496">
        <f t="shared" si="47"/>
        <v>103339163.62736994</v>
      </c>
      <c r="F162" s="1496">
        <f t="shared" si="47"/>
        <v>443293068.92582226</v>
      </c>
      <c r="G162" s="1496">
        <f t="shared" si="47"/>
        <v>31455271.46999979</v>
      </c>
      <c r="H162" s="1496">
        <f t="shared" si="47"/>
        <v>154409143.27000001</v>
      </c>
      <c r="I162" s="1496">
        <f t="shared" si="47"/>
        <v>112217412.50999987</v>
      </c>
      <c r="J162" s="1496">
        <f t="shared" si="47"/>
        <v>28517224.650000006</v>
      </c>
      <c r="K162" s="1496">
        <f t="shared" si="47"/>
        <v>29940413.709999986</v>
      </c>
      <c r="L162" s="1496">
        <f t="shared" si="47"/>
        <v>1613502.7600000799</v>
      </c>
      <c r="M162" s="1496">
        <f t="shared" si="47"/>
        <v>906626731.63319182</v>
      </c>
      <c r="N162" s="14"/>
    </row>
    <row r="163" spans="1:14" ht="13">
      <c r="A163" s="549"/>
      <c r="B163" s="1049"/>
      <c r="C163" s="1148"/>
      <c r="D163" s="1148"/>
      <c r="E163" s="1148"/>
      <c r="F163" s="1148"/>
      <c r="G163" s="1148"/>
      <c r="H163" s="1148"/>
      <c r="I163" s="1148"/>
      <c r="J163" s="1148"/>
      <c r="K163" s="1148"/>
      <c r="L163" s="1148"/>
      <c r="M163" s="1148"/>
    </row>
    <row r="164" spans="1:14" s="463" customFormat="1" ht="13">
      <c r="B164" s="44" t="s">
        <v>2352</v>
      </c>
      <c r="M164" s="1064"/>
    </row>
    <row r="165" spans="1:14" s="463" customFormat="1">
      <c r="M165" s="1064"/>
    </row>
    <row r="166" spans="1:14" s="463" customFormat="1" ht="13">
      <c r="B166" s="122" t="s">
        <v>1748</v>
      </c>
      <c r="C166" s="351">
        <v>350.1</v>
      </c>
      <c r="D166" s="351">
        <v>350.2</v>
      </c>
      <c r="E166" s="351">
        <v>352</v>
      </c>
      <c r="F166" s="351">
        <v>353</v>
      </c>
      <c r="G166" s="351">
        <v>354</v>
      </c>
      <c r="H166" s="84">
        <v>355</v>
      </c>
      <c r="I166" s="84">
        <v>356</v>
      </c>
      <c r="J166" s="84">
        <v>357</v>
      </c>
      <c r="K166" s="84">
        <v>358</v>
      </c>
      <c r="L166" s="84">
        <v>359</v>
      </c>
      <c r="M166" s="1064"/>
    </row>
    <row r="167" spans="1:14" s="463" customFormat="1" ht="13">
      <c r="A167" s="549">
        <f>A162+1</f>
        <v>93</v>
      </c>
      <c r="B167" s="700" t="s">
        <v>2714</v>
      </c>
      <c r="C167" s="1068">
        <f>C150/C$162</f>
        <v>6.9012166969825872E-2</v>
      </c>
      <c r="D167" s="1068">
        <f t="shared" ref="D167:L167" si="48">D150/D$162</f>
        <v>0.9765404541175795</v>
      </c>
      <c r="E167" s="1068">
        <f t="shared" si="48"/>
        <v>4.0252120205028434E-2</v>
      </c>
      <c r="F167" s="1068">
        <f t="shared" si="48"/>
        <v>1.6285483980901863E-2</v>
      </c>
      <c r="G167" s="1068">
        <f>G150/G$162</f>
        <v>-4.9775507787094102E-2</v>
      </c>
      <c r="H167" s="1068">
        <f t="shared" si="48"/>
        <v>0.11153448063555241</v>
      </c>
      <c r="I167" s="1068">
        <f t="shared" si="48"/>
        <v>3.7047954564355591E-2</v>
      </c>
      <c r="J167" s="1068">
        <f t="shared" si="48"/>
        <v>2.2689094327101508E-5</v>
      </c>
      <c r="K167" s="1068">
        <f t="shared" si="48"/>
        <v>-4.2176339720324391E-2</v>
      </c>
      <c r="L167" s="1068">
        <f t="shared" si="48"/>
        <v>0.13249254683640158</v>
      </c>
      <c r="M167" s="1064"/>
    </row>
    <row r="168" spans="1:14" s="463" customFormat="1" ht="13">
      <c r="A168" s="549">
        <f t="shared" ref="A168:A178" si="49">A167+1</f>
        <v>94</v>
      </c>
      <c r="B168" s="699" t="s">
        <v>2715</v>
      </c>
      <c r="C168" s="1068">
        <f>C151/C$162</f>
        <v>-4.2763933911775329E-13</v>
      </c>
      <c r="D168" s="1068">
        <f t="shared" ref="C168:L178" si="50">D151/D$162</f>
        <v>0</v>
      </c>
      <c r="E168" s="1068">
        <f t="shared" si="50"/>
        <v>5.6470222881445958E-2</v>
      </c>
      <c r="F168" s="1068">
        <f t="shared" si="50"/>
        <v>9.7085514267435016E-2</v>
      </c>
      <c r="G168" s="1068">
        <f t="shared" si="50"/>
        <v>-1.0834724803594327E-2</v>
      </c>
      <c r="H168" s="1068">
        <f t="shared" si="50"/>
        <v>0.10403078321541868</v>
      </c>
      <c r="I168" s="1068">
        <f t="shared" si="50"/>
        <v>1.0938832775979427E-2</v>
      </c>
      <c r="J168" s="1068">
        <f t="shared" si="50"/>
        <v>3.8517706876500819E-3</v>
      </c>
      <c r="K168" s="1068">
        <f t="shared" si="50"/>
        <v>-1.5535623004589799E-2</v>
      </c>
      <c r="L168" s="1068">
        <f t="shared" si="50"/>
        <v>1.5203475697818223E-2</v>
      </c>
      <c r="M168" s="1064"/>
    </row>
    <row r="169" spans="1:14" s="463" customFormat="1" ht="13">
      <c r="A169" s="549">
        <f t="shared" si="49"/>
        <v>95</v>
      </c>
      <c r="B169" s="699" t="s">
        <v>2716</v>
      </c>
      <c r="C169" s="1068">
        <f t="shared" si="50"/>
        <v>7.3769786105489038E-2</v>
      </c>
      <c r="D169" s="1068">
        <f t="shared" si="50"/>
        <v>4.3582052564740117E-3</v>
      </c>
      <c r="E169" s="1068">
        <f t="shared" si="50"/>
        <v>4.7388400235639762E-2</v>
      </c>
      <c r="F169" s="1068">
        <f t="shared" si="50"/>
        <v>4.273534846657593E-2</v>
      </c>
      <c r="G169" s="1068">
        <f t="shared" si="50"/>
        <v>6.2864950057309479E-2</v>
      </c>
      <c r="H169" s="1068">
        <f t="shared" si="50"/>
        <v>0.13304459499576468</v>
      </c>
      <c r="I169" s="1068">
        <f t="shared" si="50"/>
        <v>2.7366159683341981E-2</v>
      </c>
      <c r="J169" s="1068">
        <f t="shared" si="50"/>
        <v>4.3648356922400184E-5</v>
      </c>
      <c r="K169" s="1068">
        <f t="shared" si="50"/>
        <v>7.8897740454770771E-2</v>
      </c>
      <c r="L169" s="1068">
        <f t="shared" si="50"/>
        <v>2.7672775719454266E-3</v>
      </c>
      <c r="M169" s="1064"/>
    </row>
    <row r="170" spans="1:14" s="463" customFormat="1" ht="13">
      <c r="A170" s="549">
        <f t="shared" si="49"/>
        <v>96</v>
      </c>
      <c r="B170" s="700" t="s">
        <v>2717</v>
      </c>
      <c r="C170" s="1068">
        <f t="shared" si="50"/>
        <v>0.40444641379145796</v>
      </c>
      <c r="D170" s="1068">
        <f t="shared" si="50"/>
        <v>6.8582142803404623E-4</v>
      </c>
      <c r="E170" s="1068">
        <f t="shared" si="50"/>
        <v>0.12856220620997288</v>
      </c>
      <c r="F170" s="1068">
        <f t="shared" si="50"/>
        <v>2.5711798268218053E-2</v>
      </c>
      <c r="G170" s="1068">
        <f t="shared" si="50"/>
        <v>0.30668944342763277</v>
      </c>
      <c r="H170" s="1068">
        <f t="shared" si="50"/>
        <v>6.5156909862569848E-2</v>
      </c>
      <c r="I170" s="1068">
        <f t="shared" si="50"/>
        <v>4.175913581666528E-2</v>
      </c>
      <c r="J170" s="1068">
        <f t="shared" si="50"/>
        <v>-7.4640219240257582E-3</v>
      </c>
      <c r="K170" s="1068">
        <f t="shared" si="50"/>
        <v>-3.0985110258852075E-2</v>
      </c>
      <c r="L170" s="1068">
        <f t="shared" si="50"/>
        <v>2.1950876613319316E-3</v>
      </c>
      <c r="M170" s="1064"/>
    </row>
    <row r="171" spans="1:14" s="463" customFormat="1" ht="13">
      <c r="A171" s="549">
        <f t="shared" si="49"/>
        <v>97</v>
      </c>
      <c r="B171" s="699" t="s">
        <v>2718</v>
      </c>
      <c r="C171" s="1068">
        <f t="shared" si="50"/>
        <v>0.45277163313429625</v>
      </c>
      <c r="D171" s="1068">
        <f t="shared" si="50"/>
        <v>-2.6881095005929982E-3</v>
      </c>
      <c r="E171" s="1068">
        <f t="shared" si="50"/>
        <v>0.32996315911117846</v>
      </c>
      <c r="F171" s="1068">
        <f t="shared" si="50"/>
        <v>0.12384081986619234</v>
      </c>
      <c r="G171" s="1068">
        <f t="shared" si="50"/>
        <v>8.4790153616900021E-3</v>
      </c>
      <c r="H171" s="1068">
        <f t="shared" si="50"/>
        <v>3.3556336045073722E-2</v>
      </c>
      <c r="I171" s="1068">
        <f t="shared" si="50"/>
        <v>7.4918434777227145E-3</v>
      </c>
      <c r="J171" s="1068">
        <f t="shared" si="50"/>
        <v>3.375503794695728E-6</v>
      </c>
      <c r="K171" s="1068">
        <f t="shared" si="50"/>
        <v>4.812831459034661E-2</v>
      </c>
      <c r="L171" s="1068">
        <f t="shared" si="50"/>
        <v>2.9733819606246889E-3</v>
      </c>
      <c r="M171" s="1064"/>
    </row>
    <row r="172" spans="1:14" s="463" customFormat="1" ht="13">
      <c r="A172" s="549">
        <f t="shared" si="49"/>
        <v>98</v>
      </c>
      <c r="B172" s="699" t="s">
        <v>2719</v>
      </c>
      <c r="C172" s="1068">
        <f t="shared" si="50"/>
        <v>0</v>
      </c>
      <c r="D172" s="1068">
        <f t="shared" si="50"/>
        <v>-8.6715465427136172E-6</v>
      </c>
      <c r="E172" s="1068">
        <f t="shared" si="50"/>
        <v>-0.12693004162928956</v>
      </c>
      <c r="F172" s="1068">
        <f t="shared" si="50"/>
        <v>0.16499911321015787</v>
      </c>
      <c r="G172" s="1068">
        <f t="shared" si="50"/>
        <v>1.7872438663778908E-2</v>
      </c>
      <c r="H172" s="1068">
        <f t="shared" si="50"/>
        <v>0.274490801790716</v>
      </c>
      <c r="I172" s="1068">
        <f t="shared" si="50"/>
        <v>-0.26621398820203346</v>
      </c>
      <c r="J172" s="1068">
        <f t="shared" si="50"/>
        <v>0.76720798705073068</v>
      </c>
      <c r="K172" s="1068">
        <f t="shared" si="50"/>
        <v>0.7381069989229615</v>
      </c>
      <c r="L172" s="1068">
        <f t="shared" si="50"/>
        <v>0.78602516304338266</v>
      </c>
      <c r="M172" s="1064"/>
    </row>
    <row r="173" spans="1:14" s="463" customFormat="1" ht="13">
      <c r="A173" s="549">
        <f t="shared" si="49"/>
        <v>99</v>
      </c>
      <c r="B173" s="700" t="s">
        <v>2720</v>
      </c>
      <c r="C173" s="1068">
        <f t="shared" si="50"/>
        <v>-6.4145900867662996E-13</v>
      </c>
      <c r="D173" s="1068">
        <f t="shared" si="50"/>
        <v>0</v>
      </c>
      <c r="E173" s="1068">
        <f t="shared" si="50"/>
        <v>0.32023996161864832</v>
      </c>
      <c r="F173" s="1068">
        <f t="shared" si="50"/>
        <v>7.1150053939373695E-2</v>
      </c>
      <c r="G173" s="1068">
        <f t="shared" si="50"/>
        <v>7.7831844889183446E-2</v>
      </c>
      <c r="H173" s="1068">
        <f t="shared" si="50"/>
        <v>5.6924198165069037E-2</v>
      </c>
      <c r="I173" s="1068">
        <f t="shared" si="50"/>
        <v>4.8343423971894742E-2</v>
      </c>
      <c r="J173" s="1068">
        <f t="shared" si="50"/>
        <v>7.3864545580875907E-2</v>
      </c>
      <c r="K173" s="1068">
        <f t="shared" si="50"/>
        <v>-3.8843207754727077E-2</v>
      </c>
      <c r="L173" s="1068">
        <f t="shared" si="50"/>
        <v>3.6293201010703109E-2</v>
      </c>
      <c r="M173" s="1064"/>
    </row>
    <row r="174" spans="1:14" s="463" customFormat="1" ht="13">
      <c r="A174" s="549">
        <f t="shared" si="49"/>
        <v>100</v>
      </c>
      <c r="B174" s="699" t="s">
        <v>2721</v>
      </c>
      <c r="C174" s="1068">
        <f t="shared" si="50"/>
        <v>0</v>
      </c>
      <c r="D174" s="1068">
        <f t="shared" si="50"/>
        <v>8.8166282004792211E-4</v>
      </c>
      <c r="E174" s="1068">
        <f t="shared" si="50"/>
        <v>4.0464232690772754E-2</v>
      </c>
      <c r="F174" s="1068">
        <f t="shared" si="50"/>
        <v>0.23224285915948711</v>
      </c>
      <c r="G174" s="1068">
        <f t="shared" si="50"/>
        <v>0.61436864337448138</v>
      </c>
      <c r="H174" s="1068">
        <f t="shared" si="50"/>
        <v>-2.7610769865778123E-2</v>
      </c>
      <c r="I174" s="1068">
        <f t="shared" si="50"/>
        <v>-3.8775396640088812E-2</v>
      </c>
      <c r="J174" s="1068">
        <f t="shared" si="50"/>
        <v>4.455247716399088E-4</v>
      </c>
      <c r="K174" s="1068">
        <f t="shared" si="50"/>
        <v>2.1480394567333163E-2</v>
      </c>
      <c r="L174" s="1068">
        <f t="shared" si="50"/>
        <v>4.1994040345053191E-3</v>
      </c>
      <c r="M174" s="1064"/>
    </row>
    <row r="175" spans="1:14" s="463" customFormat="1" ht="13">
      <c r="A175" s="549">
        <f t="shared" si="49"/>
        <v>101</v>
      </c>
      <c r="B175" s="699" t="s">
        <v>2722</v>
      </c>
      <c r="C175" s="1068">
        <f t="shared" si="50"/>
        <v>0</v>
      </c>
      <c r="D175" s="1068">
        <f t="shared" si="50"/>
        <v>9.2506143605108927E-3</v>
      </c>
      <c r="E175" s="1068">
        <f t="shared" si="50"/>
        <v>6.2100262145633564E-2</v>
      </c>
      <c r="F175" s="1068">
        <f t="shared" si="50"/>
        <v>6.110715994204037E-2</v>
      </c>
      <c r="G175" s="1068">
        <f t="shared" si="50"/>
        <v>-0.13789824367395812</v>
      </c>
      <c r="H175" s="1068">
        <f t="shared" si="50"/>
        <v>0.1025586815950983</v>
      </c>
      <c r="I175" s="1068">
        <f t="shared" si="50"/>
        <v>-4.9184889194723192E-4</v>
      </c>
      <c r="J175" s="1068">
        <f t="shared" si="50"/>
        <v>-1.2675697037026583E-3</v>
      </c>
      <c r="K175" s="1068">
        <f t="shared" si="50"/>
        <v>-2.5416281397134449E-2</v>
      </c>
      <c r="L175" s="1068">
        <f t="shared" si="50"/>
        <v>1.4757253963404306E-2</v>
      </c>
      <c r="M175" s="1064"/>
    </row>
    <row r="176" spans="1:14" s="463" customFormat="1" ht="13">
      <c r="A176" s="549">
        <f t="shared" si="49"/>
        <v>102</v>
      </c>
      <c r="B176" s="700" t="s">
        <v>2723</v>
      </c>
      <c r="C176" s="1068">
        <f t="shared" si="50"/>
        <v>2.1381966955887664E-13</v>
      </c>
      <c r="D176" s="1068">
        <f t="shared" si="50"/>
        <v>1.9683754399216959E-2</v>
      </c>
      <c r="E176" s="1068">
        <f t="shared" si="50"/>
        <v>3.8248924988774587E-2</v>
      </c>
      <c r="F176" s="1068">
        <f t="shared" si="50"/>
        <v>2.0358349429546049E-2</v>
      </c>
      <c r="G176" s="1068">
        <f t="shared" si="50"/>
        <v>2.8621361632769761E-3</v>
      </c>
      <c r="H176" s="1068">
        <f t="shared" si="50"/>
        <v>-2.5444232166549886E-2</v>
      </c>
      <c r="I176" s="1068">
        <f t="shared" si="50"/>
        <v>0.21047979125249755</v>
      </c>
      <c r="J176" s="1068">
        <f t="shared" si="50"/>
        <v>0.1444677874710372</v>
      </c>
      <c r="K176" s="1068">
        <f t="shared" si="50"/>
        <v>0.25402968889035982</v>
      </c>
      <c r="L176" s="1068">
        <f t="shared" si="50"/>
        <v>-4.9327526405905063E-3</v>
      </c>
      <c r="M176" s="1064"/>
    </row>
    <row r="177" spans="1:13" s="463" customFormat="1" ht="13">
      <c r="A177" s="549">
        <f t="shared" si="49"/>
        <v>103</v>
      </c>
      <c r="B177" s="700" t="s">
        <v>2724</v>
      </c>
      <c r="C177" s="1068">
        <f t="shared" si="50"/>
        <v>0</v>
      </c>
      <c r="D177" s="1068">
        <f t="shared" si="50"/>
        <v>8.0158879053100063E-15</v>
      </c>
      <c r="E177" s="1068">
        <f t="shared" si="50"/>
        <v>4.4877674396774037E-2</v>
      </c>
      <c r="F177" s="1068">
        <f t="shared" si="50"/>
        <v>8.243084495489289E-2</v>
      </c>
      <c r="G177" s="1068">
        <f t="shared" si="50"/>
        <v>3.82798266786155E-2</v>
      </c>
      <c r="H177" s="1068">
        <f t="shared" si="50"/>
        <v>3.0663698079852472E-2</v>
      </c>
      <c r="I177" s="1068">
        <f t="shared" si="50"/>
        <v>1.3229991556501274E-2</v>
      </c>
      <c r="J177" s="1068">
        <f t="shared" si="50"/>
        <v>3.8391569075777511E-3</v>
      </c>
      <c r="K177" s="1068">
        <f t="shared" si="50"/>
        <v>-1.0702386516889428E-2</v>
      </c>
      <c r="L177" s="1068">
        <f t="shared" si="50"/>
        <v>5.0529569593285003E-3</v>
      </c>
      <c r="M177" s="1064"/>
    </row>
    <row r="178" spans="1:13" s="463" customFormat="1" ht="13">
      <c r="A178" s="549">
        <f t="shared" si="49"/>
        <v>104</v>
      </c>
      <c r="B178" s="699" t="s">
        <v>2725</v>
      </c>
      <c r="C178" s="1068">
        <f t="shared" si="50"/>
        <v>-2.1381966955887664E-13</v>
      </c>
      <c r="D178" s="1068">
        <f t="shared" si="50"/>
        <v>-8.7037313347356152E-3</v>
      </c>
      <c r="E178" s="1068">
        <f t="shared" si="50"/>
        <v>1.8362877145420849E-2</v>
      </c>
      <c r="F178" s="1068">
        <f t="shared" si="50"/>
        <v>6.2052654515178794E-2</v>
      </c>
      <c r="G178" s="1068">
        <f t="shared" si="50"/>
        <v>6.9260177648678062E-2</v>
      </c>
      <c r="H178" s="1068">
        <f t="shared" si="50"/>
        <v>0.14109451764721284</v>
      </c>
      <c r="I178" s="1068">
        <f t="shared" si="50"/>
        <v>0.90882410063511099</v>
      </c>
      <c r="J178" s="1068">
        <f t="shared" si="50"/>
        <v>1.4985106203172741E-2</v>
      </c>
      <c r="K178" s="1068">
        <f t="shared" si="50"/>
        <v>2.3015811226745373E-2</v>
      </c>
      <c r="L178" s="1068">
        <f t="shared" si="50"/>
        <v>2.9730039011447626E-3</v>
      </c>
      <c r="M178" s="1064"/>
    </row>
    <row r="180" spans="1:13" ht="13">
      <c r="B180" s="1" t="s">
        <v>2677</v>
      </c>
    </row>
    <row r="181" spans="1:13">
      <c r="B181" s="467" t="s">
        <v>2353</v>
      </c>
    </row>
    <row r="182" spans="1:13" ht="13">
      <c r="B182" s="16"/>
      <c r="C182" s="84">
        <v>350.1</v>
      </c>
      <c r="D182" s="84">
        <v>350.2</v>
      </c>
      <c r="E182" s="84">
        <v>352</v>
      </c>
      <c r="F182" s="84">
        <v>353</v>
      </c>
      <c r="G182" s="84">
        <v>354</v>
      </c>
      <c r="H182" s="84">
        <v>355</v>
      </c>
      <c r="I182" s="84">
        <v>356</v>
      </c>
      <c r="J182" s="84">
        <v>357</v>
      </c>
      <c r="K182" s="84">
        <v>358</v>
      </c>
      <c r="L182" s="84">
        <v>359</v>
      </c>
      <c r="M182" s="3" t="s">
        <v>196</v>
      </c>
    </row>
    <row r="183" spans="1:13" ht="13">
      <c r="A183" s="549">
        <f>A178+1</f>
        <v>105</v>
      </c>
      <c r="B183" s="16"/>
      <c r="C183" s="7">
        <f t="shared" ref="C183:L183" si="51">C24-C12</f>
        <v>224727.08512021601</v>
      </c>
      <c r="D183" s="7">
        <f t="shared" si="51"/>
        <v>1265222.6409191489</v>
      </c>
      <c r="E183" s="7">
        <f t="shared" si="51"/>
        <v>62922495.192329884</v>
      </c>
      <c r="F183" s="7">
        <f t="shared" si="51"/>
        <v>237011398.53648376</v>
      </c>
      <c r="G183" s="7">
        <f t="shared" si="51"/>
        <v>-3001958.3631467819</v>
      </c>
      <c r="H183" s="7">
        <f t="shared" si="51"/>
        <v>23971710.111982167</v>
      </c>
      <c r="I183" s="7">
        <f t="shared" si="51"/>
        <v>41622542.051303387</v>
      </c>
      <c r="J183" s="7">
        <f t="shared" si="51"/>
        <v>44074.427919268608</v>
      </c>
      <c r="K183" s="7">
        <f t="shared" si="51"/>
        <v>10043.419502198696</v>
      </c>
      <c r="L183" s="7">
        <f t="shared" si="51"/>
        <v>12946614.432062626</v>
      </c>
      <c r="M183" s="7">
        <f>M24-M12</f>
        <v>377016869.53447533</v>
      </c>
    </row>
    <row r="184" spans="1:13">
      <c r="B184" s="16"/>
      <c r="C184" s="7"/>
      <c r="D184" s="7"/>
      <c r="E184" s="7"/>
      <c r="F184" s="7"/>
      <c r="G184" s="7"/>
      <c r="H184" s="7"/>
      <c r="I184" s="7"/>
      <c r="J184" s="7"/>
      <c r="K184" s="7"/>
      <c r="L184" s="7"/>
      <c r="M184" s="7"/>
    </row>
    <row r="185" spans="1:13">
      <c r="B185" s="467" t="s">
        <v>2354</v>
      </c>
      <c r="C185" s="7"/>
      <c r="D185" s="7"/>
      <c r="E185" s="7"/>
      <c r="F185" s="7"/>
      <c r="G185" s="7"/>
      <c r="H185" s="7"/>
      <c r="I185" s="7"/>
      <c r="J185" s="7"/>
      <c r="K185" s="7"/>
      <c r="L185" s="7"/>
      <c r="M185" s="7"/>
    </row>
    <row r="186" spans="1:13" ht="13">
      <c r="B186" s="16"/>
      <c r="C186" s="84">
        <v>350.1</v>
      </c>
      <c r="D186" s="84">
        <v>350.2</v>
      </c>
      <c r="E186" s="84">
        <v>352</v>
      </c>
      <c r="F186" s="84">
        <v>353</v>
      </c>
      <c r="G186" s="84">
        <v>354</v>
      </c>
      <c r="H186" s="84">
        <v>355</v>
      </c>
      <c r="I186" s="84">
        <v>356</v>
      </c>
      <c r="J186" s="84">
        <v>357</v>
      </c>
      <c r="K186" s="84">
        <v>358</v>
      </c>
      <c r="L186" s="84">
        <v>359</v>
      </c>
      <c r="M186" s="3" t="s">
        <v>196</v>
      </c>
    </row>
    <row r="187" spans="1:13" ht="13">
      <c r="A187" s="549">
        <f>A183+1</f>
        <v>106</v>
      </c>
      <c r="B187" s="16"/>
      <c r="C187" s="7">
        <f>C143</f>
        <v>107841.30999999866</v>
      </c>
      <c r="D187" s="7">
        <f t="shared" ref="D187:M187" si="52">D143</f>
        <v>6342.3599999845028</v>
      </c>
      <c r="E187" s="7">
        <f t="shared" si="52"/>
        <v>6283681.9026300311</v>
      </c>
      <c r="F187" s="7">
        <f t="shared" si="52"/>
        <v>9713383.3741779327</v>
      </c>
      <c r="G187" s="7">
        <f t="shared" si="52"/>
        <v>-15233391.449999809</v>
      </c>
      <c r="H187" s="7">
        <f t="shared" si="52"/>
        <v>6757666.4999999702</v>
      </c>
      <c r="I187" s="7">
        <f t="shared" si="52"/>
        <v>15469293.090000033</v>
      </c>
      <c r="J187" s="7">
        <f t="shared" si="52"/>
        <v>41631.330000013113</v>
      </c>
      <c r="K187" s="7">
        <f t="shared" si="52"/>
        <v>4962.2400000020862</v>
      </c>
      <c r="L187" s="7">
        <f t="shared" si="52"/>
        <v>12620071.379999906</v>
      </c>
      <c r="M187" s="7">
        <f t="shared" si="52"/>
        <v>35771482.036808059</v>
      </c>
    </row>
    <row r="188" spans="1:13">
      <c r="B188" s="16"/>
      <c r="C188" s="7"/>
      <c r="D188" s="7"/>
      <c r="E188" s="7"/>
      <c r="F188" s="7"/>
      <c r="G188" s="7"/>
      <c r="H188" s="7"/>
      <c r="I188" s="7"/>
      <c r="J188" s="7"/>
      <c r="K188" s="7"/>
      <c r="L188" s="7"/>
      <c r="M188" s="7"/>
    </row>
    <row r="189" spans="1:13">
      <c r="B189" s="467" t="s">
        <v>2355</v>
      </c>
      <c r="C189" s="7"/>
      <c r="D189" s="7"/>
      <c r="E189" s="7"/>
      <c r="F189" s="7"/>
      <c r="G189" s="7"/>
      <c r="H189" s="7"/>
      <c r="I189" s="7"/>
      <c r="J189" s="7"/>
      <c r="K189" s="7"/>
      <c r="L189" s="7"/>
      <c r="M189" s="7"/>
    </row>
    <row r="190" spans="1:13" ht="13">
      <c r="C190" s="84">
        <v>350.1</v>
      </c>
      <c r="D190" s="84">
        <v>350.2</v>
      </c>
      <c r="E190" s="84">
        <v>352</v>
      </c>
      <c r="F190" s="84">
        <v>353</v>
      </c>
      <c r="G190" s="84">
        <v>354</v>
      </c>
      <c r="H190" s="84">
        <v>355</v>
      </c>
      <c r="I190" s="84">
        <v>356</v>
      </c>
      <c r="J190" s="84">
        <v>357</v>
      </c>
      <c r="K190" s="84">
        <v>358</v>
      </c>
      <c r="L190" s="84">
        <v>359</v>
      </c>
      <c r="M190" s="3" t="s">
        <v>196</v>
      </c>
    </row>
    <row r="191" spans="1:13" ht="13">
      <c r="A191" s="549">
        <f>A187+1</f>
        <v>107</v>
      </c>
      <c r="C191" s="7">
        <f>C183-C187</f>
        <v>116885.77512021735</v>
      </c>
      <c r="D191" s="7">
        <f t="shared" ref="D191:M191" si="53">D183-D187</f>
        <v>1258880.2809191644</v>
      </c>
      <c r="E191" s="7">
        <f t="shared" si="53"/>
        <v>56638813.289699852</v>
      </c>
      <c r="F191" s="7">
        <f t="shared" si="53"/>
        <v>227298015.16230583</v>
      </c>
      <c r="G191" s="7">
        <f t="shared" si="53"/>
        <v>12231433.086853027</v>
      </c>
      <c r="H191" s="7">
        <f t="shared" si="53"/>
        <v>17214043.611982197</v>
      </c>
      <c r="I191" s="7">
        <f t="shared" si="53"/>
        <v>26153248.961303353</v>
      </c>
      <c r="J191" s="7">
        <f t="shared" si="53"/>
        <v>2443.0979192554951</v>
      </c>
      <c r="K191" s="7">
        <f t="shared" si="53"/>
        <v>5081.17950219661</v>
      </c>
      <c r="L191" s="7">
        <f t="shared" si="53"/>
        <v>326543.05206272006</v>
      </c>
      <c r="M191" s="7">
        <f t="shared" si="53"/>
        <v>341245387.49766725</v>
      </c>
    </row>
    <row r="193" spans="1:14" ht="13">
      <c r="B193" s="44" t="s">
        <v>2678</v>
      </c>
      <c r="C193" s="14"/>
      <c r="D193" s="14"/>
      <c r="E193" s="14"/>
      <c r="F193" s="14"/>
      <c r="G193" s="14"/>
    </row>
    <row r="194" spans="1:14" ht="13">
      <c r="A194" s="382"/>
      <c r="B194" s="351" t="s">
        <v>358</v>
      </c>
      <c r="C194" s="351" t="s">
        <v>342</v>
      </c>
      <c r="D194" s="351" t="s">
        <v>343</v>
      </c>
      <c r="E194" s="351" t="s">
        <v>344</v>
      </c>
      <c r="F194" s="351" t="s">
        <v>345</v>
      </c>
      <c r="G194" s="351" t="s">
        <v>346</v>
      </c>
      <c r="H194" s="84" t="s">
        <v>347</v>
      </c>
      <c r="I194" s="84" t="s">
        <v>534</v>
      </c>
      <c r="J194" s="84" t="s">
        <v>949</v>
      </c>
      <c r="K194" s="84" t="s">
        <v>961</v>
      </c>
      <c r="L194" s="84" t="s">
        <v>964</v>
      </c>
      <c r="M194" s="84" t="s">
        <v>982</v>
      </c>
    </row>
    <row r="195" spans="1:14" ht="13">
      <c r="A195" s="227"/>
      <c r="B195" s="438"/>
      <c r="C195" s="235"/>
      <c r="D195" s="235"/>
      <c r="E195" s="235"/>
      <c r="F195" s="500"/>
      <c r="G195" s="235"/>
      <c r="H195" s="227"/>
      <c r="I195" s="227"/>
      <c r="J195" s="227"/>
      <c r="K195" s="227"/>
      <c r="L195" s="227"/>
      <c r="M195" s="243" t="s">
        <v>1214</v>
      </c>
    </row>
    <row r="196" spans="1:14" ht="13">
      <c r="A196" s="227"/>
      <c r="B196" s="109"/>
      <c r="C196" s="351"/>
      <c r="D196" s="351"/>
      <c r="E196" s="235"/>
      <c r="F196" s="235"/>
      <c r="G196" s="235"/>
      <c r="H196" s="227"/>
      <c r="I196" s="227"/>
      <c r="J196" s="227"/>
      <c r="K196" s="227"/>
      <c r="L196" s="227"/>
    </row>
    <row r="197" spans="1:14" ht="13">
      <c r="A197" s="51"/>
      <c r="B197" s="122" t="s">
        <v>1748</v>
      </c>
      <c r="C197" s="351">
        <v>350.1</v>
      </c>
      <c r="D197" s="351">
        <v>350.2</v>
      </c>
      <c r="E197" s="351">
        <v>352</v>
      </c>
      <c r="F197" s="351">
        <v>353</v>
      </c>
      <c r="G197" s="351">
        <v>354</v>
      </c>
      <c r="H197" s="84">
        <v>355</v>
      </c>
      <c r="I197" s="84">
        <v>356</v>
      </c>
      <c r="J197" s="84">
        <v>357</v>
      </c>
      <c r="K197" s="84">
        <v>358</v>
      </c>
      <c r="L197" s="84">
        <v>359</v>
      </c>
      <c r="M197" s="3" t="s">
        <v>196</v>
      </c>
    </row>
    <row r="198" spans="1:14" ht="13">
      <c r="A198" s="549">
        <f>A191+1</f>
        <v>108</v>
      </c>
      <c r="B198" s="700" t="s">
        <v>2714</v>
      </c>
      <c r="C198" s="477">
        <f>C$191*C167</f>
        <v>8066.5406289939583</v>
      </c>
      <c r="D198" s="477">
        <f t="shared" ref="D198:L198" si="54">D$191*D167</f>
        <v>1229347.521208467</v>
      </c>
      <c r="E198" s="477">
        <f t="shared" si="54"/>
        <v>2279832.3208071603</v>
      </c>
      <c r="F198" s="477">
        <f t="shared" si="54"/>
        <v>3701658.1848165202</v>
      </c>
      <c r="G198" s="477">
        <f t="shared" si="54"/>
        <v>-608825.79286197328</v>
      </c>
      <c r="H198" s="477">
        <f t="shared" si="54"/>
        <v>1919959.4139001828</v>
      </c>
      <c r="I198" s="477">
        <f t="shared" si="54"/>
        <v>968924.37922864663</v>
      </c>
      <c r="J198" s="477">
        <f t="shared" si="54"/>
        <v>5.5431679140333354E-2</v>
      </c>
      <c r="K198" s="477">
        <f t="shared" si="54"/>
        <v>-214.30555286459298</v>
      </c>
      <c r="L198" s="477">
        <f t="shared" si="54"/>
        <v>43264.520619521456</v>
      </c>
      <c r="M198" s="477">
        <f t="shared" ref="M198:M210" si="55">SUM(C198:L198)</f>
        <v>9542012.8382263333</v>
      </c>
      <c r="N198" s="14"/>
    </row>
    <row r="199" spans="1:14" ht="13">
      <c r="A199" s="549">
        <f t="shared" ref="A199:A210" si="56">A198+1</f>
        <v>109</v>
      </c>
      <c r="B199" s="699" t="s">
        <v>2715</v>
      </c>
      <c r="C199" s="477">
        <f t="shared" ref="C199:L209" si="57">C$191*C168</f>
        <v>-4.9984955624676081E-8</v>
      </c>
      <c r="D199" s="477">
        <f t="shared" si="57"/>
        <v>0</v>
      </c>
      <c r="E199" s="477">
        <f t="shared" si="57"/>
        <v>3198406.4102099543</v>
      </c>
      <c r="F199" s="477">
        <f t="shared" si="57"/>
        <v>22067344.693999704</v>
      </c>
      <c r="G199" s="477">
        <f t="shared" si="57"/>
        <v>-132524.21144963082</v>
      </c>
      <c r="H199" s="477">
        <f t="shared" si="57"/>
        <v>1790790.4392588828</v>
      </c>
      <c r="I199" s="477">
        <f t="shared" si="57"/>
        <v>286086.01693625504</v>
      </c>
      <c r="J199" s="477">
        <f t="shared" si="57"/>
        <v>9.4102529524472232</v>
      </c>
      <c r="K199" s="477">
        <f t="shared" si="57"/>
        <v>-78.939289164775801</v>
      </c>
      <c r="L199" s="477">
        <f t="shared" si="57"/>
        <v>4964.5893563269547</v>
      </c>
      <c r="M199" s="477">
        <f t="shared" si="55"/>
        <v>27214998.409275226</v>
      </c>
      <c r="N199" s="14"/>
    </row>
    <row r="200" spans="1:14" ht="13">
      <c r="A200" s="549">
        <f t="shared" si="56"/>
        <v>110</v>
      </c>
      <c r="B200" s="699" t="s">
        <v>2716</v>
      </c>
      <c r="C200" s="477">
        <f t="shared" si="57"/>
        <v>8622.6386293927262</v>
      </c>
      <c r="D200" s="477">
        <f t="shared" si="57"/>
        <v>5486.4586575733829</v>
      </c>
      <c r="E200" s="477">
        <f t="shared" si="57"/>
        <v>2684022.7530439692</v>
      </c>
      <c r="F200" s="477">
        <f t="shared" si="57"/>
        <v>9713659.8837221991</v>
      </c>
      <c r="G200" s="477">
        <f t="shared" si="57"/>
        <v>768928.43013433833</v>
      </c>
      <c r="H200" s="477">
        <f t="shared" si="57"/>
        <v>2290235.4605956017</v>
      </c>
      <c r="I200" s="477">
        <f t="shared" si="57"/>
        <v>715713.9873132254</v>
      </c>
      <c r="J200" s="477">
        <f t="shared" si="57"/>
        <v>0.10663720997603707</v>
      </c>
      <c r="K200" s="477">
        <f t="shared" si="57"/>
        <v>400.8935815684095</v>
      </c>
      <c r="L200" s="477">
        <f t="shared" si="57"/>
        <v>903.63526424777297</v>
      </c>
      <c r="M200" s="477">
        <f t="shared" si="55"/>
        <v>16187974.247579327</v>
      </c>
      <c r="N200" s="14"/>
    </row>
    <row r="201" spans="1:14" ht="13">
      <c r="A201" s="549">
        <f t="shared" si="56"/>
        <v>111</v>
      </c>
      <c r="B201" s="700" t="s">
        <v>2717</v>
      </c>
      <c r="C201" s="477">
        <f t="shared" si="57"/>
        <v>47274.032570606731</v>
      </c>
      <c r="D201" s="477">
        <f t="shared" si="57"/>
        <v>863.36707198388262</v>
      </c>
      <c r="E201" s="477">
        <f t="shared" si="57"/>
        <v>7281610.7936385451</v>
      </c>
      <c r="F201" s="477">
        <f t="shared" si="57"/>
        <v>5844240.7126195757</v>
      </c>
      <c r="G201" s="477">
        <f t="shared" si="57"/>
        <v>3751251.4057292873</v>
      </c>
      <c r="H201" s="477">
        <f t="shared" si="57"/>
        <v>1121613.8879962703</v>
      </c>
      <c r="I201" s="477">
        <f t="shared" si="57"/>
        <v>1092137.0754221268</v>
      </c>
      <c r="J201" s="477">
        <f t="shared" si="57"/>
        <v>-18.235336431864727</v>
      </c>
      <c r="K201" s="477">
        <f t="shared" si="57"/>
        <v>-157.44090712058104</v>
      </c>
      <c r="L201" s="477">
        <f t="shared" si="57"/>
        <v>716.79062447654735</v>
      </c>
      <c r="M201" s="477">
        <f t="shared" si="55"/>
        <v>19139532.389429323</v>
      </c>
      <c r="N201" s="14"/>
    </row>
    <row r="202" spans="1:14" ht="13">
      <c r="A202" s="549">
        <f t="shared" si="56"/>
        <v>112</v>
      </c>
      <c r="B202" s="699" t="s">
        <v>2718</v>
      </c>
      <c r="C202" s="477">
        <f t="shared" si="57"/>
        <v>52922.563291348903</v>
      </c>
      <c r="D202" s="477">
        <f t="shared" si="57"/>
        <v>-3384.0080432479886</v>
      </c>
      <c r="E202" s="477">
        <f t="shared" si="57"/>
        <v>18688721.761377562</v>
      </c>
      <c r="F202" s="477">
        <f t="shared" si="57"/>
        <v>28148772.551658172</v>
      </c>
      <c r="G202" s="477">
        <f t="shared" si="57"/>
        <v>103710.50903891018</v>
      </c>
      <c r="H202" s="477">
        <f t="shared" si="57"/>
        <v>577640.23213822918</v>
      </c>
      <c r="I202" s="477">
        <f t="shared" si="57"/>
        <v>195936.04765199887</v>
      </c>
      <c r="J202" s="477">
        <f t="shared" si="57"/>
        <v>8.2466862972601605E-3</v>
      </c>
      <c r="K202" s="477">
        <f t="shared" si="57"/>
        <v>244.54860557173922</v>
      </c>
      <c r="L202" s="477">
        <f t="shared" si="57"/>
        <v>970.93722037062048</v>
      </c>
      <c r="M202" s="477">
        <f t="shared" si="55"/>
        <v>47765535.151185602</v>
      </c>
      <c r="N202" s="14"/>
    </row>
    <row r="203" spans="1:14" ht="13">
      <c r="A203" s="549">
        <f t="shared" si="56"/>
        <v>113</v>
      </c>
      <c r="B203" s="699" t="s">
        <v>2719</v>
      </c>
      <c r="C203" s="477">
        <f t="shared" si="57"/>
        <v>0</v>
      </c>
      <c r="D203" s="477">
        <f t="shared" si="57"/>
        <v>-10.916438947694928</v>
      </c>
      <c r="E203" s="477">
        <f t="shared" si="57"/>
        <v>-7189166.9286951609</v>
      </c>
      <c r="F203" s="477">
        <f t="shared" si="57"/>
        <v>37503970.936209477</v>
      </c>
      <c r="G203" s="477">
        <f t="shared" si="57"/>
        <v>218605.53761489663</v>
      </c>
      <c r="H203" s="477">
        <f t="shared" si="57"/>
        <v>4725096.6331133461</v>
      </c>
      <c r="I203" s="477">
        <f t="shared" si="57"/>
        <v>-6962360.7104292549</v>
      </c>
      <c r="J203" s="477">
        <f t="shared" si="57"/>
        <v>1874.3642367998368</v>
      </c>
      <c r="K203" s="477">
        <f t="shared" si="57"/>
        <v>3750.4541533552074</v>
      </c>
      <c r="L203" s="477">
        <f t="shared" si="57"/>
        <v>256671.05573828332</v>
      </c>
      <c r="M203" s="477">
        <f t="shared" si="55"/>
        <v>28558430.425502792</v>
      </c>
      <c r="N203" s="14"/>
    </row>
    <row r="204" spans="1:14" ht="13">
      <c r="A204" s="549">
        <f t="shared" si="56"/>
        <v>114</v>
      </c>
      <c r="B204" s="700" t="s">
        <v>2720</v>
      </c>
      <c r="C204" s="477">
        <f t="shared" si="57"/>
        <v>-7.4977433437014122E-8</v>
      </c>
      <c r="D204" s="477">
        <f t="shared" si="57"/>
        <v>0</v>
      </c>
      <c r="E204" s="477">
        <f t="shared" si="57"/>
        <v>18138011.394019268</v>
      </c>
      <c r="F204" s="477">
        <f t="shared" si="57"/>
        <v>16172266.03911064</v>
      </c>
      <c r="G204" s="477">
        <f t="shared" si="57"/>
        <v>951995.00278837106</v>
      </c>
      <c r="H204" s="477">
        <f t="shared" si="57"/>
        <v>979895.62979061529</v>
      </c>
      <c r="I204" s="477">
        <f t="shared" si="57"/>
        <v>1264337.6027788038</v>
      </c>
      <c r="J204" s="477">
        <f t="shared" si="57"/>
        <v>180.4583176153906</v>
      </c>
      <c r="K204" s="477">
        <f t="shared" si="57"/>
        <v>-197.36931104288362</v>
      </c>
      <c r="L204" s="477">
        <f t="shared" si="57"/>
        <v>11851.29262716079</v>
      </c>
      <c r="M204" s="477">
        <f t="shared" si="55"/>
        <v>37518340.05012136</v>
      </c>
      <c r="N204" s="14"/>
    </row>
    <row r="205" spans="1:14" ht="13">
      <c r="A205" s="549">
        <f t="shared" si="56"/>
        <v>115</v>
      </c>
      <c r="B205" s="699" t="s">
        <v>2721</v>
      </c>
      <c r="C205" s="477">
        <f t="shared" si="57"/>
        <v>0</v>
      </c>
      <c r="D205" s="477">
        <f t="shared" si="57"/>
        <v>1109.907938577911</v>
      </c>
      <c r="E205" s="477">
        <f t="shared" si="57"/>
        <v>2291846.120283647</v>
      </c>
      <c r="F205" s="477">
        <f t="shared" si="57"/>
        <v>52788340.922570363</v>
      </c>
      <c r="G205" s="477">
        <f t="shared" si="57"/>
        <v>7514608.9520956399</v>
      </c>
      <c r="H205" s="477">
        <f t="shared" si="57"/>
        <v>-475292.99662990845</v>
      </c>
      <c r="I205" s="477">
        <f t="shared" si="57"/>
        <v>-1014102.6019015283</v>
      </c>
      <c r="J205" s="477">
        <f t="shared" si="57"/>
        <v>1.0884606425702408</v>
      </c>
      <c r="K205" s="477">
        <f t="shared" si="57"/>
        <v>109.14574057462869</v>
      </c>
      <c r="L205" s="477">
        <f t="shared" si="57"/>
        <v>1371.286210271867</v>
      </c>
      <c r="M205" s="477">
        <f t="shared" si="55"/>
        <v>61107991.824768275</v>
      </c>
      <c r="N205" s="14"/>
    </row>
    <row r="206" spans="1:14" ht="13">
      <c r="A206" s="549">
        <f t="shared" si="56"/>
        <v>116</v>
      </c>
      <c r="B206" s="699" t="s">
        <v>2722</v>
      </c>
      <c r="C206" s="477">
        <f t="shared" si="57"/>
        <v>0</v>
      </c>
      <c r="D206" s="477">
        <f t="shared" si="57"/>
        <v>11645.416004834809</v>
      </c>
      <c r="E206" s="477">
        <f t="shared" si="57"/>
        <v>3517285.152907955</v>
      </c>
      <c r="F206" s="477">
        <f t="shared" si="57"/>
        <v>13889536.16703134</v>
      </c>
      <c r="G206" s="477">
        <f t="shared" si="57"/>
        <v>-1686693.1402925726</v>
      </c>
      <c r="H206" s="477">
        <f t="shared" si="57"/>
        <v>1765449.617765418</v>
      </c>
      <c r="I206" s="477">
        <f t="shared" si="57"/>
        <v>-12863.446522437149</v>
      </c>
      <c r="J206" s="477">
        <f t="shared" si="57"/>
        <v>-3.0967969056272691</v>
      </c>
      <c r="K206" s="477">
        <f t="shared" si="57"/>
        <v>-129.14468805718059</v>
      </c>
      <c r="L206" s="477">
        <f t="shared" si="57"/>
        <v>4818.8787492747142</v>
      </c>
      <c r="M206" s="477">
        <f t="shared" si="55"/>
        <v>17489046.404158846</v>
      </c>
      <c r="N206" s="14"/>
    </row>
    <row r="207" spans="1:14" ht="13">
      <c r="A207" s="549">
        <f t="shared" si="56"/>
        <v>117</v>
      </c>
      <c r="B207" s="700" t="s">
        <v>2723</v>
      </c>
      <c r="C207" s="477">
        <f t="shared" si="57"/>
        <v>2.4992477812338041E-8</v>
      </c>
      <c r="D207" s="477">
        <f t="shared" si="57"/>
        <v>24779.490267630084</v>
      </c>
      <c r="E207" s="477">
        <f t="shared" si="57"/>
        <v>2166373.7209709389</v>
      </c>
      <c r="F207" s="477">
        <f t="shared" si="57"/>
        <v>4627412.4173164777</v>
      </c>
      <c r="G207" s="477">
        <f t="shared" si="57"/>
        <v>35008.026966584584</v>
      </c>
      <c r="H207" s="477">
        <f t="shared" si="57"/>
        <v>-437998.12218839</v>
      </c>
      <c r="I207" s="477">
        <f t="shared" si="57"/>
        <v>5504730.3819497284</v>
      </c>
      <c r="J207" s="477">
        <f t="shared" si="57"/>
        <v>352.94895096993605</v>
      </c>
      <c r="K207" s="477">
        <f t="shared" si="57"/>
        <v>1290.7704481390781</v>
      </c>
      <c r="L207" s="477">
        <f t="shared" si="57"/>
        <v>-1610.7561023288656</v>
      </c>
      <c r="M207" s="477">
        <f t="shared" si="55"/>
        <v>11920338.878579775</v>
      </c>
      <c r="N207" s="14"/>
    </row>
    <row r="208" spans="1:14" ht="13">
      <c r="A208" s="549">
        <f t="shared" si="56"/>
        <v>118</v>
      </c>
      <c r="B208" s="700" t="s">
        <v>2724</v>
      </c>
      <c r="C208" s="477">
        <f t="shared" si="57"/>
        <v>0</v>
      </c>
      <c r="D208" s="477">
        <f t="shared" si="57"/>
        <v>1.0091043218053193E-8</v>
      </c>
      <c r="E208" s="477">
        <f t="shared" si="57"/>
        <v>2541818.2210348281</v>
      </c>
      <c r="F208" s="477">
        <f t="shared" si="57"/>
        <v>18736367.446398925</v>
      </c>
      <c r="G208" s="477">
        <f t="shared" si="57"/>
        <v>468217.13859581685</v>
      </c>
      <c r="H208" s="477">
        <f t="shared" si="57"/>
        <v>527846.23605123523</v>
      </c>
      <c r="I208" s="477">
        <f t="shared" si="57"/>
        <v>346007.26293311908</v>
      </c>
      <c r="J208" s="477">
        <f t="shared" si="57"/>
        <v>9.3794362525985644</v>
      </c>
      <c r="K208" s="477">
        <f t="shared" si="57"/>
        <v>-54.380746994203939</v>
      </c>
      <c r="L208" s="477">
        <f t="shared" si="57"/>
        <v>1650.0079874406902</v>
      </c>
      <c r="M208" s="477">
        <f t="shared" si="55"/>
        <v>22621861.311690632</v>
      </c>
      <c r="N208" s="14"/>
    </row>
    <row r="209" spans="1:44" ht="13">
      <c r="A209" s="549">
        <f t="shared" si="56"/>
        <v>119</v>
      </c>
      <c r="B209" s="699" t="s">
        <v>2725</v>
      </c>
      <c r="C209" s="110">
        <f t="shared" si="57"/>
        <v>-2.4992477812338041E-8</v>
      </c>
      <c r="D209" s="110">
        <f t="shared" si="57"/>
        <v>-10956.955747716906</v>
      </c>
      <c r="E209" s="110">
        <f t="shared" si="57"/>
        <v>1040051.570101188</v>
      </c>
      <c r="F209" s="110">
        <f t="shared" si="57"/>
        <v>14104445.206852434</v>
      </c>
      <c r="G209" s="110">
        <f t="shared" si="57"/>
        <v>847151.22849335941</v>
      </c>
      <c r="H209" s="110">
        <f t="shared" si="57"/>
        <v>2428807.1801907136</v>
      </c>
      <c r="I209" s="110">
        <f t="shared" si="57"/>
        <v>23768702.96594267</v>
      </c>
      <c r="J209" s="110">
        <f t="shared" si="57"/>
        <v>36.610081784793934</v>
      </c>
      <c r="K209" s="110">
        <f t="shared" si="57"/>
        <v>116.9474682317652</v>
      </c>
      <c r="L209" s="110">
        <f t="shared" si="57"/>
        <v>970.81376767418408</v>
      </c>
      <c r="M209" s="110">
        <f t="shared" si="55"/>
        <v>42179325.56715031</v>
      </c>
      <c r="N209" s="14"/>
    </row>
    <row r="210" spans="1:44" ht="13">
      <c r="A210" s="549">
        <f t="shared" si="56"/>
        <v>120</v>
      </c>
      <c r="B210" s="1049" t="s">
        <v>4</v>
      </c>
      <c r="C210" s="229">
        <f t="shared" ref="C210:L210" si="58">SUM(C198:C209)</f>
        <v>116885.77512021735</v>
      </c>
      <c r="D210" s="229">
        <f t="shared" si="58"/>
        <v>1258880.2809191644</v>
      </c>
      <c r="E210" s="229">
        <f t="shared" si="58"/>
        <v>56638813.289699845</v>
      </c>
      <c r="F210" s="229">
        <f t="shared" si="58"/>
        <v>227298015.16230583</v>
      </c>
      <c r="G210" s="229">
        <f t="shared" si="58"/>
        <v>12231433.086853029</v>
      </c>
      <c r="H210" s="229">
        <f t="shared" si="58"/>
        <v>17214043.611982197</v>
      </c>
      <c r="I210" s="229">
        <f t="shared" si="58"/>
        <v>26153248.961303353</v>
      </c>
      <c r="J210" s="229">
        <f t="shared" si="58"/>
        <v>2443.0979192554955</v>
      </c>
      <c r="K210" s="229">
        <f t="shared" si="58"/>
        <v>5081.17950219661</v>
      </c>
      <c r="L210" s="229">
        <f t="shared" si="58"/>
        <v>326543.05206272006</v>
      </c>
      <c r="M210" s="477">
        <f t="shared" si="55"/>
        <v>341245387.49766779</v>
      </c>
      <c r="N210" s="14"/>
    </row>
    <row r="211" spans="1:44">
      <c r="C211" s="14"/>
      <c r="D211" s="14"/>
      <c r="E211" s="14"/>
      <c r="F211" s="14"/>
      <c r="G211" s="14"/>
      <c r="H211" s="14"/>
      <c r="I211" s="14"/>
      <c r="J211" s="14"/>
      <c r="K211" s="14"/>
      <c r="L211" s="14"/>
      <c r="M211" s="14"/>
    </row>
    <row r="212" spans="1:44" ht="13">
      <c r="B212" s="385" t="s">
        <v>230</v>
      </c>
    </row>
    <row r="213" spans="1:44">
      <c r="B213" s="465" t="s">
        <v>1844</v>
      </c>
      <c r="C213" s="14"/>
      <c r="D213" s="14"/>
      <c r="E213" s="14"/>
      <c r="F213" s="14"/>
      <c r="G213" s="14"/>
      <c r="H213" s="14"/>
      <c r="I213" s="14"/>
      <c r="J213" s="14"/>
      <c r="K213" s="14"/>
      <c r="L213" s="14"/>
    </row>
    <row r="214" spans="1:44">
      <c r="B214" s="859" t="s">
        <v>1867</v>
      </c>
      <c r="C214" s="465"/>
      <c r="D214" s="465"/>
      <c r="E214" s="465"/>
      <c r="F214" s="465"/>
      <c r="G214" s="465"/>
      <c r="H214" s="465"/>
      <c r="I214" s="14"/>
      <c r="J214" s="465"/>
      <c r="K214" s="465"/>
      <c r="L214" s="465"/>
      <c r="M214" s="465"/>
      <c r="N214" s="463"/>
      <c r="O214" s="463"/>
      <c r="P214" s="463"/>
      <c r="Q214" s="463"/>
      <c r="R214" s="463"/>
      <c r="S214" s="463"/>
      <c r="T214" s="463"/>
      <c r="U214" s="463"/>
      <c r="V214" s="463"/>
      <c r="W214" s="463"/>
      <c r="X214" s="463"/>
      <c r="Y214" s="463"/>
      <c r="Z214" s="463"/>
      <c r="AA214" s="463"/>
      <c r="AB214" s="463"/>
      <c r="AC214" s="463"/>
      <c r="AD214" s="463"/>
      <c r="AE214" s="463"/>
      <c r="AF214" s="463"/>
      <c r="AG214" s="463"/>
      <c r="AH214" s="463"/>
      <c r="AI214" s="463"/>
      <c r="AJ214" s="463"/>
      <c r="AK214" s="463"/>
      <c r="AL214" s="463"/>
      <c r="AM214" s="463"/>
      <c r="AN214" s="463"/>
      <c r="AO214" s="463"/>
      <c r="AP214" s="463"/>
      <c r="AQ214" s="463"/>
      <c r="AR214" s="463"/>
    </row>
    <row r="215" spans="1:44">
      <c r="B215" s="1044" t="s">
        <v>1845</v>
      </c>
      <c r="C215" s="14"/>
      <c r="D215" s="14"/>
      <c r="E215" s="14"/>
      <c r="F215" s="14"/>
      <c r="G215" s="14"/>
      <c r="H215" s="14"/>
      <c r="I215" s="14"/>
      <c r="J215" s="14"/>
      <c r="K215" s="14"/>
      <c r="L215" s="14"/>
      <c r="M215" s="14"/>
    </row>
    <row r="216" spans="1:44">
      <c r="B216" s="462" t="s">
        <v>2356</v>
      </c>
      <c r="C216" s="14"/>
      <c r="D216" s="14"/>
      <c r="E216" s="14"/>
      <c r="F216" s="14"/>
      <c r="G216" s="14"/>
      <c r="H216" s="14"/>
      <c r="I216" s="14"/>
      <c r="J216" s="14"/>
      <c r="K216" s="14"/>
      <c r="L216" s="14"/>
      <c r="M216" s="14"/>
    </row>
    <row r="217" spans="1:44">
      <c r="B217" s="462" t="s">
        <v>2357</v>
      </c>
      <c r="C217" s="14"/>
      <c r="D217" s="14"/>
      <c r="E217" s="14"/>
      <c r="F217" s="14"/>
      <c r="G217" s="14"/>
      <c r="H217" s="14"/>
      <c r="I217" s="14"/>
      <c r="J217" s="14"/>
      <c r="K217" s="14"/>
      <c r="L217" s="14"/>
      <c r="M217" s="14"/>
    </row>
    <row r="218" spans="1:44">
      <c r="B218" s="112" t="s">
        <v>1846</v>
      </c>
      <c r="C218" s="14"/>
      <c r="D218" s="14"/>
      <c r="E218" s="14"/>
      <c r="F218" s="14"/>
      <c r="G218" s="14"/>
      <c r="H218" s="14"/>
      <c r="I218" s="14"/>
      <c r="J218" s="14"/>
      <c r="K218" s="14"/>
      <c r="L218" s="14"/>
      <c r="M218" s="14"/>
    </row>
    <row r="219" spans="1:44">
      <c r="B219" s="465" t="s">
        <v>1847</v>
      </c>
      <c r="C219" s="14"/>
      <c r="D219" s="14"/>
      <c r="E219" s="14"/>
      <c r="F219" s="14"/>
      <c r="G219" s="14"/>
      <c r="H219" s="14"/>
      <c r="I219" s="14"/>
      <c r="J219" s="14"/>
      <c r="K219" s="14"/>
      <c r="L219" s="14"/>
      <c r="M219" s="14"/>
    </row>
    <row r="220" spans="1:44">
      <c r="B220" s="462" t="s">
        <v>2358</v>
      </c>
      <c r="C220" s="14"/>
      <c r="D220" s="14"/>
      <c r="E220" s="14"/>
      <c r="F220" s="14"/>
      <c r="G220" s="14"/>
      <c r="H220" s="14"/>
      <c r="I220" s="14"/>
      <c r="J220" s="14"/>
      <c r="K220" s="14"/>
      <c r="L220" s="14"/>
      <c r="M220" s="14"/>
    </row>
    <row r="221" spans="1:44">
      <c r="B221" s="462" t="s">
        <v>2359</v>
      </c>
      <c r="C221" s="14"/>
      <c r="D221" s="14"/>
      <c r="E221" s="14"/>
      <c r="F221" s="14"/>
      <c r="G221" s="14"/>
      <c r="H221" s="14"/>
      <c r="I221" s="14"/>
      <c r="J221" s="14"/>
      <c r="K221" s="14"/>
      <c r="L221" s="14"/>
      <c r="M221" s="14"/>
    </row>
    <row r="222" spans="1:44">
      <c r="B222" s="462" t="s">
        <v>2360</v>
      </c>
      <c r="C222" s="14"/>
      <c r="D222" s="14"/>
      <c r="E222" s="14"/>
      <c r="F222" s="14"/>
      <c r="G222" s="14"/>
      <c r="H222" s="14"/>
      <c r="I222" s="14"/>
      <c r="J222" s="14"/>
      <c r="K222" s="14"/>
      <c r="L222" s="14"/>
      <c r="M222" s="14"/>
    </row>
    <row r="223" spans="1:44">
      <c r="B223" s="465" t="str">
        <f>"2) Amounts on Line "&amp;A35&amp;" must match 6-Plant Study amounts for Distribution Plant - ISO for previous year."</f>
        <v>2) Amounts on Line 15 must match 6-Plant Study amounts for Distribution Plant - ISO for previous year.</v>
      </c>
      <c r="C223" s="14"/>
      <c r="D223" s="14"/>
      <c r="E223" s="14"/>
      <c r="F223" s="14"/>
      <c r="G223" s="14"/>
      <c r="H223" s="14"/>
      <c r="I223" s="14"/>
      <c r="J223" s="14"/>
      <c r="K223" s="14"/>
      <c r="L223" s="14"/>
    </row>
    <row r="224" spans="1:44">
      <c r="B224" s="462" t="str">
        <f>"Amounts on Line "&amp;A36&amp;" must match amounts on 6-PlantStudy for Distribution Plant - ISO."</f>
        <v>Amounts on Line 16 must match amounts on 6-PlantStudy for Distribution Plant - ISO.</v>
      </c>
      <c r="C224" s="14"/>
      <c r="D224" s="14"/>
      <c r="E224" s="14"/>
      <c r="F224" s="14"/>
      <c r="G224" s="14"/>
      <c r="H224" s="14"/>
      <c r="I224" s="14"/>
      <c r="J224" s="14"/>
      <c r="K224" s="14"/>
      <c r="L224" s="14"/>
    </row>
    <row r="225" spans="2:12">
      <c r="B225" s="1066" t="s">
        <v>2547</v>
      </c>
      <c r="C225" s="14"/>
      <c r="D225" s="14"/>
      <c r="E225" s="14"/>
      <c r="F225" s="14"/>
      <c r="G225" s="14"/>
      <c r="H225" s="961" t="s">
        <v>2711</v>
      </c>
      <c r="I225" s="1233"/>
      <c r="J225" s="14"/>
      <c r="K225" s="14"/>
      <c r="L225" s="14"/>
    </row>
    <row r="226" spans="2:12">
      <c r="B226" s="465" t="s">
        <v>2545</v>
      </c>
      <c r="C226" s="14"/>
      <c r="D226" s="14"/>
      <c r="E226" s="14"/>
      <c r="F226" s="14"/>
      <c r="G226" s="14"/>
      <c r="H226" s="14"/>
      <c r="I226" s="14"/>
      <c r="J226" s="14"/>
      <c r="K226" s="14"/>
      <c r="L226" s="14"/>
    </row>
    <row r="227" spans="2:12">
      <c r="B227" s="465" t="s">
        <v>2361</v>
      </c>
      <c r="C227" s="14"/>
      <c r="D227" s="14"/>
      <c r="E227" s="14"/>
      <c r="F227" s="14"/>
      <c r="G227" s="14"/>
      <c r="H227" s="14"/>
      <c r="I227" s="14"/>
      <c r="J227" s="14"/>
      <c r="K227" s="14"/>
      <c r="L227" s="14"/>
    </row>
    <row r="228" spans="2:12">
      <c r="B228" s="465" t="s">
        <v>2546</v>
      </c>
      <c r="C228" s="14"/>
      <c r="D228" s="14"/>
      <c r="E228" s="14"/>
      <c r="F228" s="14"/>
      <c r="G228" s="14"/>
      <c r="H228" s="14"/>
      <c r="I228" s="14"/>
      <c r="J228" s="14"/>
      <c r="L228" s="14"/>
    </row>
    <row r="229" spans="2:12">
      <c r="B229" s="463" t="s">
        <v>2362</v>
      </c>
      <c r="C229" s="14"/>
      <c r="D229" s="14"/>
      <c r="E229" s="14"/>
      <c r="F229" s="14"/>
      <c r="G229" s="14"/>
      <c r="H229" s="14"/>
      <c r="I229" s="14"/>
      <c r="J229" s="14"/>
      <c r="K229" s="14"/>
      <c r="L229" s="14"/>
    </row>
    <row r="230" spans="2:12">
      <c r="B230" s="463" t="s">
        <v>2363</v>
      </c>
      <c r="C230" s="14"/>
      <c r="D230" s="14"/>
      <c r="E230" s="14"/>
      <c r="F230" s="14"/>
      <c r="G230" s="14"/>
      <c r="H230" s="14"/>
      <c r="I230" s="14"/>
      <c r="J230" s="14"/>
      <c r="K230" s="14"/>
      <c r="L230" s="14"/>
    </row>
    <row r="231" spans="2:12">
      <c r="B231" s="955" t="str">
        <f>"9) Amount on Line "&amp;A24&amp;" less amount on Line "&amp;A12&amp;" for each account."</f>
        <v>9) Amount on Line 13 less amount on Line 1 for each account.</v>
      </c>
      <c r="C231" s="14"/>
      <c r="D231" s="14"/>
      <c r="E231" s="14"/>
      <c r="F231" s="14"/>
      <c r="G231" s="14"/>
      <c r="H231" s="14"/>
      <c r="I231" s="14"/>
      <c r="J231" s="14"/>
      <c r="K231" s="14"/>
      <c r="L231" s="14"/>
    </row>
    <row r="232" spans="2:12">
      <c r="B232" s="955" t="str">
        <f>"10) Line "&amp;A143&amp;""</f>
        <v>10) Line 79</v>
      </c>
      <c r="C232" s="14"/>
      <c r="D232" s="14"/>
      <c r="E232" s="14"/>
      <c r="F232" s="14"/>
      <c r="G232" s="14"/>
      <c r="H232" s="14"/>
      <c r="I232" s="14"/>
      <c r="J232" s="14"/>
      <c r="K232" s="14"/>
      <c r="L232" s="14"/>
    </row>
    <row r="233" spans="2:12">
      <c r="B233" s="955" t="str">
        <f>"11) Amount on Line "&amp;A183&amp;" less amount on Line "&amp;A187&amp;" for each account."</f>
        <v>11) Amount on Line 105 less amount on Line 106 for each account.</v>
      </c>
      <c r="C233" s="14"/>
      <c r="D233" s="14"/>
      <c r="E233" s="14"/>
      <c r="F233" s="14"/>
      <c r="G233" s="14"/>
      <c r="H233" s="14"/>
      <c r="I233" s="14"/>
      <c r="J233" s="14"/>
      <c r="K233" s="14"/>
      <c r="L233" s="14"/>
    </row>
    <row r="234" spans="2:12">
      <c r="B234" s="465" t="str">
        <f>"12) For each column (FERC Account) divide Line "&amp;A191&amp;" by Line "&amp;A162&amp;" to arrive at a ratio for each column."</f>
        <v>12) For each column (FERC Account) divide Line 107 by Line 92 to arrive at a ratio for each column.</v>
      </c>
    </row>
    <row r="235" spans="2:12">
      <c r="B235" s="462" t="str">
        <f>"Apply the ratio of each column to each monthly value from Lines "&amp;A150&amp;"-"&amp;A161&amp;" to calculate the values for"</f>
        <v>Apply the ratio of each column to each monthly value from Lines 80-91 to calculate the values for</v>
      </c>
    </row>
    <row r="236" spans="2:12">
      <c r="B236" s="462" t="str">
        <f>"the corresponsing months listed in Lines "&amp;A198&amp;"-"&amp;A209&amp;"."</f>
        <v>the corresponsing months listed in Lines 108-119.</v>
      </c>
    </row>
  </sheetData>
  <phoneticPr fontId="23" type="noConversion"/>
  <pageMargins left="0.75" right="0.75" top="1" bottom="1" header="0.5" footer="0.5"/>
  <pageSetup scale="62" orientation="landscape" cellComments="asDisplayed" r:id="rId1"/>
  <headerFooter alignWithMargins="0">
    <oddHeader>&amp;CSchedule 6
Plant In Service
&amp;RTO2022 Draft Annual Update 
Attachment 1</oddHeader>
    <oddFooter>&amp;R&amp;A</oddFooter>
  </headerFooter>
  <rowBreaks count="4" manualBreakCount="4">
    <brk id="38" max="16383" man="1"/>
    <brk id="87" max="12" man="1"/>
    <brk id="125" max="12" man="1"/>
    <brk id="17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zoomScalePageLayoutView="90" workbookViewId="0"/>
  </sheetViews>
  <sheetFormatPr defaultRowHeight="13"/>
  <cols>
    <col min="1" max="1" width="4.54296875" customWidth="1"/>
    <col min="2" max="2" width="25.54296875" style="124" customWidth="1"/>
    <col min="3" max="5" width="15.54296875" style="124" customWidth="1"/>
    <col min="6" max="6" width="12.453125" style="124" customWidth="1"/>
    <col min="8" max="8" width="15.54296875" customWidth="1"/>
  </cols>
  <sheetData>
    <row r="1" spans="1:8">
      <c r="A1" s="1" t="s">
        <v>426</v>
      </c>
      <c r="B1" s="169"/>
      <c r="C1" s="169"/>
      <c r="D1" s="169"/>
      <c r="E1" s="170" t="s">
        <v>446</v>
      </c>
      <c r="F1" s="183"/>
      <c r="G1" s="12"/>
    </row>
    <row r="2" spans="1:8">
      <c r="B2" s="1248" t="s">
        <v>2531</v>
      </c>
      <c r="C2" s="1453" t="s">
        <v>2726</v>
      </c>
      <c r="G2" s="12"/>
    </row>
    <row r="3" spans="1:8">
      <c r="A3" s="860" t="s">
        <v>1718</v>
      </c>
      <c r="B3" s="861"/>
      <c r="C3" s="861"/>
      <c r="D3" s="861"/>
      <c r="E3" s="862" t="s">
        <v>1713</v>
      </c>
      <c r="F3" s="1490">
        <v>2020</v>
      </c>
      <c r="G3" s="12"/>
    </row>
    <row r="4" spans="1:8">
      <c r="A4" s="167"/>
      <c r="B4" s="169"/>
      <c r="C4" s="169"/>
      <c r="D4" s="169"/>
      <c r="E4" s="169"/>
      <c r="F4" s="169"/>
      <c r="G4" s="12"/>
    </row>
    <row r="5" spans="1:8">
      <c r="B5" s="167"/>
      <c r="C5" s="84" t="s">
        <v>358</v>
      </c>
      <c r="E5" s="84" t="s">
        <v>342</v>
      </c>
      <c r="F5" s="84" t="s">
        <v>343</v>
      </c>
      <c r="G5" s="12"/>
    </row>
    <row r="6" spans="1:8">
      <c r="B6" s="167"/>
      <c r="C6" s="84"/>
      <c r="E6" s="84"/>
      <c r="F6" s="84"/>
      <c r="G6" s="12"/>
    </row>
    <row r="7" spans="1:8">
      <c r="A7" s="51" t="s">
        <v>329</v>
      </c>
      <c r="B7" s="167"/>
      <c r="C7" s="168" t="s">
        <v>196</v>
      </c>
      <c r="D7" s="168"/>
      <c r="E7" s="168" t="s">
        <v>1116</v>
      </c>
      <c r="F7" s="168" t="s">
        <v>428</v>
      </c>
      <c r="G7" s="12"/>
    </row>
    <row r="8" spans="1:8">
      <c r="A8" s="2">
        <v>1</v>
      </c>
      <c r="B8" s="160" t="s">
        <v>99</v>
      </c>
      <c r="C8" s="160" t="s">
        <v>371</v>
      </c>
      <c r="D8" s="160" t="s">
        <v>432</v>
      </c>
      <c r="E8" s="160" t="s">
        <v>1117</v>
      </c>
      <c r="F8" s="160" t="s">
        <v>429</v>
      </c>
      <c r="G8" s="171" t="s">
        <v>168</v>
      </c>
    </row>
    <row r="9" spans="1:8" ht="12.75" customHeight="1">
      <c r="A9" s="2">
        <f>A8+1</f>
        <v>2</v>
      </c>
      <c r="B9" s="161" t="s">
        <v>422</v>
      </c>
      <c r="C9" s="172"/>
      <c r="D9" s="172"/>
      <c r="E9" s="172"/>
      <c r="F9" s="173"/>
      <c r="G9" s="12"/>
    </row>
    <row r="10" spans="1:8">
      <c r="A10" s="2">
        <f t="shared" ref="A10:A28" si="0">A9+1</f>
        <v>3</v>
      </c>
      <c r="B10" s="162">
        <v>352</v>
      </c>
      <c r="C10" s="493">
        <v>1253582423</v>
      </c>
      <c r="D10" s="154" t="s">
        <v>433</v>
      </c>
      <c r="E10" s="1461">
        <v>804153066.44668055</v>
      </c>
      <c r="F10" s="156">
        <f>E10/C10</f>
        <v>0.64148399953010549</v>
      </c>
      <c r="G10" s="12"/>
      <c r="H10" s="935"/>
    </row>
    <row r="11" spans="1:8">
      <c r="A11" s="2">
        <f t="shared" si="0"/>
        <v>4</v>
      </c>
      <c r="B11" s="162">
        <v>353</v>
      </c>
      <c r="C11" s="115">
        <v>6970450866</v>
      </c>
      <c r="D11" s="154" t="s">
        <v>434</v>
      </c>
      <c r="E11" s="384">
        <v>3951945554.2101927</v>
      </c>
      <c r="F11" s="157">
        <f>E11/C11</f>
        <v>0.56695694872289093</v>
      </c>
      <c r="G11" s="12"/>
      <c r="H11" s="463"/>
    </row>
    <row r="12" spans="1:8">
      <c r="A12" s="2">
        <f t="shared" si="0"/>
        <v>5</v>
      </c>
      <c r="B12" s="164" t="s">
        <v>417</v>
      </c>
      <c r="C12" s="152">
        <f>SUM(C10:C11)</f>
        <v>8224033289</v>
      </c>
      <c r="D12" s="13" t="str">
        <f>"L "&amp;A10&amp;" + L "&amp;A11&amp;""</f>
        <v>L 3 + L 4</v>
      </c>
      <c r="E12" s="152">
        <f>SUM(E10:E11)</f>
        <v>4756098620.6568737</v>
      </c>
      <c r="F12" s="156">
        <f>E12/C12</f>
        <v>0.57831704390330729</v>
      </c>
      <c r="G12" s="15"/>
    </row>
    <row r="13" spans="1:8">
      <c r="A13" s="2">
        <f t="shared" si="0"/>
        <v>6</v>
      </c>
      <c r="B13" s="174"/>
      <c r="C13" s="175"/>
      <c r="D13" s="175"/>
      <c r="E13" s="175"/>
      <c r="F13" s="156"/>
      <c r="G13" s="12"/>
    </row>
    <row r="14" spans="1:8">
      <c r="A14" s="2">
        <f t="shared" si="0"/>
        <v>7</v>
      </c>
      <c r="B14" s="163" t="s">
        <v>418</v>
      </c>
      <c r="C14" s="176"/>
      <c r="D14" s="176"/>
      <c r="E14" s="176"/>
      <c r="F14" s="177"/>
      <c r="G14" s="12"/>
    </row>
    <row r="15" spans="1:8">
      <c r="A15" s="2">
        <f t="shared" si="0"/>
        <v>8</v>
      </c>
      <c r="B15" s="162">
        <v>350</v>
      </c>
      <c r="C15" s="696">
        <v>347032204</v>
      </c>
      <c r="D15" s="154" t="s">
        <v>435</v>
      </c>
      <c r="E15" s="1462">
        <v>255945465.84704</v>
      </c>
      <c r="F15" s="156">
        <f>E15/C15</f>
        <v>0.73752655487569674</v>
      </c>
      <c r="G15" s="12"/>
      <c r="H15" s="463"/>
    </row>
    <row r="16" spans="1:8">
      <c r="A16" s="2">
        <f t="shared" si="0"/>
        <v>9</v>
      </c>
      <c r="B16" s="162"/>
      <c r="C16" s="152"/>
      <c r="D16" s="152"/>
      <c r="E16" s="152"/>
      <c r="F16" s="156"/>
      <c r="G16" s="12"/>
    </row>
    <row r="17" spans="1:8">
      <c r="A17" s="2">
        <f t="shared" si="0"/>
        <v>10</v>
      </c>
      <c r="B17" s="163" t="s">
        <v>419</v>
      </c>
      <c r="C17" s="152">
        <f>C12+C15</f>
        <v>8571065493</v>
      </c>
      <c r="D17" s="13" t="str">
        <f>"L "&amp;A12&amp;" + L "&amp;A15&amp;""</f>
        <v>L 5 + L 8</v>
      </c>
      <c r="E17" s="152">
        <f>E12+E15</f>
        <v>5012044086.5039139</v>
      </c>
      <c r="F17" s="156">
        <f>E17/C17</f>
        <v>0.58476324683287706</v>
      </c>
      <c r="G17" s="15"/>
    </row>
    <row r="18" spans="1:8">
      <c r="A18" s="2">
        <f t="shared" si="0"/>
        <v>11</v>
      </c>
      <c r="B18" s="174"/>
      <c r="C18" s="175"/>
      <c r="D18" s="175"/>
      <c r="E18" s="175"/>
      <c r="F18" s="156"/>
      <c r="G18" s="12"/>
    </row>
    <row r="19" spans="1:8">
      <c r="A19" s="2">
        <f t="shared" si="0"/>
        <v>12</v>
      </c>
      <c r="B19" s="163" t="s">
        <v>420</v>
      </c>
      <c r="C19" s="175"/>
      <c r="D19" s="175"/>
      <c r="E19" s="175"/>
      <c r="F19" s="156"/>
      <c r="G19" s="12"/>
    </row>
    <row r="20" spans="1:8">
      <c r="A20" s="2">
        <f t="shared" si="0"/>
        <v>13</v>
      </c>
      <c r="B20" s="162">
        <v>354</v>
      </c>
      <c r="C20" s="703">
        <v>2396538521</v>
      </c>
      <c r="D20" s="154" t="s">
        <v>436</v>
      </c>
      <c r="E20" s="1463">
        <v>2302122819.4770331</v>
      </c>
      <c r="F20" s="178">
        <f>E20/C20</f>
        <v>0.96060330318263765</v>
      </c>
      <c r="G20" s="12"/>
      <c r="H20" s="463"/>
    </row>
    <row r="21" spans="1:8">
      <c r="A21" s="2">
        <f t="shared" si="0"/>
        <v>14</v>
      </c>
      <c r="B21" s="162">
        <v>355</v>
      </c>
      <c r="C21" s="703">
        <v>1828031265</v>
      </c>
      <c r="D21" s="154" t="s">
        <v>437</v>
      </c>
      <c r="E21" s="1463">
        <v>431972729.20086581</v>
      </c>
      <c r="F21" s="178">
        <f t="shared" ref="F21:F26" si="1">E21/C21</f>
        <v>0.23630489120811934</v>
      </c>
      <c r="G21" s="12"/>
      <c r="H21" s="463"/>
    </row>
    <row r="22" spans="1:8">
      <c r="A22" s="2">
        <f t="shared" si="0"/>
        <v>15</v>
      </c>
      <c r="B22" s="162">
        <v>356</v>
      </c>
      <c r="C22" s="703">
        <v>1891498739</v>
      </c>
      <c r="D22" s="154" t="s">
        <v>438</v>
      </c>
      <c r="E22" s="1463">
        <v>1449635757.7995038</v>
      </c>
      <c r="F22" s="178">
        <f t="shared" si="1"/>
        <v>0.76639530754638463</v>
      </c>
      <c r="G22" s="12"/>
      <c r="H22" s="463"/>
    </row>
    <row r="23" spans="1:8">
      <c r="A23" s="2">
        <f t="shared" si="0"/>
        <v>16</v>
      </c>
      <c r="B23" s="162">
        <v>357</v>
      </c>
      <c r="C23" s="703">
        <v>325221172</v>
      </c>
      <c r="D23" s="154" t="s">
        <v>439</v>
      </c>
      <c r="E23" s="1463">
        <v>215412775.95431966</v>
      </c>
      <c r="F23" s="178">
        <f t="shared" si="1"/>
        <v>0.66235778756224284</v>
      </c>
      <c r="G23" s="12"/>
      <c r="H23" s="463"/>
    </row>
    <row r="24" spans="1:8">
      <c r="A24" s="2">
        <f t="shared" si="0"/>
        <v>17</v>
      </c>
      <c r="B24" s="162">
        <v>358</v>
      </c>
      <c r="C24" s="703">
        <v>406147584</v>
      </c>
      <c r="D24" s="154" t="s">
        <v>440</v>
      </c>
      <c r="E24" s="1463">
        <v>59261609.025810957</v>
      </c>
      <c r="F24" s="178">
        <f t="shared" si="1"/>
        <v>0.14591151433714045</v>
      </c>
      <c r="G24" s="12"/>
      <c r="H24" s="463"/>
    </row>
    <row r="25" spans="1:8">
      <c r="A25" s="2">
        <f t="shared" si="0"/>
        <v>18</v>
      </c>
      <c r="B25" s="162">
        <v>359</v>
      </c>
      <c r="C25" s="179">
        <v>215837806</v>
      </c>
      <c r="D25" s="154" t="s">
        <v>441</v>
      </c>
      <c r="E25" s="1464">
        <v>192098212.92509732</v>
      </c>
      <c r="F25" s="180">
        <f t="shared" si="1"/>
        <v>0.89001188663443564</v>
      </c>
      <c r="G25" s="12"/>
      <c r="H25" s="463"/>
    </row>
    <row r="26" spans="1:8">
      <c r="A26" s="2">
        <f t="shared" si="0"/>
        <v>19</v>
      </c>
      <c r="B26" s="164" t="s">
        <v>421</v>
      </c>
      <c r="C26" s="152">
        <f>SUM(C20:C25)</f>
        <v>7063275087</v>
      </c>
      <c r="D26" s="155" t="str">
        <f>"Sum L"&amp;A20&amp;" to L"&amp;A25&amp;""</f>
        <v>Sum L13 to L18</v>
      </c>
      <c r="E26" s="152">
        <f>SUM(E20:E25)</f>
        <v>4650503904.3826313</v>
      </c>
      <c r="F26" s="156">
        <f t="shared" si="1"/>
        <v>0.65840617094779608</v>
      </c>
      <c r="G26" s="15"/>
    </row>
    <row r="27" spans="1:8">
      <c r="A27" s="2">
        <f t="shared" si="0"/>
        <v>20</v>
      </c>
      <c r="B27" s="181"/>
      <c r="C27" s="152"/>
      <c r="D27" s="152"/>
      <c r="E27" s="152"/>
      <c r="F27" s="156"/>
      <c r="G27" s="12"/>
    </row>
    <row r="28" spans="1:8">
      <c r="A28" s="2">
        <f t="shared" si="0"/>
        <v>21</v>
      </c>
      <c r="B28" s="182" t="s">
        <v>431</v>
      </c>
      <c r="C28" s="158">
        <f>C17+C26</f>
        <v>15634340580</v>
      </c>
      <c r="D28" s="13" t="str">
        <f>"L "&amp;A17&amp;" + L "&amp;A26&amp;""</f>
        <v>L 10 + L 19</v>
      </c>
      <c r="E28" s="158">
        <f>E17+E26</f>
        <v>9662547990.8865452</v>
      </c>
      <c r="F28" s="159">
        <f>E28/C28</f>
        <v>0.61803361270300183</v>
      </c>
      <c r="G28" s="12" t="s">
        <v>359</v>
      </c>
      <c r="H28" s="14"/>
    </row>
    <row r="29" spans="1:8">
      <c r="A29" s="2"/>
      <c r="B29" s="129"/>
      <c r="C29" s="125"/>
      <c r="D29" s="125"/>
      <c r="E29" s="125"/>
      <c r="F29" s="128"/>
    </row>
    <row r="30" spans="1:8">
      <c r="A30" s="2"/>
      <c r="B30" s="126"/>
      <c r="C30" s="127"/>
      <c r="D30" s="127"/>
      <c r="E30" s="566"/>
      <c r="F30" s="127"/>
    </row>
    <row r="31" spans="1:8">
      <c r="A31" s="167" t="s">
        <v>430</v>
      </c>
      <c r="C31" s="127"/>
      <c r="D31" s="127"/>
      <c r="E31" s="127"/>
      <c r="F31" s="127"/>
    </row>
    <row r="32" spans="1:8">
      <c r="A32" s="2"/>
      <c r="B32" s="132"/>
      <c r="C32" s="127"/>
      <c r="D32" s="127"/>
      <c r="E32" s="127"/>
      <c r="F32" s="127"/>
    </row>
    <row r="33" spans="1:9">
      <c r="A33" s="51" t="s">
        <v>329</v>
      </c>
      <c r="B33" s="167"/>
      <c r="C33" s="168" t="s">
        <v>196</v>
      </c>
      <c r="D33" s="168"/>
      <c r="E33" s="168" t="s">
        <v>305</v>
      </c>
      <c r="F33" s="168" t="s">
        <v>428</v>
      </c>
    </row>
    <row r="34" spans="1:9">
      <c r="A34" s="2">
        <f>A28+1</f>
        <v>22</v>
      </c>
      <c r="B34" s="160" t="s">
        <v>99</v>
      </c>
      <c r="C34" s="160" t="s">
        <v>371</v>
      </c>
      <c r="D34" s="160" t="s">
        <v>432</v>
      </c>
      <c r="E34" s="160" t="s">
        <v>1117</v>
      </c>
      <c r="F34" s="160" t="s">
        <v>429</v>
      </c>
    </row>
    <row r="35" spans="1:9">
      <c r="A35" s="2">
        <f t="shared" ref="A35:A42" si="2">A34+1</f>
        <v>23</v>
      </c>
      <c r="B35" s="161" t="s">
        <v>423</v>
      </c>
      <c r="C35" s="125"/>
      <c r="D35" s="125"/>
      <c r="E35" s="125"/>
      <c r="F35" s="128"/>
    </row>
    <row r="36" spans="1:9">
      <c r="A36" s="2">
        <f t="shared" si="2"/>
        <v>24</v>
      </c>
      <c r="B36" s="162">
        <v>360</v>
      </c>
      <c r="C36" s="696">
        <v>129613197</v>
      </c>
      <c r="D36" s="154" t="s">
        <v>442</v>
      </c>
      <c r="E36" s="936">
        <v>0</v>
      </c>
      <c r="F36" s="156">
        <f>E36/C36</f>
        <v>0</v>
      </c>
      <c r="H36" s="463"/>
    </row>
    <row r="37" spans="1:9">
      <c r="A37" s="2">
        <f t="shared" si="2"/>
        <v>25</v>
      </c>
      <c r="B37" s="163" t="s">
        <v>424</v>
      </c>
      <c r="C37" s="152"/>
      <c r="D37" s="152"/>
      <c r="E37" s="152"/>
      <c r="F37" s="156"/>
    </row>
    <row r="38" spans="1:9">
      <c r="A38" s="2">
        <f t="shared" si="2"/>
        <v>26</v>
      </c>
      <c r="B38" s="162">
        <v>361</v>
      </c>
      <c r="C38" s="696">
        <v>844613530</v>
      </c>
      <c r="D38" s="154" t="s">
        <v>443</v>
      </c>
      <c r="E38" s="151">
        <v>0</v>
      </c>
      <c r="F38" s="156">
        <f>E38/C38</f>
        <v>0</v>
      </c>
      <c r="H38" s="463"/>
    </row>
    <row r="39" spans="1:9">
      <c r="A39" s="2">
        <f t="shared" si="2"/>
        <v>27</v>
      </c>
      <c r="B39" s="162">
        <v>362</v>
      </c>
      <c r="C39" s="153">
        <v>3106963772</v>
      </c>
      <c r="D39" s="154" t="s">
        <v>444</v>
      </c>
      <c r="E39" s="153">
        <v>0</v>
      </c>
      <c r="F39" s="157">
        <f>E39/C39</f>
        <v>0</v>
      </c>
      <c r="H39" s="463"/>
    </row>
    <row r="40" spans="1:9">
      <c r="A40" s="2">
        <f t="shared" si="2"/>
        <v>28</v>
      </c>
      <c r="B40" s="164" t="s">
        <v>425</v>
      </c>
      <c r="C40" s="152">
        <f>SUM(C38:C39)</f>
        <v>3951577302</v>
      </c>
      <c r="D40" s="13" t="str">
        <f>"L "&amp;A38&amp;" + L "&amp;A39&amp;""</f>
        <v>L 26 + L 27</v>
      </c>
      <c r="E40" s="152">
        <f>SUM(E38:E39)</f>
        <v>0</v>
      </c>
      <c r="F40" s="156">
        <f>E40/C40</f>
        <v>0</v>
      </c>
      <c r="G40" s="14"/>
    </row>
    <row r="41" spans="1:9">
      <c r="A41" s="2">
        <f t="shared" si="2"/>
        <v>29</v>
      </c>
      <c r="B41" s="165"/>
      <c r="C41" s="136"/>
      <c r="D41" s="152"/>
      <c r="E41" s="152"/>
      <c r="F41" s="156"/>
    </row>
    <row r="42" spans="1:9">
      <c r="A42" s="2">
        <f t="shared" si="2"/>
        <v>30</v>
      </c>
      <c r="B42" s="166" t="s">
        <v>1215</v>
      </c>
      <c r="C42" s="158">
        <f>C36+C40</f>
        <v>4081190499</v>
      </c>
      <c r="D42" s="13" t="str">
        <f>"L "&amp;A36&amp;" + L "&amp;A40&amp;""</f>
        <v>L 24 + L 28</v>
      </c>
      <c r="E42" s="158">
        <f>E36+E40</f>
        <v>0</v>
      </c>
      <c r="F42" s="159">
        <f>E42/C42</f>
        <v>0</v>
      </c>
      <c r="G42" s="12" t="s">
        <v>360</v>
      </c>
      <c r="H42" s="15"/>
    </row>
    <row r="43" spans="1:9">
      <c r="A43" s="2"/>
      <c r="B43" s="133"/>
      <c r="C43" s="134"/>
      <c r="D43" s="134"/>
      <c r="E43" s="134"/>
      <c r="F43" s="135"/>
      <c r="H43" s="137"/>
      <c r="I43" s="12"/>
    </row>
    <row r="44" spans="1:9">
      <c r="A44" s="61"/>
      <c r="E44" s="130"/>
    </row>
    <row r="45" spans="1:9">
      <c r="A45" s="83" t="s">
        <v>230</v>
      </c>
    </row>
    <row r="46" spans="1:9">
      <c r="A46" s="13" t="s">
        <v>445</v>
      </c>
      <c r="E46" s="130"/>
    </row>
    <row r="47" spans="1:9">
      <c r="A47" s="13" t="s">
        <v>450</v>
      </c>
    </row>
    <row r="48" spans="1:9">
      <c r="A48" s="13" t="s">
        <v>447</v>
      </c>
      <c r="C48" s="130"/>
      <c r="D48" s="130"/>
    </row>
    <row r="49" spans="1:4">
      <c r="A49" s="13" t="s">
        <v>449</v>
      </c>
      <c r="C49" s="131"/>
      <c r="D49" s="131"/>
    </row>
    <row r="50" spans="1:4">
      <c r="A50" s="61"/>
      <c r="C50" s="130"/>
      <c r="D50" s="130"/>
    </row>
    <row r="51" spans="1:4">
      <c r="A51" s="83" t="s">
        <v>377</v>
      </c>
    </row>
    <row r="52" spans="1:4">
      <c r="A52" s="13" t="s">
        <v>448</v>
      </c>
    </row>
    <row r="53" spans="1:4">
      <c r="A53" s="13" t="s">
        <v>1419</v>
      </c>
    </row>
    <row r="54" spans="1:4">
      <c r="A54" s="467" t="s">
        <v>2009</v>
      </c>
    </row>
  </sheetData>
  <pageMargins left="0.7" right="0.7" top="0.75" bottom="0.75" header="0.3" footer="0.3"/>
  <pageSetup scale="90" orientation="portrait" cellComments="asDisplayed" r:id="rId1"/>
  <headerFooter>
    <oddHeader>&amp;CSchedule 7
Transmission Plant Study Summary
&amp;RTO2022 Draft Annual Update 
Attachment 1</oddHeader>
    <oddFooter>&amp;R7-PlantStudy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54"/>
  <sheetViews>
    <sheetView zoomScaleNormal="100" zoomScalePageLayoutView="60" workbookViewId="0"/>
  </sheetViews>
  <sheetFormatPr defaultColWidth="8.54296875" defaultRowHeight="12.5"/>
  <cols>
    <col min="1" max="1" width="4.54296875" style="955" customWidth="1"/>
    <col min="2" max="2" width="7.54296875" style="955" customWidth="1"/>
    <col min="3" max="3" width="10.54296875" style="955" customWidth="1"/>
    <col min="4" max="4" width="13.54296875" style="955" customWidth="1"/>
    <col min="5" max="6" width="14.54296875" style="955" customWidth="1"/>
    <col min="7" max="10" width="13.54296875" style="955" customWidth="1"/>
    <col min="11" max="12" width="11.54296875" style="955" customWidth="1"/>
    <col min="13" max="13" width="13.54296875" style="955" customWidth="1"/>
    <col min="14" max="14" width="14.54296875" style="955" customWidth="1"/>
    <col min="15" max="15" width="13.54296875" style="14" customWidth="1"/>
    <col min="16" max="23" width="8.54296875" style="14"/>
    <col min="24" max="16384" width="8.54296875" style="955"/>
  </cols>
  <sheetData>
    <row r="1" spans="1:18" ht="13">
      <c r="A1" s="83" t="s">
        <v>163</v>
      </c>
      <c r="B1" s="1"/>
      <c r="C1" s="227"/>
      <c r="D1" s="227"/>
      <c r="E1" s="227"/>
      <c r="F1" s="227"/>
      <c r="G1" s="227"/>
      <c r="H1" s="227"/>
      <c r="I1" s="227"/>
      <c r="J1" s="501" t="s">
        <v>446</v>
      </c>
      <c r="K1" s="183"/>
      <c r="L1" s="227"/>
      <c r="M1" s="227"/>
      <c r="N1" s="227"/>
      <c r="O1" s="235"/>
      <c r="P1" s="235"/>
      <c r="Q1" s="235"/>
      <c r="R1" s="235"/>
    </row>
    <row r="2" spans="1:18" ht="13">
      <c r="A2" s="227"/>
      <c r="B2" s="227"/>
      <c r="C2" s="1248" t="s">
        <v>2531</v>
      </c>
      <c r="D2" s="1453" t="s">
        <v>2711</v>
      </c>
      <c r="E2" s="958"/>
      <c r="F2" s="227"/>
      <c r="G2" s="227"/>
      <c r="H2" s="227"/>
      <c r="I2" s="227"/>
      <c r="L2" s="227"/>
      <c r="M2" s="227"/>
      <c r="N2" s="227"/>
      <c r="O2" s="235"/>
      <c r="P2" s="235"/>
      <c r="Q2" s="235"/>
      <c r="R2" s="235"/>
    </row>
    <row r="3" spans="1:18" ht="13">
      <c r="A3" s="227"/>
      <c r="B3" s="1" t="s">
        <v>327</v>
      </c>
      <c r="C3" s="227"/>
      <c r="D3" s="227"/>
      <c r="E3" s="227"/>
      <c r="F3" s="227"/>
      <c r="G3" s="858" t="s">
        <v>1713</v>
      </c>
      <c r="H3" s="1489">
        <v>2020</v>
      </c>
      <c r="I3" s="227"/>
      <c r="J3" s="227"/>
      <c r="K3" s="227"/>
      <c r="L3" s="227"/>
      <c r="M3" s="227"/>
      <c r="N3" s="227"/>
      <c r="O3" s="235"/>
      <c r="P3" s="235"/>
      <c r="Q3" s="235"/>
      <c r="R3" s="235"/>
    </row>
    <row r="4" spans="1:18">
      <c r="A4" s="227"/>
      <c r="B4" s="227"/>
      <c r="C4" s="227"/>
      <c r="D4" s="227"/>
      <c r="E4" s="227"/>
      <c r="F4" s="227"/>
      <c r="G4" s="227"/>
      <c r="H4" s="227"/>
      <c r="I4" s="227"/>
      <c r="J4" s="227"/>
      <c r="K4" s="227"/>
      <c r="L4" s="227"/>
      <c r="M4" s="227"/>
      <c r="N4" s="227"/>
      <c r="O4" s="235"/>
      <c r="P4" s="235"/>
      <c r="Q4" s="235"/>
      <c r="R4" s="235"/>
    </row>
    <row r="5" spans="1:18">
      <c r="A5" s="227"/>
      <c r="B5" s="227"/>
      <c r="C5" s="463" t="s">
        <v>1529</v>
      </c>
      <c r="D5" s="227"/>
      <c r="E5" s="227"/>
      <c r="F5" s="227"/>
      <c r="G5" s="227"/>
      <c r="H5" s="227"/>
      <c r="I5" s="227"/>
      <c r="J5" s="463"/>
      <c r="K5" s="227"/>
      <c r="L5" s="227"/>
      <c r="M5" s="227"/>
      <c r="N5" s="227"/>
      <c r="O5" s="235"/>
      <c r="P5" s="235"/>
      <c r="Q5" s="235"/>
      <c r="R5" s="235"/>
    </row>
    <row r="6" spans="1:18">
      <c r="A6" s="227"/>
      <c r="B6" s="227"/>
      <c r="C6" s="227"/>
      <c r="D6" s="227"/>
      <c r="E6" s="227"/>
      <c r="F6" s="227"/>
      <c r="G6" s="227"/>
      <c r="H6" s="227"/>
      <c r="I6" s="227"/>
      <c r="J6" s="227"/>
      <c r="K6" s="227"/>
      <c r="L6" s="227"/>
      <c r="M6" s="227"/>
      <c r="N6" s="227"/>
      <c r="O6" s="235"/>
      <c r="P6" s="235"/>
      <c r="Q6" s="235"/>
      <c r="R6" s="235"/>
    </row>
    <row r="7" spans="1:18" ht="13">
      <c r="A7" s="227"/>
      <c r="B7" s="227"/>
      <c r="C7" s="84" t="s">
        <v>358</v>
      </c>
      <c r="D7" s="84" t="s">
        <v>342</v>
      </c>
      <c r="E7" s="84" t="s">
        <v>343</v>
      </c>
      <c r="F7" s="84" t="s">
        <v>344</v>
      </c>
      <c r="G7" s="84" t="s">
        <v>345</v>
      </c>
      <c r="H7" s="84" t="s">
        <v>346</v>
      </c>
      <c r="I7" s="84" t="s">
        <v>347</v>
      </c>
      <c r="J7" s="84" t="s">
        <v>534</v>
      </c>
      <c r="K7" s="84" t="s">
        <v>949</v>
      </c>
      <c r="L7" s="84" t="s">
        <v>961</v>
      </c>
      <c r="M7" s="84" t="s">
        <v>964</v>
      </c>
      <c r="N7" s="84" t="s">
        <v>982</v>
      </c>
      <c r="O7" s="235"/>
      <c r="P7" s="235"/>
      <c r="Q7" s="235"/>
      <c r="R7" s="235"/>
    </row>
    <row r="8" spans="1:18">
      <c r="A8" s="227"/>
      <c r="B8" s="227"/>
      <c r="C8" s="243"/>
      <c r="D8" s="227"/>
      <c r="E8" s="227"/>
      <c r="F8" s="227"/>
      <c r="G8" s="227"/>
      <c r="H8" s="227"/>
      <c r="I8" s="227"/>
      <c r="J8" s="227"/>
      <c r="K8" s="227"/>
      <c r="L8" s="227"/>
      <c r="M8" s="227"/>
      <c r="N8" s="446" t="s">
        <v>1640</v>
      </c>
      <c r="O8" s="235"/>
      <c r="P8" s="235"/>
      <c r="Q8" s="235"/>
      <c r="R8" s="235"/>
    </row>
    <row r="9" spans="1:18" ht="13">
      <c r="A9" s="227"/>
      <c r="B9" s="227"/>
      <c r="C9" s="438"/>
      <c r="D9" s="502" t="s">
        <v>12</v>
      </c>
      <c r="E9" s="227"/>
      <c r="F9" s="227"/>
      <c r="G9" s="227"/>
      <c r="H9" s="227"/>
      <c r="I9" s="227"/>
      <c r="J9" s="227"/>
      <c r="K9" s="227"/>
      <c r="L9" s="227"/>
      <c r="M9" s="227"/>
      <c r="N9" s="227"/>
      <c r="O9" s="235"/>
      <c r="P9" s="235"/>
      <c r="Q9" s="235"/>
      <c r="R9" s="235"/>
    </row>
    <row r="10" spans="1:18" ht="13">
      <c r="A10" s="227"/>
      <c r="B10" s="227"/>
      <c r="C10" s="109"/>
      <c r="D10" s="502" t="s">
        <v>962</v>
      </c>
      <c r="E10" s="227"/>
      <c r="F10" s="227"/>
      <c r="G10" s="227"/>
      <c r="H10" s="227"/>
      <c r="I10" s="227"/>
      <c r="J10" s="227"/>
      <c r="K10" s="227"/>
      <c r="L10" s="227"/>
      <c r="M10" s="227"/>
      <c r="N10" s="227"/>
      <c r="O10" s="235"/>
      <c r="P10" s="235"/>
      <c r="Q10" s="235"/>
      <c r="R10" s="235"/>
    </row>
    <row r="11" spans="1:18" ht="12.75" customHeight="1">
      <c r="A11" s="51" t="s">
        <v>329</v>
      </c>
      <c r="B11" s="51"/>
      <c r="C11" s="122" t="s">
        <v>1748</v>
      </c>
      <c r="D11" s="84">
        <v>350.1</v>
      </c>
      <c r="E11" s="84">
        <v>350.2</v>
      </c>
      <c r="F11" s="84">
        <v>352</v>
      </c>
      <c r="G11" s="84">
        <v>353</v>
      </c>
      <c r="H11" s="84">
        <v>354</v>
      </c>
      <c r="I11" s="84">
        <v>355</v>
      </c>
      <c r="J11" s="84">
        <v>356</v>
      </c>
      <c r="K11" s="84">
        <v>357</v>
      </c>
      <c r="L11" s="84">
        <v>358</v>
      </c>
      <c r="M11" s="84">
        <v>359</v>
      </c>
      <c r="N11" s="3" t="s">
        <v>196</v>
      </c>
      <c r="O11" s="235"/>
      <c r="P11" s="235"/>
      <c r="Q11" s="235"/>
      <c r="R11" s="235"/>
    </row>
    <row r="12" spans="1:18" ht="12.75" customHeight="1">
      <c r="A12" s="549">
        <v>1</v>
      </c>
      <c r="B12" s="549"/>
      <c r="C12" s="931" t="s">
        <v>2713</v>
      </c>
      <c r="D12" s="493">
        <v>0</v>
      </c>
      <c r="E12" s="493">
        <v>26094240.982190136</v>
      </c>
      <c r="F12" s="493">
        <v>117949869.25554368</v>
      </c>
      <c r="G12" s="493">
        <v>600933059.71191561</v>
      </c>
      <c r="H12" s="493">
        <v>591191848.46649885</v>
      </c>
      <c r="I12" s="493">
        <v>52246029.772206806</v>
      </c>
      <c r="J12" s="493">
        <v>474012550.00490808</v>
      </c>
      <c r="K12" s="493">
        <v>10012744.632312972</v>
      </c>
      <c r="L12" s="493">
        <v>14787191.383395158</v>
      </c>
      <c r="M12" s="493">
        <v>23224783.891074482</v>
      </c>
      <c r="N12" s="229">
        <f t="shared" ref="N12:N24" si="0">SUM(D12:M12)</f>
        <v>1910452318.1000457</v>
      </c>
      <c r="O12" s="235"/>
      <c r="P12" s="235"/>
      <c r="Q12" s="235"/>
      <c r="R12" s="235"/>
    </row>
    <row r="13" spans="1:18" ht="12.75" customHeight="1">
      <c r="A13" s="549">
        <f>A12+1</f>
        <v>2</v>
      </c>
      <c r="B13" s="549"/>
      <c r="C13" s="700" t="s">
        <v>2714</v>
      </c>
      <c r="D13" s="231">
        <f>D12+D70+D119</f>
        <v>0</v>
      </c>
      <c r="E13" s="231">
        <f>E12+E70+E119</f>
        <v>26339190.699950088</v>
      </c>
      <c r="F13" s="231">
        <f t="shared" ref="F13:M23" si="1">F12+F70+F119</f>
        <v>119401945.46026421</v>
      </c>
      <c r="G13" s="231">
        <f t="shared" si="1"/>
        <v>607904330.47456205</v>
      </c>
      <c r="H13" s="231">
        <f t="shared" si="1"/>
        <v>597199651.93563056</v>
      </c>
      <c r="I13" s="231">
        <f t="shared" si="1"/>
        <v>52016607.931544326</v>
      </c>
      <c r="J13" s="231">
        <f t="shared" si="1"/>
        <v>476189465.65874499</v>
      </c>
      <c r="K13" s="231">
        <f t="shared" si="1"/>
        <v>10308871.129448604</v>
      </c>
      <c r="L13" s="231">
        <f t="shared" si="1"/>
        <v>14934127.450146116</v>
      </c>
      <c r="M13" s="231">
        <f t="shared" si="1"/>
        <v>23420396.346953478</v>
      </c>
      <c r="N13" s="229">
        <f t="shared" si="0"/>
        <v>1927714587.0872445</v>
      </c>
      <c r="O13" s="235"/>
      <c r="P13" s="235"/>
      <c r="Q13" s="235"/>
      <c r="R13" s="235"/>
    </row>
    <row r="14" spans="1:18" ht="12.75" customHeight="1">
      <c r="A14" s="549">
        <f t="shared" ref="A14:A25" si="2">A13+1</f>
        <v>3</v>
      </c>
      <c r="B14" s="549"/>
      <c r="C14" s="699" t="s">
        <v>2715</v>
      </c>
      <c r="D14" s="231">
        <f t="shared" ref="D14:E23" si="3">D13+D71+D120</f>
        <v>0</v>
      </c>
      <c r="E14" s="231">
        <f t="shared" si="3"/>
        <v>26570155.703266509</v>
      </c>
      <c r="F14" s="231">
        <f t="shared" si="1"/>
        <v>120805360.70481561</v>
      </c>
      <c r="G14" s="231">
        <f t="shared" si="1"/>
        <v>611535308.10887337</v>
      </c>
      <c r="H14" s="231">
        <f t="shared" si="1"/>
        <v>602172526.62594521</v>
      </c>
      <c r="I14" s="231">
        <f t="shared" si="1"/>
        <v>51891604.35456413</v>
      </c>
      <c r="J14" s="231">
        <f t="shared" si="1"/>
        <v>479359135.42140597</v>
      </c>
      <c r="K14" s="231">
        <f t="shared" si="1"/>
        <v>10604080.350918384</v>
      </c>
      <c r="L14" s="231">
        <f t="shared" si="1"/>
        <v>15108954.428467976</v>
      </c>
      <c r="M14" s="231">
        <f t="shared" si="1"/>
        <v>23648659.967761688</v>
      </c>
      <c r="N14" s="229">
        <f t="shared" si="0"/>
        <v>1941695785.666019</v>
      </c>
      <c r="O14" s="235"/>
      <c r="P14" s="235"/>
      <c r="Q14" s="235"/>
      <c r="R14" s="235"/>
    </row>
    <row r="15" spans="1:18" ht="12.75" customHeight="1">
      <c r="A15" s="549">
        <f t="shared" si="2"/>
        <v>4</v>
      </c>
      <c r="B15" s="549"/>
      <c r="C15" s="699" t="s">
        <v>2716</v>
      </c>
      <c r="D15" s="231">
        <f t="shared" si="3"/>
        <v>0</v>
      </c>
      <c r="E15" s="231">
        <f t="shared" si="3"/>
        <v>26801191.526323117</v>
      </c>
      <c r="F15" s="231">
        <f t="shared" si="1"/>
        <v>122248063.80876411</v>
      </c>
      <c r="G15" s="231">
        <f t="shared" si="1"/>
        <v>617478161.90471649</v>
      </c>
      <c r="H15" s="231">
        <f t="shared" si="1"/>
        <v>605189792.96607113</v>
      </c>
      <c r="I15" s="231">
        <f t="shared" si="1"/>
        <v>51388031.030265324</v>
      </c>
      <c r="J15" s="231">
        <f t="shared" si="1"/>
        <v>481909444.27956307</v>
      </c>
      <c r="K15" s="231">
        <f t="shared" si="1"/>
        <v>10900213.338201715</v>
      </c>
      <c r="L15" s="231">
        <f t="shared" si="1"/>
        <v>15382638.027776225</v>
      </c>
      <c r="M15" s="231">
        <f t="shared" si="1"/>
        <v>23880563.050380401</v>
      </c>
      <c r="N15" s="229">
        <f t="shared" si="0"/>
        <v>1955178099.9320617</v>
      </c>
      <c r="O15" s="235"/>
      <c r="P15" s="235"/>
      <c r="Q15" s="235"/>
      <c r="R15" s="235"/>
    </row>
    <row r="16" spans="1:18" ht="12.75" customHeight="1">
      <c r="A16" s="549">
        <f t="shared" si="2"/>
        <v>5</v>
      </c>
      <c r="B16" s="549"/>
      <c r="C16" s="700" t="s">
        <v>2717</v>
      </c>
      <c r="D16" s="231">
        <f t="shared" si="3"/>
        <v>0</v>
      </c>
      <c r="E16" s="231">
        <f t="shared" si="3"/>
        <v>27032175.948857438</v>
      </c>
      <c r="F16" s="231">
        <f t="shared" si="1"/>
        <v>123423842.22939259</v>
      </c>
      <c r="G16" s="231">
        <f t="shared" si="1"/>
        <v>624148810.06534445</v>
      </c>
      <c r="H16" s="231">
        <f t="shared" si="1"/>
        <v>601739092.96983743</v>
      </c>
      <c r="I16" s="231">
        <f t="shared" si="1"/>
        <v>51790550.546963669</v>
      </c>
      <c r="J16" s="231">
        <f t="shared" si="1"/>
        <v>483917923.90683949</v>
      </c>
      <c r="K16" s="231">
        <f t="shared" si="1"/>
        <v>11198167.094120789</v>
      </c>
      <c r="L16" s="231">
        <f t="shared" si="1"/>
        <v>15541317.517551547</v>
      </c>
      <c r="M16" s="231">
        <f t="shared" si="1"/>
        <v>24112584.402078331</v>
      </c>
      <c r="N16" s="229">
        <f t="shared" si="0"/>
        <v>1962904464.6809857</v>
      </c>
      <c r="O16" s="235"/>
      <c r="P16" s="235"/>
      <c r="Q16" s="235"/>
      <c r="R16" s="235"/>
    </row>
    <row r="17" spans="1:18" ht="12.75" customHeight="1">
      <c r="A17" s="549">
        <f t="shared" si="2"/>
        <v>6</v>
      </c>
      <c r="B17" s="549"/>
      <c r="C17" s="699" t="s">
        <v>2718</v>
      </c>
      <c r="D17" s="231">
        <f t="shared" si="3"/>
        <v>0</v>
      </c>
      <c r="E17" s="231">
        <f t="shared" si="3"/>
        <v>27263107.375917256</v>
      </c>
      <c r="F17" s="231">
        <f t="shared" si="1"/>
        <v>123937750.73298448</v>
      </c>
      <c r="G17" s="231">
        <f t="shared" si="1"/>
        <v>626770809.97331643</v>
      </c>
      <c r="H17" s="231">
        <f t="shared" si="1"/>
        <v>606208556.70888543</v>
      </c>
      <c r="I17" s="231">
        <f t="shared" si="1"/>
        <v>52614894.313107707</v>
      </c>
      <c r="J17" s="231">
        <f t="shared" si="1"/>
        <v>487226229.02627105</v>
      </c>
      <c r="K17" s="231">
        <f t="shared" si="1"/>
        <v>11494334.407204568</v>
      </c>
      <c r="L17" s="231">
        <f t="shared" si="1"/>
        <v>15782806.375495147</v>
      </c>
      <c r="M17" s="231">
        <f t="shared" si="1"/>
        <v>24344347.001384705</v>
      </c>
      <c r="N17" s="229">
        <f t="shared" si="0"/>
        <v>1975642835.914567</v>
      </c>
      <c r="O17" s="235"/>
      <c r="P17" s="235"/>
      <c r="Q17" s="235"/>
      <c r="R17" s="235"/>
    </row>
    <row r="18" spans="1:18" ht="12.75" customHeight="1">
      <c r="A18" s="549">
        <f t="shared" si="2"/>
        <v>7</v>
      </c>
      <c r="B18" s="549"/>
      <c r="C18" s="699" t="s">
        <v>2719</v>
      </c>
      <c r="D18" s="231">
        <f t="shared" si="3"/>
        <v>0</v>
      </c>
      <c r="E18" s="231">
        <f t="shared" si="3"/>
        <v>27494079.231733456</v>
      </c>
      <c r="F18" s="231">
        <f t="shared" si="1"/>
        <v>126028681.34545654</v>
      </c>
      <c r="G18" s="231">
        <f t="shared" si="1"/>
        <v>627746450.38145995</v>
      </c>
      <c r="H18" s="231">
        <f t="shared" si="1"/>
        <v>610429017.75311637</v>
      </c>
      <c r="I18" s="231">
        <f t="shared" si="1"/>
        <v>50249942.865539446</v>
      </c>
      <c r="J18" s="231">
        <f t="shared" si="1"/>
        <v>500891475.29264033</v>
      </c>
      <c r="K18" s="231">
        <f t="shared" si="1"/>
        <v>11605627.942092679</v>
      </c>
      <c r="L18" s="231">
        <f t="shared" si="1"/>
        <v>16746566.966750391</v>
      </c>
      <c r="M18" s="231">
        <f t="shared" si="1"/>
        <v>24355765.095255338</v>
      </c>
      <c r="N18" s="229">
        <f t="shared" si="0"/>
        <v>1995547606.8740444</v>
      </c>
      <c r="O18" s="235"/>
      <c r="P18" s="235"/>
      <c r="Q18" s="235"/>
      <c r="R18" s="235"/>
    </row>
    <row r="19" spans="1:18" ht="12.75" customHeight="1">
      <c r="A19" s="549">
        <f t="shared" si="2"/>
        <v>8</v>
      </c>
      <c r="B19" s="549"/>
      <c r="C19" s="700" t="s">
        <v>2720</v>
      </c>
      <c r="D19" s="231">
        <f t="shared" si="3"/>
        <v>0</v>
      </c>
      <c r="E19" s="231">
        <f t="shared" si="3"/>
        <v>27725052.18652077</v>
      </c>
      <c r="F19" s="231">
        <f t="shared" si="1"/>
        <v>126600088.51022694</v>
      </c>
      <c r="G19" s="231">
        <f t="shared" si="1"/>
        <v>632691000.42653596</v>
      </c>
      <c r="H19" s="231">
        <f t="shared" si="1"/>
        <v>613066393.3964355</v>
      </c>
      <c r="I19" s="231">
        <f t="shared" si="1"/>
        <v>50793695.280476049</v>
      </c>
      <c r="J19" s="231">
        <f t="shared" si="1"/>
        <v>502654920.10904509</v>
      </c>
      <c r="K19" s="231">
        <f t="shared" si="1"/>
        <v>11884004.588189311</v>
      </c>
      <c r="L19" s="231">
        <f t="shared" si="1"/>
        <v>16897031.712727383</v>
      </c>
      <c r="M19" s="231">
        <f t="shared" si="1"/>
        <v>24578489.806354027</v>
      </c>
      <c r="N19" s="229">
        <f t="shared" si="0"/>
        <v>2006890676.016511</v>
      </c>
      <c r="O19" s="235"/>
      <c r="P19" s="235"/>
      <c r="Q19" s="235"/>
      <c r="R19" s="235"/>
    </row>
    <row r="20" spans="1:18" ht="12.75" customHeight="1">
      <c r="A20" s="549">
        <f t="shared" si="2"/>
        <v>9</v>
      </c>
      <c r="B20" s="549"/>
      <c r="C20" s="699" t="s">
        <v>2721</v>
      </c>
      <c r="D20" s="231">
        <f t="shared" si="3"/>
        <v>0</v>
      </c>
      <c r="E20" s="231">
        <f t="shared" si="3"/>
        <v>27956040.366615959</v>
      </c>
      <c r="F20" s="231">
        <f t="shared" si="1"/>
        <v>128164847.98485751</v>
      </c>
      <c r="G20" s="231">
        <f t="shared" si="1"/>
        <v>630976359.38603711</v>
      </c>
      <c r="H20" s="231">
        <f t="shared" si="1"/>
        <v>601469639.56740761</v>
      </c>
      <c r="I20" s="231">
        <f t="shared" si="1"/>
        <v>52460228.861021526</v>
      </c>
      <c r="J20" s="231">
        <f t="shared" si="1"/>
        <v>507718099.9155333</v>
      </c>
      <c r="K20" s="231">
        <f t="shared" si="1"/>
        <v>12180076.935437417</v>
      </c>
      <c r="L20" s="231">
        <f t="shared" si="1"/>
        <v>17110644.379259165</v>
      </c>
      <c r="M20" s="231">
        <f t="shared" si="1"/>
        <v>24810334.229858577</v>
      </c>
      <c r="N20" s="229">
        <f t="shared" si="0"/>
        <v>2002846271.6260283</v>
      </c>
      <c r="O20" s="235"/>
      <c r="P20" s="235"/>
      <c r="Q20" s="235"/>
      <c r="R20" s="235"/>
    </row>
    <row r="21" spans="1:18" ht="12.75" customHeight="1">
      <c r="A21" s="549">
        <f t="shared" si="2"/>
        <v>10</v>
      </c>
      <c r="B21" s="549"/>
      <c r="C21" s="699" t="s">
        <v>2722</v>
      </c>
      <c r="D21" s="231">
        <f t="shared" si="3"/>
        <v>0</v>
      </c>
      <c r="E21" s="231">
        <f t="shared" si="3"/>
        <v>28187165.344232678</v>
      </c>
      <c r="F21" s="231">
        <f t="shared" si="1"/>
        <v>129661807.1146021</v>
      </c>
      <c r="G21" s="231">
        <f t="shared" si="1"/>
        <v>636467001.04997838</v>
      </c>
      <c r="H21" s="231">
        <f t="shared" si="1"/>
        <v>609848353.48308802</v>
      </c>
      <c r="I21" s="231">
        <f t="shared" si="1"/>
        <v>52401259.115711078</v>
      </c>
      <c r="J21" s="231">
        <f t="shared" si="1"/>
        <v>511330760.14918178</v>
      </c>
      <c r="K21" s="231">
        <f t="shared" si="1"/>
        <v>12476565.817254797</v>
      </c>
      <c r="L21" s="231">
        <f t="shared" si="1"/>
        <v>17275170.095995754</v>
      </c>
      <c r="M21" s="231">
        <f t="shared" si="1"/>
        <v>25039153.8891101</v>
      </c>
      <c r="N21" s="229">
        <f t="shared" si="0"/>
        <v>2022687236.0591545</v>
      </c>
      <c r="O21" s="235"/>
      <c r="P21" s="235"/>
      <c r="Q21" s="235"/>
      <c r="R21" s="235"/>
    </row>
    <row r="22" spans="1:18" ht="12.75" customHeight="1">
      <c r="A22" s="549">
        <f t="shared" si="2"/>
        <v>11</v>
      </c>
      <c r="B22" s="549"/>
      <c r="C22" s="700" t="s">
        <v>2723</v>
      </c>
      <c r="D22" s="231">
        <f t="shared" si="3"/>
        <v>0</v>
      </c>
      <c r="E22" s="231">
        <f t="shared" si="3"/>
        <v>28418474.020484887</v>
      </c>
      <c r="F22" s="231">
        <f t="shared" si="1"/>
        <v>131246274.26058561</v>
      </c>
      <c r="G22" s="231">
        <f t="shared" si="1"/>
        <v>643675359.42276359</v>
      </c>
      <c r="H22" s="231">
        <f t="shared" si="1"/>
        <v>614487240.18811512</v>
      </c>
      <c r="I22" s="231">
        <f t="shared" si="1"/>
        <v>54041910.321437471</v>
      </c>
      <c r="J22" s="231">
        <f t="shared" si="1"/>
        <v>506960008.64278173</v>
      </c>
      <c r="K22" s="231">
        <f t="shared" si="1"/>
        <v>12737942.554607626</v>
      </c>
      <c r="L22" s="231">
        <f t="shared" si="1"/>
        <v>17732225.058351904</v>
      </c>
      <c r="M22" s="231">
        <f t="shared" si="1"/>
        <v>25273387.538031269</v>
      </c>
      <c r="N22" s="229">
        <f t="shared" si="0"/>
        <v>2034572822.0071592</v>
      </c>
      <c r="O22" s="235"/>
      <c r="P22" s="235"/>
      <c r="Q22" s="235"/>
      <c r="R22" s="235"/>
    </row>
    <row r="23" spans="1:18" ht="12.75" customHeight="1">
      <c r="A23" s="549">
        <f t="shared" si="2"/>
        <v>12</v>
      </c>
      <c r="B23" s="549"/>
      <c r="C23" s="700" t="s">
        <v>2724</v>
      </c>
      <c r="D23" s="231">
        <f t="shared" si="3"/>
        <v>0</v>
      </c>
      <c r="E23" s="231">
        <f t="shared" si="3"/>
        <v>28649500.791551191</v>
      </c>
      <c r="F23" s="231">
        <f t="shared" si="1"/>
        <v>132813453.18474336</v>
      </c>
      <c r="G23" s="231">
        <f t="shared" si="1"/>
        <v>648320322.01361954</v>
      </c>
      <c r="H23" s="231">
        <f t="shared" si="1"/>
        <v>618145554.58670592</v>
      </c>
      <c r="I23" s="231">
        <f t="shared" si="1"/>
        <v>54946368.581471264</v>
      </c>
      <c r="J23" s="231">
        <f t="shared" si="1"/>
        <v>510080696.63185525</v>
      </c>
      <c r="K23" s="231">
        <f t="shared" si="1"/>
        <v>13033215.936380411</v>
      </c>
      <c r="L23" s="231">
        <f t="shared" si="1"/>
        <v>17912169.320473753</v>
      </c>
      <c r="M23" s="231">
        <f t="shared" si="1"/>
        <v>25521934.371216051</v>
      </c>
      <c r="N23" s="229">
        <f t="shared" si="0"/>
        <v>2049423215.4180167</v>
      </c>
      <c r="O23" s="235"/>
      <c r="P23" s="235"/>
      <c r="Q23" s="235"/>
      <c r="R23" s="235"/>
    </row>
    <row r="24" spans="1:18" ht="13">
      <c r="A24" s="549">
        <f t="shared" si="2"/>
        <v>13</v>
      </c>
      <c r="B24" s="549"/>
      <c r="C24" s="699" t="s">
        <v>2725</v>
      </c>
      <c r="D24" s="115">
        <v>0</v>
      </c>
      <c r="E24" s="115">
        <v>28880389.381055076</v>
      </c>
      <c r="F24" s="115">
        <v>134475287.4323706</v>
      </c>
      <c r="G24" s="115">
        <v>653865732.64135075</v>
      </c>
      <c r="H24" s="115">
        <v>620983160.14470828</v>
      </c>
      <c r="I24" s="115">
        <v>54390209.365536593</v>
      </c>
      <c r="J24" s="115">
        <v>479315985.10377091</v>
      </c>
      <c r="K24" s="115">
        <v>13325808.691317508</v>
      </c>
      <c r="L24" s="115">
        <v>18127406.997765709</v>
      </c>
      <c r="M24" s="115">
        <v>25770800.917941991</v>
      </c>
      <c r="N24" s="360">
        <f t="shared" si="0"/>
        <v>2029134780.6758177</v>
      </c>
      <c r="O24" s="235"/>
      <c r="P24" s="235"/>
      <c r="Q24" s="235"/>
      <c r="R24" s="235"/>
    </row>
    <row r="25" spans="1:18" ht="13">
      <c r="A25" s="549">
        <f t="shared" si="2"/>
        <v>14</v>
      </c>
      <c r="B25" s="227"/>
      <c r="C25" s="1049" t="s">
        <v>1180</v>
      </c>
      <c r="D25" s="229">
        <f t="shared" ref="D25:M25" si="4">AVERAGE(D12:D24)</f>
        <v>0</v>
      </c>
      <c r="E25" s="229">
        <f t="shared" si="4"/>
        <v>27493135.65836142</v>
      </c>
      <c r="F25" s="229">
        <f t="shared" si="4"/>
        <v>125904405.54035442</v>
      </c>
      <c r="G25" s="229">
        <f t="shared" si="4"/>
        <v>627885592.73542106</v>
      </c>
      <c r="H25" s="229">
        <f t="shared" si="4"/>
        <v>607086986.83018827</v>
      </c>
      <c r="I25" s="229">
        <f t="shared" si="4"/>
        <v>52402410.179988101</v>
      </c>
      <c r="J25" s="229">
        <f t="shared" si="4"/>
        <v>492428207.24173385</v>
      </c>
      <c r="K25" s="229">
        <f t="shared" si="4"/>
        <v>11673973.339806674</v>
      </c>
      <c r="L25" s="229">
        <f t="shared" si="4"/>
        <v>16410634.593396634</v>
      </c>
      <c r="M25" s="229">
        <f t="shared" si="4"/>
        <v>24460092.346723113</v>
      </c>
      <c r="N25" s="229">
        <f>SUM(D25:M25)</f>
        <v>1985745438.4659734</v>
      </c>
      <c r="O25" s="235"/>
      <c r="P25" s="235"/>
      <c r="Q25" s="235"/>
      <c r="R25" s="235"/>
    </row>
    <row r="26" spans="1:18">
      <c r="A26" s="227"/>
      <c r="B26" s="227"/>
      <c r="C26" s="227"/>
      <c r="D26" s="235"/>
      <c r="E26" s="235"/>
      <c r="F26" s="235"/>
      <c r="G26" s="235"/>
      <c r="H26" s="235"/>
      <c r="I26" s="235"/>
      <c r="J26" s="235"/>
      <c r="K26" s="235"/>
      <c r="L26" s="235"/>
      <c r="M26" s="235"/>
      <c r="N26" s="235"/>
      <c r="O26" s="235"/>
      <c r="P26" s="235"/>
      <c r="Q26" s="235"/>
      <c r="R26" s="235"/>
    </row>
    <row r="27" spans="1:18" ht="13">
      <c r="A27" s="227"/>
      <c r="B27" s="382" t="s">
        <v>1530</v>
      </c>
      <c r="C27" s="227"/>
      <c r="D27" s="227"/>
      <c r="E27" s="227"/>
      <c r="F27" s="227"/>
      <c r="G27" s="227"/>
      <c r="H27" s="227"/>
      <c r="I27" s="227"/>
      <c r="J27" s="227"/>
      <c r="K27" s="227"/>
      <c r="L27" s="227"/>
      <c r="M27" s="227"/>
      <c r="N27" s="227"/>
      <c r="O27" s="235"/>
      <c r="P27" s="235"/>
      <c r="Q27" s="235"/>
      <c r="R27" s="235"/>
    </row>
    <row r="28" spans="1:18" ht="13">
      <c r="A28" s="227"/>
      <c r="B28" s="382"/>
      <c r="C28" s="227"/>
      <c r="D28" s="227"/>
      <c r="E28" s="227"/>
      <c r="F28" s="227"/>
      <c r="G28" s="227"/>
      <c r="H28" s="227"/>
      <c r="I28" s="227"/>
      <c r="J28" s="227"/>
      <c r="K28" s="227"/>
      <c r="L28" s="227"/>
      <c r="M28" s="227"/>
      <c r="N28" s="227"/>
      <c r="O28" s="235"/>
      <c r="P28" s="235"/>
      <c r="Q28" s="235"/>
      <c r="R28" s="235"/>
    </row>
    <row r="29" spans="1:18" ht="13">
      <c r="A29" s="227"/>
      <c r="B29" s="227"/>
      <c r="C29" s="84" t="s">
        <v>358</v>
      </c>
      <c r="D29" s="84" t="s">
        <v>342</v>
      </c>
      <c r="E29" s="84" t="s">
        <v>343</v>
      </c>
      <c r="F29" s="84" t="s">
        <v>344</v>
      </c>
      <c r="G29" s="84" t="s">
        <v>345</v>
      </c>
      <c r="H29" s="227"/>
      <c r="I29" s="227"/>
      <c r="J29" s="227"/>
      <c r="K29" s="227"/>
      <c r="L29" s="227"/>
      <c r="M29" s="227"/>
      <c r="N29" s="227"/>
      <c r="O29" s="235"/>
      <c r="P29" s="235"/>
      <c r="Q29" s="235"/>
      <c r="R29" s="235"/>
    </row>
    <row r="30" spans="1:18" ht="13">
      <c r="A30" s="227"/>
      <c r="B30" s="227"/>
      <c r="C30" s="227"/>
      <c r="D30" s="502" t="s">
        <v>12</v>
      </c>
      <c r="E30" s="227"/>
      <c r="F30" s="227"/>
      <c r="G30" s="446" t="s">
        <v>1639</v>
      </c>
      <c r="H30" s="227"/>
      <c r="I30" s="227"/>
      <c r="J30" s="227"/>
      <c r="K30" s="227"/>
      <c r="L30" s="227"/>
      <c r="M30" s="227"/>
      <c r="N30" s="227"/>
      <c r="O30" s="503"/>
      <c r="P30" s="235"/>
      <c r="Q30" s="235"/>
      <c r="R30" s="235"/>
    </row>
    <row r="31" spans="1:18">
      <c r="A31" s="227"/>
      <c r="B31" s="227"/>
      <c r="C31" s="227"/>
      <c r="D31" s="502" t="s">
        <v>962</v>
      </c>
      <c r="E31" s="227"/>
      <c r="F31" s="227"/>
      <c r="G31" s="227"/>
      <c r="H31" s="227"/>
      <c r="I31" s="227"/>
      <c r="J31" s="227"/>
      <c r="K31" s="227"/>
      <c r="L31" s="227"/>
      <c r="M31" s="227"/>
      <c r="N31" s="227"/>
      <c r="O31" s="450"/>
      <c r="P31" s="235"/>
      <c r="Q31" s="235"/>
      <c r="R31" s="235"/>
    </row>
    <row r="32" spans="1:18" ht="13">
      <c r="A32" s="227"/>
      <c r="B32" s="227"/>
      <c r="C32" s="122" t="s">
        <v>1748</v>
      </c>
      <c r="D32" s="84">
        <v>360</v>
      </c>
      <c r="E32" s="84">
        <v>361</v>
      </c>
      <c r="F32" s="84">
        <v>362</v>
      </c>
      <c r="G32" s="3" t="s">
        <v>196</v>
      </c>
      <c r="H32" s="863" t="s">
        <v>168</v>
      </c>
      <c r="I32" s="235"/>
      <c r="J32" s="235"/>
      <c r="K32" s="227"/>
      <c r="L32" s="227"/>
      <c r="M32" s="227"/>
      <c r="N32" s="227"/>
      <c r="O32" s="450"/>
      <c r="P32" s="235"/>
      <c r="Q32" s="235"/>
      <c r="R32" s="235"/>
    </row>
    <row r="33" spans="1:18" ht="13">
      <c r="A33" s="549">
        <f>A25+1</f>
        <v>15</v>
      </c>
      <c r="C33" s="699" t="s">
        <v>2713</v>
      </c>
      <c r="D33" s="963">
        <v>0</v>
      </c>
      <c r="E33" s="963">
        <v>0</v>
      </c>
      <c r="F33" s="963">
        <v>0</v>
      </c>
      <c r="G33" s="229">
        <f>SUM(D33:F33)</f>
        <v>0</v>
      </c>
      <c r="H33" s="462" t="s">
        <v>1749</v>
      </c>
      <c r="I33" s="235"/>
      <c r="J33" s="235"/>
      <c r="K33" s="227"/>
      <c r="L33" s="227"/>
      <c r="M33" s="227"/>
      <c r="N33" s="227"/>
      <c r="O33" s="450"/>
      <c r="P33" s="235"/>
      <c r="Q33" s="235"/>
      <c r="R33" s="235"/>
    </row>
    <row r="34" spans="1:18" ht="13">
      <c r="A34" s="549">
        <v>16</v>
      </c>
      <c r="C34" s="699" t="s">
        <v>2725</v>
      </c>
      <c r="D34" s="384">
        <v>0</v>
      </c>
      <c r="E34" s="384">
        <v>0</v>
      </c>
      <c r="F34" s="384">
        <v>0</v>
      </c>
      <c r="G34" s="360">
        <f>SUM(D34:F34)</f>
        <v>0</v>
      </c>
      <c r="H34" s="462" t="s">
        <v>89</v>
      </c>
      <c r="I34" s="235"/>
      <c r="J34" s="235"/>
      <c r="K34" s="227"/>
      <c r="L34" s="227"/>
      <c r="O34" s="450"/>
      <c r="P34" s="235"/>
      <c r="Q34" s="235"/>
      <c r="R34" s="235"/>
    </row>
    <row r="35" spans="1:18" ht="13">
      <c r="A35" s="549">
        <f>A34+1</f>
        <v>17</v>
      </c>
      <c r="C35" s="228" t="s">
        <v>1310</v>
      </c>
      <c r="D35" s="229">
        <f>AVERAGE(D33:D34)</f>
        <v>0</v>
      </c>
      <c r="E35" s="229">
        <f>AVERAGE(E33:E34)</f>
        <v>0</v>
      </c>
      <c r="F35" s="229">
        <f>AVERAGE(F33:F34)</f>
        <v>0</v>
      </c>
      <c r="G35" s="229">
        <f>AVERAGE(G33:G34)</f>
        <v>0</v>
      </c>
      <c r="H35" s="241" t="str">
        <f>"Average of Line "&amp;A33&amp;" and Line "&amp;A34&amp;""</f>
        <v>Average of Line 15 and Line 16</v>
      </c>
      <c r="I35" s="227"/>
      <c r="J35" s="235"/>
      <c r="K35" s="227"/>
      <c r="M35" s="611"/>
      <c r="N35" s="581"/>
      <c r="O35" s="450"/>
      <c r="P35" s="235"/>
      <c r="Q35" s="235"/>
      <c r="R35" s="235"/>
    </row>
    <row r="36" spans="1:18">
      <c r="C36" s="228"/>
      <c r="D36" s="14"/>
      <c r="E36" s="14"/>
      <c r="F36" s="14"/>
      <c r="G36" s="14"/>
      <c r="I36" s="227"/>
      <c r="J36" s="227"/>
      <c r="K36" s="227"/>
      <c r="M36" s="604"/>
      <c r="N36" s="1060"/>
      <c r="O36" s="450"/>
      <c r="P36" s="235"/>
      <c r="Q36" s="235"/>
      <c r="R36" s="235"/>
    </row>
    <row r="37" spans="1:18" ht="13">
      <c r="B37" s="382" t="s">
        <v>1527</v>
      </c>
      <c r="I37" s="227"/>
      <c r="J37" s="227"/>
      <c r="K37" s="227"/>
      <c r="L37" s="227"/>
      <c r="M37" s="611"/>
      <c r="N37" s="1060"/>
      <c r="O37" s="450"/>
      <c r="P37" s="235"/>
      <c r="Q37" s="235"/>
      <c r="R37" s="235"/>
    </row>
    <row r="38" spans="1:18" ht="14.5">
      <c r="B38" s="363"/>
      <c r="C38" s="351" t="s">
        <v>358</v>
      </c>
      <c r="D38" s="351" t="s">
        <v>342</v>
      </c>
      <c r="E38" s="351" t="s">
        <v>343</v>
      </c>
      <c r="F38" s="351" t="s">
        <v>344</v>
      </c>
      <c r="G38" s="351" t="s">
        <v>345</v>
      </c>
      <c r="J38" s="227"/>
      <c r="K38" s="230"/>
      <c r="L38" s="227"/>
      <c r="O38" s="235"/>
      <c r="P38" s="235"/>
      <c r="Q38" s="235"/>
      <c r="R38" s="235"/>
    </row>
    <row r="39" spans="1:18" ht="14.5">
      <c r="B39" s="363"/>
      <c r="C39" s="351"/>
      <c r="D39" s="351"/>
      <c r="E39" s="525" t="s">
        <v>1775</v>
      </c>
      <c r="F39" s="351"/>
      <c r="G39" s="351"/>
      <c r="J39" s="227"/>
      <c r="K39" s="230"/>
      <c r="L39" s="227"/>
      <c r="O39" s="235"/>
      <c r="P39" s="235"/>
      <c r="Q39" s="235"/>
      <c r="R39" s="235"/>
    </row>
    <row r="40" spans="1:18" ht="13">
      <c r="C40" s="14"/>
      <c r="D40" s="14"/>
      <c r="E40" s="438" t="s">
        <v>196</v>
      </c>
      <c r="F40" s="14"/>
      <c r="G40" s="14"/>
      <c r="J40" s="227"/>
      <c r="K40" s="230"/>
      <c r="L40" s="227"/>
      <c r="O40" s="235"/>
      <c r="P40" s="235"/>
      <c r="Q40" s="235"/>
      <c r="R40" s="235"/>
    </row>
    <row r="41" spans="1:18" ht="13">
      <c r="B41" s="227"/>
      <c r="C41" s="14"/>
      <c r="D41" s="235"/>
      <c r="E41" s="438" t="s">
        <v>1774</v>
      </c>
      <c r="F41" s="109" t="s">
        <v>1201</v>
      </c>
      <c r="G41" s="109" t="s">
        <v>1202</v>
      </c>
      <c r="J41" s="227"/>
      <c r="K41" s="230"/>
      <c r="L41" s="227"/>
      <c r="O41" s="235"/>
      <c r="P41" s="235"/>
      <c r="Q41" s="235"/>
      <c r="R41" s="235"/>
    </row>
    <row r="42" spans="1:18" ht="13">
      <c r="B42" s="227"/>
      <c r="C42" s="14"/>
      <c r="D42" s="235"/>
      <c r="E42" s="438" t="s">
        <v>1311</v>
      </c>
      <c r="F42" s="438" t="s">
        <v>1311</v>
      </c>
      <c r="G42" s="438" t="s">
        <v>1311</v>
      </c>
      <c r="J42" s="227"/>
      <c r="K42" s="230"/>
      <c r="L42" s="227"/>
      <c r="Q42" s="235"/>
      <c r="R42" s="235"/>
    </row>
    <row r="43" spans="1:18" ht="13">
      <c r="B43" s="227"/>
      <c r="C43" s="122" t="s">
        <v>1748</v>
      </c>
      <c r="D43" s="235"/>
      <c r="E43" s="439" t="s">
        <v>1312</v>
      </c>
      <c r="F43" s="439" t="s">
        <v>1312</v>
      </c>
      <c r="G43" s="439" t="s">
        <v>1312</v>
      </c>
      <c r="H43" s="385" t="s">
        <v>179</v>
      </c>
      <c r="J43" s="227"/>
      <c r="K43" s="361"/>
      <c r="L43" s="227"/>
      <c r="O43" s="235"/>
      <c r="P43" s="235"/>
      <c r="Q43" s="235"/>
      <c r="R43" s="235"/>
    </row>
    <row r="44" spans="1:18" ht="13">
      <c r="A44" s="549">
        <f>A35+1</f>
        <v>18</v>
      </c>
      <c r="B44" s="227"/>
      <c r="C44" s="699" t="s">
        <v>2713</v>
      </c>
      <c r="D44" s="1050" t="s">
        <v>1308</v>
      </c>
      <c r="E44" s="231">
        <f>SUM(F44:G44)</f>
        <v>1609893450</v>
      </c>
      <c r="F44" s="963">
        <v>1089877633</v>
      </c>
      <c r="G44" s="569">
        <v>520015817</v>
      </c>
      <c r="H44" s="462" t="s">
        <v>1776</v>
      </c>
      <c r="I44" s="14"/>
      <c r="J44" s="235"/>
      <c r="L44" s="227"/>
      <c r="O44" s="235"/>
      <c r="P44" s="235"/>
      <c r="Q44" s="235"/>
      <c r="R44" s="235"/>
    </row>
    <row r="45" spans="1:18" ht="13">
      <c r="A45" s="549">
        <f>A44+1</f>
        <v>19</v>
      </c>
      <c r="B45" s="227"/>
      <c r="C45" s="699" t="s">
        <v>2725</v>
      </c>
      <c r="D45" s="228" t="s">
        <v>1309</v>
      </c>
      <c r="E45" s="445">
        <f>SUM(F45:G45)</f>
        <v>1926796980</v>
      </c>
      <c r="F45" s="963">
        <v>1251064280</v>
      </c>
      <c r="G45" s="569">
        <v>675732700</v>
      </c>
      <c r="H45" s="462" t="s">
        <v>1777</v>
      </c>
      <c r="I45" s="14"/>
      <c r="J45" s="235"/>
      <c r="K45" s="1069"/>
      <c r="L45" s="227"/>
      <c r="O45" s="235"/>
      <c r="P45" s="235"/>
      <c r="Q45" s="235"/>
      <c r="R45" s="235"/>
    </row>
    <row r="46" spans="1:18" ht="13">
      <c r="A46" s="549">
        <f>A45+1</f>
        <v>20</v>
      </c>
      <c r="B46" s="227"/>
      <c r="D46" s="228" t="s">
        <v>1310</v>
      </c>
      <c r="E46" s="229">
        <f>AVERAGE(E44:E45)</f>
        <v>1768345215</v>
      </c>
      <c r="H46" s="241" t="str">
        <f>"Average of Line "&amp;A44&amp;" and Line "&amp;A45&amp;""</f>
        <v>Average of Line 18 and Line 19</v>
      </c>
      <c r="J46" s="227"/>
      <c r="K46" s="1069"/>
      <c r="L46" s="227"/>
      <c r="O46" s="235"/>
      <c r="P46" s="235"/>
      <c r="Q46" s="235"/>
      <c r="R46" s="235"/>
    </row>
    <row r="47" spans="1:18">
      <c r="E47" s="14"/>
      <c r="I47" s="227"/>
      <c r="J47" s="227"/>
      <c r="K47" s="227"/>
      <c r="L47" s="227"/>
      <c r="O47" s="235"/>
      <c r="P47" s="235"/>
      <c r="Q47" s="235"/>
      <c r="R47" s="235"/>
    </row>
    <row r="48" spans="1:18" ht="13">
      <c r="B48" s="1" t="s">
        <v>1313</v>
      </c>
      <c r="C48" s="615"/>
      <c r="D48" s="1056"/>
      <c r="E48" s="227"/>
      <c r="F48" s="227"/>
      <c r="G48" s="227"/>
      <c r="H48" s="227"/>
      <c r="I48" s="227"/>
      <c r="J48" s="227"/>
      <c r="K48" s="227"/>
      <c r="L48" s="227"/>
      <c r="M48" s="227"/>
      <c r="N48" s="227"/>
      <c r="O48" s="235"/>
      <c r="P48" s="235"/>
      <c r="Q48" s="235"/>
      <c r="R48" s="235"/>
    </row>
    <row r="49" spans="1:18" ht="13">
      <c r="B49" s="1"/>
      <c r="C49" s="615"/>
      <c r="D49" s="1056"/>
      <c r="E49" s="227"/>
      <c r="F49" s="227"/>
      <c r="G49" s="227"/>
      <c r="H49" s="227"/>
      <c r="I49" s="227"/>
      <c r="J49" s="227"/>
      <c r="K49" s="227"/>
      <c r="L49" s="227"/>
      <c r="M49" s="227"/>
      <c r="N49" s="227"/>
      <c r="O49" s="235"/>
      <c r="P49" s="235"/>
      <c r="Q49" s="235"/>
      <c r="R49" s="235"/>
    </row>
    <row r="50" spans="1:18" ht="13">
      <c r="B50" s="227"/>
      <c r="C50" s="1"/>
      <c r="D50" s="615"/>
      <c r="E50" s="1056"/>
      <c r="F50" s="361" t="s">
        <v>175</v>
      </c>
      <c r="G50" s="385" t="s">
        <v>179</v>
      </c>
      <c r="H50" s="227"/>
      <c r="I50" s="227"/>
      <c r="J50" s="227"/>
      <c r="K50" s="227"/>
      <c r="L50" s="227"/>
      <c r="M50" s="227"/>
      <c r="N50" s="227"/>
      <c r="O50" s="235"/>
      <c r="P50" s="235"/>
      <c r="Q50" s="235"/>
      <c r="R50" s="235"/>
    </row>
    <row r="51" spans="1:18" ht="13">
      <c r="A51" s="549">
        <f>A46+1</f>
        <v>21</v>
      </c>
      <c r="B51" s="227"/>
      <c r="C51" s="615"/>
      <c r="D51" s="615"/>
      <c r="E51" s="1050" t="s">
        <v>1314</v>
      </c>
      <c r="F51" s="1051">
        <f>E46</f>
        <v>1768345215</v>
      </c>
      <c r="G51" s="241" t="str">
        <f>"Line "&amp;A46&amp;""</f>
        <v>Line 20</v>
      </c>
      <c r="H51" s="235"/>
      <c r="I51" s="235"/>
      <c r="J51" s="227"/>
      <c r="K51" s="227"/>
      <c r="L51" s="227"/>
      <c r="M51" s="227"/>
      <c r="N51" s="227"/>
      <c r="O51" s="235"/>
      <c r="P51" s="235"/>
      <c r="Q51" s="235"/>
      <c r="R51" s="235"/>
    </row>
    <row r="52" spans="1:18" ht="13">
      <c r="A52" s="549">
        <f>A51+1</f>
        <v>22</v>
      </c>
      <c r="B52" s="227"/>
      <c r="C52" s="615"/>
      <c r="D52" s="615"/>
      <c r="E52" s="585" t="s">
        <v>239</v>
      </c>
      <c r="F52" s="1069">
        <f>'27-Allocators'!G15</f>
        <v>6.9804259326257695E-2</v>
      </c>
      <c r="G52" s="450" t="str">
        <f>"27-Allocators, Line "&amp;'27-Allocators'!A15&amp;""</f>
        <v>27-Allocators, Line 9</v>
      </c>
      <c r="H52" s="235"/>
      <c r="I52" s="235"/>
      <c r="J52" s="227"/>
      <c r="K52" s="227"/>
      <c r="L52" s="227"/>
      <c r="M52" s="227"/>
      <c r="N52" s="227"/>
      <c r="O52" s="235"/>
      <c r="P52" s="235"/>
      <c r="Q52" s="235"/>
      <c r="R52" s="235"/>
    </row>
    <row r="53" spans="1:18" ht="13">
      <c r="A53" s="549">
        <f>A52+1</f>
        <v>23</v>
      </c>
      <c r="B53" s="227"/>
      <c r="C53" s="615"/>
      <c r="D53" s="615"/>
      <c r="E53" s="585" t="s">
        <v>1315</v>
      </c>
      <c r="F53" s="1051">
        <f>F51*F52</f>
        <v>123438027.96620692</v>
      </c>
      <c r="G53" s="450" t="str">
        <f>"Line "&amp;A51&amp;" * Line "&amp;A52&amp;""</f>
        <v>Line 21 * Line 22</v>
      </c>
      <c r="H53" s="235"/>
      <c r="I53" s="235"/>
      <c r="J53" s="227"/>
      <c r="K53" s="227"/>
      <c r="L53" s="227"/>
      <c r="M53" s="227"/>
      <c r="O53" s="235"/>
      <c r="P53" s="235"/>
      <c r="Q53" s="235"/>
      <c r="R53" s="235"/>
    </row>
    <row r="54" spans="1:18" ht="13">
      <c r="B54" s="615"/>
      <c r="C54" s="615"/>
      <c r="D54" s="585"/>
      <c r="E54" s="1051"/>
      <c r="F54" s="227"/>
      <c r="G54" s="235"/>
      <c r="H54" s="227"/>
      <c r="I54" s="227"/>
      <c r="J54" s="227"/>
      <c r="K54" s="227"/>
      <c r="L54" s="227"/>
      <c r="M54" s="227"/>
      <c r="O54" s="235"/>
      <c r="P54" s="235"/>
      <c r="Q54" s="235"/>
      <c r="R54" s="235"/>
    </row>
    <row r="55" spans="1:18" ht="13">
      <c r="B55" s="1" t="s">
        <v>2152</v>
      </c>
      <c r="C55" s="615"/>
      <c r="D55" s="1056"/>
      <c r="E55" s="227"/>
      <c r="F55" s="227"/>
      <c r="G55" s="235"/>
      <c r="H55" s="227"/>
      <c r="I55" s="227"/>
      <c r="J55" s="227"/>
      <c r="K55" s="227"/>
      <c r="L55" s="227"/>
      <c r="M55" s="227"/>
      <c r="O55" s="235"/>
      <c r="P55" s="235"/>
      <c r="Q55" s="235"/>
      <c r="R55" s="235"/>
    </row>
    <row r="56" spans="1:18" ht="13">
      <c r="B56" s="227"/>
      <c r="C56" s="227"/>
      <c r="D56" s="227"/>
      <c r="E56" s="227"/>
      <c r="F56" s="227"/>
      <c r="G56" s="235"/>
      <c r="H56" s="227"/>
      <c r="I56" s="227"/>
      <c r="J56" s="227"/>
      <c r="K56" s="227"/>
      <c r="L56" s="227"/>
      <c r="M56" s="227"/>
      <c r="O56" s="869"/>
      <c r="P56" s="1038"/>
      <c r="Q56" s="235"/>
      <c r="R56" s="235"/>
    </row>
    <row r="57" spans="1:18" ht="13">
      <c r="B57" s="227"/>
      <c r="C57" s="227"/>
      <c r="D57" s="227"/>
      <c r="E57" s="227"/>
      <c r="F57" s="361" t="s">
        <v>175</v>
      </c>
      <c r="G57" s="503" t="s">
        <v>179</v>
      </c>
      <c r="H57" s="227"/>
      <c r="I57" s="227"/>
      <c r="J57" s="227"/>
      <c r="K57" s="227"/>
      <c r="L57" s="227"/>
      <c r="M57" s="227"/>
      <c r="O57" s="623"/>
      <c r="P57" s="623"/>
      <c r="Q57" s="235"/>
      <c r="R57" s="235"/>
    </row>
    <row r="58" spans="1:18" ht="13">
      <c r="A58" s="549">
        <f>A53+1</f>
        <v>24</v>
      </c>
      <c r="B58" s="615"/>
      <c r="C58" s="615"/>
      <c r="E58" s="1050" t="s">
        <v>1316</v>
      </c>
      <c r="F58" s="1051">
        <f>E45</f>
        <v>1926796980</v>
      </c>
      <c r="G58" s="450" t="str">
        <f>"Line "&amp;A45&amp;""</f>
        <v>Line 19</v>
      </c>
      <c r="H58" s="235"/>
      <c r="I58" s="235"/>
      <c r="J58" s="227"/>
      <c r="K58" s="227"/>
      <c r="L58" s="227"/>
      <c r="M58" s="227"/>
      <c r="O58" s="1070"/>
      <c r="P58" s="625"/>
      <c r="Q58" s="235"/>
      <c r="R58" s="235"/>
    </row>
    <row r="59" spans="1:18" ht="13">
      <c r="A59" s="549">
        <f>A58+1</f>
        <v>25</v>
      </c>
      <c r="B59" s="615"/>
      <c r="C59" s="615"/>
      <c r="E59" s="585" t="s">
        <v>239</v>
      </c>
      <c r="F59" s="1069">
        <f>'27-Allocators'!G15</f>
        <v>6.9804259326257695E-2</v>
      </c>
      <c r="G59" s="450" t="str">
        <f>"27-Allocators, Line "&amp;'27-Allocators'!A15&amp;""</f>
        <v>27-Allocators, Line 9</v>
      </c>
      <c r="H59" s="235"/>
      <c r="I59" s="235"/>
      <c r="J59" s="227"/>
      <c r="K59" s="227"/>
      <c r="L59" s="227"/>
      <c r="M59" s="227"/>
      <c r="O59" s="1070"/>
      <c r="P59" s="625"/>
      <c r="Q59" s="235"/>
      <c r="R59" s="235"/>
    </row>
    <row r="60" spans="1:18" ht="13">
      <c r="A60" s="549">
        <f>A59+1</f>
        <v>26</v>
      </c>
      <c r="B60" s="615"/>
      <c r="C60" s="615"/>
      <c r="E60" s="585" t="s">
        <v>1317</v>
      </c>
      <c r="F60" s="1051">
        <f>F58*F59</f>
        <v>134498636.06097016</v>
      </c>
      <c r="G60" s="241" t="str">
        <f>"Line "&amp;A58&amp;" * Line "&amp;A59&amp;""</f>
        <v>Line 24 * Line 25</v>
      </c>
      <c r="H60" s="235"/>
      <c r="I60" s="235"/>
      <c r="J60" s="227"/>
      <c r="K60" s="227"/>
      <c r="L60" s="227"/>
      <c r="M60" s="227"/>
      <c r="Q60" s="235"/>
      <c r="R60" s="235"/>
    </row>
    <row r="61" spans="1:18">
      <c r="B61" s="227"/>
      <c r="C61" s="227"/>
      <c r="D61" s="227"/>
      <c r="E61" s="227"/>
      <c r="F61" s="227"/>
      <c r="G61" s="227"/>
      <c r="H61" s="227"/>
      <c r="I61" s="227"/>
      <c r="J61" s="227"/>
      <c r="K61" s="227"/>
      <c r="L61" s="227"/>
      <c r="M61" s="227"/>
      <c r="Q61" s="235"/>
      <c r="R61" s="235"/>
    </row>
    <row r="62" spans="1:18">
      <c r="Q62" s="235"/>
      <c r="R62" s="235"/>
    </row>
    <row r="63" spans="1:18" ht="13">
      <c r="B63" s="1" t="s">
        <v>1528</v>
      </c>
      <c r="Q63" s="235"/>
      <c r="R63" s="235"/>
    </row>
    <row r="64" spans="1:18">
      <c r="Q64" s="235"/>
      <c r="R64" s="235"/>
    </row>
    <row r="65" spans="1:14" ht="13">
      <c r="C65" s="1" t="s">
        <v>2364</v>
      </c>
      <c r="D65" s="463"/>
      <c r="E65" s="463"/>
      <c r="F65" s="463"/>
      <c r="G65" s="463"/>
      <c r="H65" s="463"/>
      <c r="I65" s="463"/>
      <c r="J65" s="463"/>
      <c r="K65" s="463"/>
      <c r="L65" s="463"/>
    </row>
    <row r="66" spans="1:14">
      <c r="A66" s="463"/>
      <c r="C66" s="463"/>
      <c r="D66" s="463"/>
      <c r="E66" s="463"/>
      <c r="F66" s="463"/>
      <c r="G66" s="463"/>
      <c r="H66" s="463"/>
      <c r="I66" s="463"/>
      <c r="J66" s="463"/>
      <c r="K66" s="463"/>
      <c r="L66" s="463"/>
    </row>
    <row r="67" spans="1:14" ht="13">
      <c r="A67" s="382"/>
      <c r="C67" s="84" t="s">
        <v>358</v>
      </c>
      <c r="D67" s="84" t="s">
        <v>342</v>
      </c>
      <c r="E67" s="84" t="s">
        <v>343</v>
      </c>
      <c r="F67" s="84" t="s">
        <v>344</v>
      </c>
      <c r="G67" s="84" t="s">
        <v>345</v>
      </c>
      <c r="H67" s="84" t="s">
        <v>346</v>
      </c>
      <c r="I67" s="84" t="s">
        <v>347</v>
      </c>
      <c r="J67" s="84" t="s">
        <v>534</v>
      </c>
      <c r="K67" s="84" t="s">
        <v>949</v>
      </c>
      <c r="L67" s="84" t="s">
        <v>961</v>
      </c>
      <c r="M67" s="84" t="s">
        <v>964</v>
      </c>
      <c r="N67" s="84" t="s">
        <v>982</v>
      </c>
    </row>
    <row r="68" spans="1:14">
      <c r="A68" s="227"/>
      <c r="C68" s="243"/>
      <c r="D68" s="227"/>
      <c r="E68" s="227"/>
      <c r="F68" s="227"/>
      <c r="G68" s="227"/>
      <c r="H68" s="227"/>
      <c r="I68" s="227"/>
      <c r="J68" s="227"/>
      <c r="K68" s="227"/>
      <c r="L68" s="227"/>
      <c r="N68" s="243" t="s">
        <v>1214</v>
      </c>
    </row>
    <row r="69" spans="1:14" ht="13">
      <c r="A69" s="51"/>
      <c r="C69" s="122" t="s">
        <v>1748</v>
      </c>
      <c r="D69" s="84">
        <v>350.1</v>
      </c>
      <c r="E69" s="84">
        <v>350.2</v>
      </c>
      <c r="F69" s="84">
        <v>352</v>
      </c>
      <c r="G69" s="84">
        <v>353</v>
      </c>
      <c r="H69" s="84">
        <v>354</v>
      </c>
      <c r="I69" s="84">
        <v>355</v>
      </c>
      <c r="J69" s="84">
        <v>356</v>
      </c>
      <c r="K69" s="84">
        <v>357</v>
      </c>
      <c r="L69" s="84">
        <v>358</v>
      </c>
      <c r="M69" s="84">
        <v>359</v>
      </c>
      <c r="N69" s="3" t="s">
        <v>196</v>
      </c>
    </row>
    <row r="70" spans="1:14" ht="13">
      <c r="A70" s="549">
        <f>A60+1</f>
        <v>27</v>
      </c>
      <c r="C70" s="700" t="s">
        <v>2714</v>
      </c>
      <c r="D70" s="477">
        <f>'17-Depreciation'!C48</f>
        <v>0</v>
      </c>
      <c r="E70" s="477">
        <f>'17-Depreciation'!D48</f>
        <v>229263.38304774932</v>
      </c>
      <c r="F70" s="477">
        <f>'17-Depreciation'!E48</f>
        <v>1587468.8067697342</v>
      </c>
      <c r="G70" s="477">
        <f>'17-Depreciation'!F48</f>
        <v>7646572.8037617169</v>
      </c>
      <c r="H70" s="477">
        <f>'17-Depreciation'!G48</f>
        <v>4687087.048275033</v>
      </c>
      <c r="I70" s="477">
        <f>'17-Depreciation'!H48</f>
        <v>1247803.1167135027</v>
      </c>
      <c r="J70" s="477">
        <f>'17-Depreciation'!I48</f>
        <v>3578700.2566933427</v>
      </c>
      <c r="K70" s="477">
        <f>'17-Depreciation'!J48</f>
        <v>296131.96459880058</v>
      </c>
      <c r="L70" s="477">
        <f>'17-Depreciation'!K48</f>
        <v>191086.29908034575</v>
      </c>
      <c r="M70" s="477">
        <f>'17-Depreciation'!L48</f>
        <v>232897.07804094508</v>
      </c>
      <c r="N70" s="229">
        <f t="shared" ref="N70:N82" si="5">SUM(D70:M70)</f>
        <v>19697010.756981175</v>
      </c>
    </row>
    <row r="71" spans="1:14" ht="13">
      <c r="A71" s="549">
        <f t="shared" ref="A71:A82" si="6">A70+1</f>
        <v>28</v>
      </c>
      <c r="C71" s="699" t="s">
        <v>2715</v>
      </c>
      <c r="D71" s="477">
        <f>'17-Depreciation'!C49</f>
        <v>0</v>
      </c>
      <c r="E71" s="477">
        <f>'17-Depreciation'!D49</f>
        <v>230965.00331642103</v>
      </c>
      <c r="F71" s="477">
        <f>'17-Depreciation'!E49</f>
        <v>1593359.286635984</v>
      </c>
      <c r="G71" s="477">
        <f>'17-Depreciation'!F49</f>
        <v>7656774.2286531264</v>
      </c>
      <c r="H71" s="477">
        <f>'17-Depreciation'!G49</f>
        <v>4685391.9583498808</v>
      </c>
      <c r="I71" s="477">
        <f>'17-Depreciation'!H49</f>
        <v>1252838.2206907638</v>
      </c>
      <c r="J71" s="477">
        <f>'17-Depreciation'!I49</f>
        <v>3583562.7167767989</v>
      </c>
      <c r="K71" s="477">
        <f>'17-Depreciation'!J49</f>
        <v>296137.39489376912</v>
      </c>
      <c r="L71" s="477">
        <f>'17-Depreciation'!K49</f>
        <v>191089.68318393777</v>
      </c>
      <c r="M71" s="477">
        <f>'17-Depreciation'!L49</f>
        <v>232542.01880475049</v>
      </c>
      <c r="N71" s="229">
        <f t="shared" si="5"/>
        <v>19722660.511305436</v>
      </c>
    </row>
    <row r="72" spans="1:14" ht="13">
      <c r="A72" s="549">
        <f t="shared" si="6"/>
        <v>29</v>
      </c>
      <c r="C72" s="699" t="s">
        <v>2716</v>
      </c>
      <c r="D72" s="477">
        <f>'17-Depreciation'!C50</f>
        <v>0</v>
      </c>
      <c r="E72" s="477">
        <f>'17-Depreciation'!D50</f>
        <v>230965.81646742101</v>
      </c>
      <c r="F72" s="477">
        <f>'17-Depreciation'!E50</f>
        <v>1602099.3986572511</v>
      </c>
      <c r="G72" s="477">
        <f>'17-Depreciation'!F50</f>
        <v>7714939.1745210299</v>
      </c>
      <c r="H72" s="477">
        <f>'17-Depreciation'!G50</f>
        <v>4685290.9475725992</v>
      </c>
      <c r="I72" s="477">
        <f>'17-Depreciation'!H50</f>
        <v>1258543.6018015805</v>
      </c>
      <c r="J72" s="477">
        <f>'17-Depreciation'!I50</f>
        <v>3585763.0886135953</v>
      </c>
      <c r="K72" s="477">
        <f>'17-Depreciation'!J50</f>
        <v>296143.50536661694</v>
      </c>
      <c r="L72" s="477">
        <f>'17-Depreciation'!K50</f>
        <v>191093.36994173017</v>
      </c>
      <c r="M72" s="477">
        <f>'17-Depreciation'!L50</f>
        <v>232681.81999791367</v>
      </c>
      <c r="N72" s="229">
        <f t="shared" si="5"/>
        <v>19797520.722939737</v>
      </c>
    </row>
    <row r="73" spans="1:14" ht="13">
      <c r="A73" s="549">
        <f t="shared" si="6"/>
        <v>30</v>
      </c>
      <c r="C73" s="700" t="s">
        <v>2717</v>
      </c>
      <c r="D73" s="477">
        <f>'17-Depreciation'!C51</f>
        <v>0</v>
      </c>
      <c r="E73" s="477">
        <f>'17-Depreciation'!D51</f>
        <v>230973.40606856401</v>
      </c>
      <c r="F73" s="477">
        <f>'17-Depreciation'!E51</f>
        <v>1608212.0796579414</v>
      </c>
      <c r="G73" s="477">
        <f>'17-Depreciation'!F51</f>
        <v>7736826.4744952666</v>
      </c>
      <c r="H73" s="477">
        <f>'17-Depreciation'!G51</f>
        <v>4686831.9355508713</v>
      </c>
      <c r="I73" s="477">
        <f>'17-Depreciation'!H51</f>
        <v>1265494.0232905687</v>
      </c>
      <c r="J73" s="477">
        <f>'17-Depreciation'!I51</f>
        <v>3588521.3409075998</v>
      </c>
      <c r="K73" s="477">
        <f>'17-Depreciation'!J51</f>
        <v>296155.12683449307</v>
      </c>
      <c r="L73" s="477">
        <f>'17-Depreciation'!K51</f>
        <v>191114.73251453074</v>
      </c>
      <c r="M73" s="477">
        <f>'17-Depreciation'!L51</f>
        <v>232639.06956975721</v>
      </c>
      <c r="N73" s="229">
        <f t="shared" si="5"/>
        <v>19836768.188889593</v>
      </c>
    </row>
    <row r="74" spans="1:14" ht="13">
      <c r="A74" s="549">
        <f t="shared" si="6"/>
        <v>31</v>
      </c>
      <c r="C74" s="699" t="s">
        <v>2718</v>
      </c>
      <c r="D74" s="477">
        <f>'17-Depreciation'!C52</f>
        <v>0</v>
      </c>
      <c r="E74" s="477">
        <f>'17-Depreciation'!D52</f>
        <v>230974.60661801358</v>
      </c>
      <c r="F74" s="477">
        <f>'17-Depreciation'!E52</f>
        <v>1623777.2624270357</v>
      </c>
      <c r="G74" s="477">
        <f>'17-Depreciation'!F52</f>
        <v>7757245.414160124</v>
      </c>
      <c r="H74" s="477">
        <f>'17-Depreciation'!G52</f>
        <v>4694441.3498998545</v>
      </c>
      <c r="I74" s="477">
        <f>'17-Depreciation'!H52</f>
        <v>1268782.6230913573</v>
      </c>
      <c r="J74" s="477">
        <f>'17-Depreciation'!I52</f>
        <v>3591774.2328434647</v>
      </c>
      <c r="K74" s="477">
        <f>'17-Depreciation'!J52</f>
        <v>296168.12648965552</v>
      </c>
      <c r="L74" s="477">
        <f>'17-Depreciation'!K52</f>
        <v>191108.09268810527</v>
      </c>
      <c r="M74" s="477">
        <f>'17-Depreciation'!L52</f>
        <v>232599.33635756897</v>
      </c>
      <c r="N74" s="229">
        <f t="shared" si="5"/>
        <v>19886871.044575177</v>
      </c>
    </row>
    <row r="75" spans="1:14" ht="13">
      <c r="A75" s="549">
        <f t="shared" si="6"/>
        <v>32</v>
      </c>
      <c r="C75" s="699" t="s">
        <v>2719</v>
      </c>
      <c r="D75" s="477">
        <f>'17-Depreciation'!C53</f>
        <v>0</v>
      </c>
      <c r="E75" s="477">
        <f>'17-Depreciation'!D53</f>
        <v>230971.99510872041</v>
      </c>
      <c r="F75" s="477">
        <f>'17-Depreciation'!E53</f>
        <v>1663986.9253602254</v>
      </c>
      <c r="G75" s="477">
        <f>'17-Depreciation'!F53</f>
        <v>7817576.3348678453</v>
      </c>
      <c r="H75" s="477">
        <f>'17-Depreciation'!G53</f>
        <v>4694678.6720042331</v>
      </c>
      <c r="I75" s="477">
        <f>'17-Depreciation'!H53</f>
        <v>1270558.04388973</v>
      </c>
      <c r="J75" s="477">
        <f>'17-Depreciation'!I53</f>
        <v>3592499.3599674962</v>
      </c>
      <c r="K75" s="477">
        <f>'17-Depreciation'!J53</f>
        <v>296170.08180599468</v>
      </c>
      <c r="L75" s="477">
        <f>'17-Depreciation'!K53</f>
        <v>191109.48633510826</v>
      </c>
      <c r="M75" s="477">
        <f>'17-Depreciation'!L53</f>
        <v>232612.80944995544</v>
      </c>
      <c r="N75" s="229">
        <f t="shared" si="5"/>
        <v>19990163.708789311</v>
      </c>
    </row>
    <row r="76" spans="1:14" ht="13">
      <c r="A76" s="549">
        <f t="shared" si="6"/>
        <v>33</v>
      </c>
      <c r="C76" s="700" t="s">
        <v>2720</v>
      </c>
      <c r="D76" s="477">
        <f>'17-Depreciation'!C54</f>
        <v>0</v>
      </c>
      <c r="E76" s="477">
        <f>'17-Depreciation'!D54</f>
        <v>230972.95478731324</v>
      </c>
      <c r="F76" s="477">
        <f>'17-Depreciation'!E54</f>
        <v>1648570.8387045001</v>
      </c>
      <c r="G76" s="477">
        <f>'17-Depreciation'!F54</f>
        <v>7894893.8424764797</v>
      </c>
      <c r="H76" s="477">
        <f>'17-Depreciation'!G54</f>
        <v>4702523.7488973839</v>
      </c>
      <c r="I76" s="477">
        <f>'17-Depreciation'!H54</f>
        <v>1297688.2895548351</v>
      </c>
      <c r="J76" s="477">
        <f>'17-Depreciation'!I54</f>
        <v>3592616.444637239</v>
      </c>
      <c r="K76" s="477">
        <f>'17-Depreciation'!J54</f>
        <v>296176.02039557032</v>
      </c>
      <c r="L76" s="477">
        <f>'17-Depreciation'!K54</f>
        <v>191125.8526107528</v>
      </c>
      <c r="M76" s="477">
        <f>'17-Depreciation'!L54</f>
        <v>232937.95191141521</v>
      </c>
      <c r="N76" s="229">
        <f t="shared" si="5"/>
        <v>20087505.94397549</v>
      </c>
    </row>
    <row r="77" spans="1:14" ht="13">
      <c r="A77" s="549">
        <f t="shared" si="6"/>
        <v>34</v>
      </c>
      <c r="C77" s="699" t="s">
        <v>2721</v>
      </c>
      <c r="D77" s="477">
        <f>'17-Depreciation'!C55</f>
        <v>0</v>
      </c>
      <c r="E77" s="477">
        <f>'17-Depreciation'!D55</f>
        <v>230974.01779597989</v>
      </c>
      <c r="F77" s="477">
        <f>'17-Depreciation'!E55</f>
        <v>1700865.5412432819</v>
      </c>
      <c r="G77" s="477">
        <f>'17-Depreciation'!F55</f>
        <v>7915657.7586503075</v>
      </c>
      <c r="H77" s="477">
        <f>'17-Depreciation'!G55</f>
        <v>4704571.6990767196</v>
      </c>
      <c r="I77" s="477">
        <f>'17-Depreciation'!H55</f>
        <v>1300841.1228796947</v>
      </c>
      <c r="J77" s="477">
        <f>'17-Depreciation'!I55</f>
        <v>3596033.9243772184</v>
      </c>
      <c r="K77" s="477">
        <f>'17-Depreciation'!J55</f>
        <v>296179.70676825702</v>
      </c>
      <c r="L77" s="477">
        <f>'17-Depreciation'!K55</f>
        <v>191126.9691724747</v>
      </c>
      <c r="M77" s="477">
        <f>'17-Depreciation'!L55</f>
        <v>233026.17445183048</v>
      </c>
      <c r="N77" s="229">
        <f t="shared" si="5"/>
        <v>20169276.914415766</v>
      </c>
    </row>
    <row r="78" spans="1:14" ht="13">
      <c r="A78" s="549">
        <f t="shared" si="6"/>
        <v>35</v>
      </c>
      <c r="C78" s="699" t="s">
        <v>2722</v>
      </c>
      <c r="D78" s="477">
        <f>'17-Depreciation'!C56</f>
        <v>0</v>
      </c>
      <c r="E78" s="477">
        <f>'17-Depreciation'!D56</f>
        <v>230976.38343146155</v>
      </c>
      <c r="F78" s="477">
        <f>'17-Depreciation'!E56</f>
        <v>1705840.4516975258</v>
      </c>
      <c r="G78" s="477">
        <f>'17-Depreciation'!F56</f>
        <v>8024541.7853014292</v>
      </c>
      <c r="H78" s="477">
        <f>'17-Depreciation'!G56</f>
        <v>4719796.4495543148</v>
      </c>
      <c r="I78" s="477">
        <f>'17-Depreciation'!H56</f>
        <v>1299374.7162816683</v>
      </c>
      <c r="J78" s="477">
        <f>'17-Depreciation'!I56</f>
        <v>3594050.1319094687</v>
      </c>
      <c r="K78" s="477">
        <f>'17-Depreciation'!J56</f>
        <v>296183.43151739042</v>
      </c>
      <c r="L78" s="477">
        <f>'17-Depreciation'!K56</f>
        <v>191131.50415373803</v>
      </c>
      <c r="M78" s="477">
        <f>'17-Depreciation'!L56</f>
        <v>232972.48634490382</v>
      </c>
      <c r="N78" s="229">
        <f t="shared" si="5"/>
        <v>20294867.340191901</v>
      </c>
    </row>
    <row r="79" spans="1:14" ht="13">
      <c r="A79" s="549">
        <f t="shared" si="6"/>
        <v>36</v>
      </c>
      <c r="C79" s="700" t="s">
        <v>2723</v>
      </c>
      <c r="D79" s="477">
        <f>'17-Depreciation'!C57</f>
        <v>0</v>
      </c>
      <c r="E79" s="477">
        <f>'17-Depreciation'!D57</f>
        <v>230992.49277143492</v>
      </c>
      <c r="F79" s="477">
        <f>'17-Depreciation'!E57</f>
        <v>1713121.7722103309</v>
      </c>
      <c r="G79" s="477">
        <f>'17-Depreciation'!F57</f>
        <v>8052547.8939337367</v>
      </c>
      <c r="H79" s="477">
        <f>'17-Depreciation'!G57</f>
        <v>4714829.0790503873</v>
      </c>
      <c r="I79" s="477">
        <f>'17-Depreciation'!H57</f>
        <v>1303653.5834349175</v>
      </c>
      <c r="J79" s="477">
        <f>'17-Depreciation'!I57</f>
        <v>3593178.8659953908</v>
      </c>
      <c r="K79" s="477">
        <f>'17-Depreciation'!J57</f>
        <v>296189.59923554468</v>
      </c>
      <c r="L79" s="477">
        <f>'17-Depreciation'!K57</f>
        <v>191136.44364536906</v>
      </c>
      <c r="M79" s="477">
        <f>'17-Depreciation'!L57</f>
        <v>232845.5269262779</v>
      </c>
      <c r="N79" s="229">
        <f t="shared" si="5"/>
        <v>20328495.257203393</v>
      </c>
    </row>
    <row r="80" spans="1:14" ht="13">
      <c r="A80" s="549">
        <f t="shared" si="6"/>
        <v>37</v>
      </c>
      <c r="C80" s="700" t="s">
        <v>2724</v>
      </c>
      <c r="D80" s="477">
        <f>'17-Depreciation'!C58</f>
        <v>0</v>
      </c>
      <c r="E80" s="477">
        <f>'17-Depreciation'!D58</f>
        <v>231026.77106630514</v>
      </c>
      <c r="F80" s="477">
        <f>'17-Depreciation'!E58</f>
        <v>1718130.1058482239</v>
      </c>
      <c r="G80" s="477">
        <f>'17-Depreciation'!F58</f>
        <v>8063081.3224928705</v>
      </c>
      <c r="H80" s="477">
        <f>'17-Depreciation'!G58</f>
        <v>4674010.6301238863</v>
      </c>
      <c r="I80" s="477">
        <f>'17-Depreciation'!H58</f>
        <v>1310585.4041320579</v>
      </c>
      <c r="J80" s="477">
        <f>'17-Depreciation'!I58</f>
        <v>3621271.5888403463</v>
      </c>
      <c r="K80" s="477">
        <f>'17-Depreciation'!J58</f>
        <v>296198.5156141023</v>
      </c>
      <c r="L80" s="477">
        <f>'17-Depreciation'!K58</f>
        <v>191147.53045506435</v>
      </c>
      <c r="M80" s="477">
        <f>'17-Depreciation'!L58</f>
        <v>249968.78178134488</v>
      </c>
      <c r="N80" s="229">
        <f t="shared" si="5"/>
        <v>20355420.650354203</v>
      </c>
    </row>
    <row r="81" spans="1:14" ht="13">
      <c r="A81" s="549">
        <f t="shared" si="6"/>
        <v>38</v>
      </c>
      <c r="C81" s="699" t="s">
        <v>2725</v>
      </c>
      <c r="D81" s="110">
        <f>'17-Depreciation'!C59</f>
        <v>0</v>
      </c>
      <c r="E81" s="110">
        <f>'17-Depreciation'!D59</f>
        <v>231028.39901447183</v>
      </c>
      <c r="F81" s="110">
        <f>'17-Depreciation'!E59</f>
        <v>1723599.8814662741</v>
      </c>
      <c r="G81" s="110">
        <f>'17-Depreciation'!F59</f>
        <v>8118517.1009473912</v>
      </c>
      <c r="H81" s="110">
        <f>'17-Depreciation'!G59</f>
        <v>4675317.6778530302</v>
      </c>
      <c r="I81" s="110">
        <f>'17-Depreciation'!H59</f>
        <v>1312575.3819198147</v>
      </c>
      <c r="J81" s="110">
        <f>'17-Depreciation'!I59</f>
        <v>3622494.080316551</v>
      </c>
      <c r="K81" s="110">
        <f>'17-Depreciation'!J59</f>
        <v>296203.76360332716</v>
      </c>
      <c r="L81" s="110">
        <f>'17-Depreciation'!K59</f>
        <v>191144.70432065529</v>
      </c>
      <c r="M81" s="110">
        <f>'17-Depreciation'!L59</f>
        <v>249703.1773877285</v>
      </c>
      <c r="N81" s="360">
        <f t="shared" si="5"/>
        <v>20420584.16682924</v>
      </c>
    </row>
    <row r="82" spans="1:14" ht="13">
      <c r="A82" s="549">
        <f t="shared" si="6"/>
        <v>39</v>
      </c>
      <c r="C82" s="1049" t="s">
        <v>4</v>
      </c>
      <c r="D82" s="229">
        <f t="shared" ref="D82:M82" si="7">SUM(D70:D81)</f>
        <v>0</v>
      </c>
      <c r="E82" s="229">
        <f t="shared" si="7"/>
        <v>2770085.2294938564</v>
      </c>
      <c r="F82" s="229">
        <f t="shared" si="7"/>
        <v>19889032.35067831</v>
      </c>
      <c r="G82" s="229">
        <f t="shared" si="7"/>
        <v>94399174.134261325</v>
      </c>
      <c r="H82" s="229">
        <f t="shared" si="7"/>
        <v>56324771.196208194</v>
      </c>
      <c r="I82" s="229">
        <f t="shared" si="7"/>
        <v>15388738.12768049</v>
      </c>
      <c r="J82" s="229">
        <f t="shared" si="7"/>
        <v>43140466.031878509</v>
      </c>
      <c r="K82" s="229">
        <f t="shared" si="7"/>
        <v>3554037.237123522</v>
      </c>
      <c r="L82" s="229">
        <f t="shared" si="7"/>
        <v>2293414.6681018118</v>
      </c>
      <c r="M82" s="229">
        <f t="shared" si="7"/>
        <v>2827426.231024391</v>
      </c>
      <c r="N82" s="229">
        <f t="shared" si="5"/>
        <v>240587145.20645037</v>
      </c>
    </row>
    <row r="83" spans="1:14">
      <c r="D83" s="14"/>
      <c r="E83" s="14"/>
      <c r="F83" s="14"/>
      <c r="G83" s="14"/>
      <c r="H83" s="14"/>
      <c r="I83" s="14"/>
      <c r="J83" s="14"/>
      <c r="K83" s="14"/>
      <c r="L83" s="14"/>
      <c r="M83" s="14"/>
    </row>
    <row r="84" spans="1:14" ht="13">
      <c r="C84" s="1" t="s">
        <v>2365</v>
      </c>
      <c r="D84" s="463"/>
      <c r="E84" s="463"/>
      <c r="F84" s="463"/>
      <c r="G84" s="463"/>
      <c r="H84" s="463"/>
      <c r="I84" s="463"/>
      <c r="J84" s="463"/>
      <c r="K84" s="463"/>
      <c r="L84" s="463"/>
    </row>
    <row r="85" spans="1:14">
      <c r="C85" s="463"/>
      <c r="D85" s="463"/>
      <c r="E85" s="463"/>
      <c r="F85" s="463"/>
      <c r="G85" s="463"/>
      <c r="H85" s="463"/>
      <c r="I85" s="463"/>
      <c r="J85" s="463"/>
      <c r="K85" s="463"/>
      <c r="L85" s="463"/>
    </row>
    <row r="86" spans="1:14" ht="13">
      <c r="C86" s="84" t="s">
        <v>358</v>
      </c>
      <c r="D86" s="84" t="s">
        <v>342</v>
      </c>
      <c r="E86" s="84" t="s">
        <v>343</v>
      </c>
      <c r="F86" s="84" t="s">
        <v>344</v>
      </c>
      <c r="G86" s="84" t="s">
        <v>345</v>
      </c>
      <c r="H86" s="84" t="s">
        <v>346</v>
      </c>
      <c r="I86" s="84" t="s">
        <v>347</v>
      </c>
      <c r="J86" s="84" t="s">
        <v>534</v>
      </c>
      <c r="K86" s="84" t="s">
        <v>949</v>
      </c>
      <c r="L86" s="84" t="s">
        <v>961</v>
      </c>
      <c r="M86" s="84" t="s">
        <v>964</v>
      </c>
      <c r="N86" s="84"/>
    </row>
    <row r="87" spans="1:14">
      <c r="C87" s="243"/>
      <c r="D87" s="227"/>
      <c r="E87" s="227"/>
      <c r="F87" s="227"/>
      <c r="G87" s="227"/>
      <c r="H87" s="227"/>
      <c r="I87" s="227"/>
      <c r="J87" s="227"/>
      <c r="K87" s="227"/>
      <c r="L87" s="227"/>
      <c r="N87" s="243"/>
    </row>
    <row r="88" spans="1:14" ht="13">
      <c r="C88" s="122" t="s">
        <v>1748</v>
      </c>
      <c r="D88" s="84">
        <v>350.1</v>
      </c>
      <c r="E88" s="84">
        <v>350.2</v>
      </c>
      <c r="F88" s="84">
        <v>352</v>
      </c>
      <c r="G88" s="84">
        <v>353</v>
      </c>
      <c r="H88" s="84">
        <v>354</v>
      </c>
      <c r="I88" s="84">
        <v>355</v>
      </c>
      <c r="J88" s="84">
        <v>356</v>
      </c>
      <c r="K88" s="84">
        <v>357</v>
      </c>
      <c r="L88" s="84">
        <v>358</v>
      </c>
      <c r="M88" s="84">
        <v>359</v>
      </c>
      <c r="N88" s="3"/>
    </row>
    <row r="89" spans="1:14" ht="13">
      <c r="A89" s="549">
        <f>A82+1</f>
        <v>40</v>
      </c>
      <c r="C89" s="700" t="s">
        <v>2714</v>
      </c>
      <c r="D89" s="1072">
        <f>'6-PlantInService'!C167</f>
        <v>6.9012166969825872E-2</v>
      </c>
      <c r="E89" s="1072">
        <f>'6-PlantInService'!D167</f>
        <v>0.9765404541175795</v>
      </c>
      <c r="F89" s="1072">
        <f>'6-PlantInService'!E167</f>
        <v>4.0252120205028434E-2</v>
      </c>
      <c r="G89" s="1072">
        <f>'6-PlantInService'!F167</f>
        <v>1.6285483980901863E-2</v>
      </c>
      <c r="H89" s="1072">
        <f>'6-PlantInService'!G167</f>
        <v>-4.9775507787094102E-2</v>
      </c>
      <c r="I89" s="1072">
        <f>'6-PlantInService'!H167</f>
        <v>0.11153448063555241</v>
      </c>
      <c r="J89" s="1072">
        <f>'6-PlantInService'!I167</f>
        <v>3.7047954564355591E-2</v>
      </c>
      <c r="K89" s="1072">
        <f>'6-PlantInService'!J167</f>
        <v>2.2689094327101508E-5</v>
      </c>
      <c r="L89" s="1072">
        <f>'6-PlantInService'!K167</f>
        <v>-4.2176339720324391E-2</v>
      </c>
      <c r="M89" s="1072">
        <f>'6-PlantInService'!L167</f>
        <v>0.13249254683640158</v>
      </c>
      <c r="N89" s="229"/>
    </row>
    <row r="90" spans="1:14" ht="13">
      <c r="A90" s="549">
        <f t="shared" ref="A90:A100" si="8">A89+1</f>
        <v>41</v>
      </c>
      <c r="C90" s="699" t="s">
        <v>2715</v>
      </c>
      <c r="D90" s="1072">
        <f>'6-PlantInService'!C168</f>
        <v>-4.2763933911775329E-13</v>
      </c>
      <c r="E90" s="1072">
        <f>'6-PlantInService'!D168</f>
        <v>0</v>
      </c>
      <c r="F90" s="1072">
        <f>'6-PlantInService'!E168</f>
        <v>5.6470222881445958E-2</v>
      </c>
      <c r="G90" s="1072">
        <f>'6-PlantInService'!F168</f>
        <v>9.7085514267435016E-2</v>
      </c>
      <c r="H90" s="1072">
        <f>'6-PlantInService'!G168</f>
        <v>-1.0834724803594327E-2</v>
      </c>
      <c r="I90" s="1072">
        <f>'6-PlantInService'!H168</f>
        <v>0.10403078321541868</v>
      </c>
      <c r="J90" s="1072">
        <f>'6-PlantInService'!I168</f>
        <v>1.0938832775979427E-2</v>
      </c>
      <c r="K90" s="1072">
        <f>'6-PlantInService'!J168</f>
        <v>3.8517706876500819E-3</v>
      </c>
      <c r="L90" s="1072">
        <f>'6-PlantInService'!K168</f>
        <v>-1.5535623004589799E-2</v>
      </c>
      <c r="M90" s="1072">
        <f>'6-PlantInService'!L168</f>
        <v>1.5203475697818223E-2</v>
      </c>
      <c r="N90" s="229"/>
    </row>
    <row r="91" spans="1:14" ht="13">
      <c r="A91" s="549">
        <f t="shared" si="8"/>
        <v>42</v>
      </c>
      <c r="C91" s="699" t="s">
        <v>2716</v>
      </c>
      <c r="D91" s="1072">
        <f>'6-PlantInService'!C169</f>
        <v>7.3769786105489038E-2</v>
      </c>
      <c r="E91" s="1072">
        <f>'6-PlantInService'!D169</f>
        <v>4.3582052564740117E-3</v>
      </c>
      <c r="F91" s="1072">
        <f>'6-PlantInService'!E169</f>
        <v>4.7388400235639762E-2</v>
      </c>
      <c r="G91" s="1072">
        <f>'6-PlantInService'!F169</f>
        <v>4.273534846657593E-2</v>
      </c>
      <c r="H91" s="1072">
        <f>'6-PlantInService'!G169</f>
        <v>6.2864950057309479E-2</v>
      </c>
      <c r="I91" s="1072">
        <f>'6-PlantInService'!H169</f>
        <v>0.13304459499576468</v>
      </c>
      <c r="J91" s="1072">
        <f>'6-PlantInService'!I169</f>
        <v>2.7366159683341981E-2</v>
      </c>
      <c r="K91" s="1072">
        <f>'6-PlantInService'!J169</f>
        <v>4.3648356922400184E-5</v>
      </c>
      <c r="L91" s="1072">
        <f>'6-PlantInService'!K169</f>
        <v>7.8897740454770771E-2</v>
      </c>
      <c r="M91" s="1072">
        <f>'6-PlantInService'!L169</f>
        <v>2.7672775719454266E-3</v>
      </c>
      <c r="N91" s="229"/>
    </row>
    <row r="92" spans="1:14" ht="13">
      <c r="A92" s="549">
        <f t="shared" si="8"/>
        <v>43</v>
      </c>
      <c r="C92" s="700" t="s">
        <v>2717</v>
      </c>
      <c r="D92" s="1072">
        <f>'6-PlantInService'!C170</f>
        <v>0.40444641379145796</v>
      </c>
      <c r="E92" s="1072">
        <f>'6-PlantInService'!D170</f>
        <v>6.8582142803404623E-4</v>
      </c>
      <c r="F92" s="1072">
        <f>'6-PlantInService'!E170</f>
        <v>0.12856220620997288</v>
      </c>
      <c r="G92" s="1072">
        <f>'6-PlantInService'!F170</f>
        <v>2.5711798268218053E-2</v>
      </c>
      <c r="H92" s="1072">
        <f>'6-PlantInService'!G170</f>
        <v>0.30668944342763277</v>
      </c>
      <c r="I92" s="1072">
        <f>'6-PlantInService'!H170</f>
        <v>6.5156909862569848E-2</v>
      </c>
      <c r="J92" s="1072">
        <f>'6-PlantInService'!I170</f>
        <v>4.175913581666528E-2</v>
      </c>
      <c r="K92" s="1072">
        <f>'6-PlantInService'!J170</f>
        <v>-7.4640219240257582E-3</v>
      </c>
      <c r="L92" s="1072">
        <f>'6-PlantInService'!K170</f>
        <v>-3.0985110258852075E-2</v>
      </c>
      <c r="M92" s="1072">
        <f>'6-PlantInService'!L170</f>
        <v>2.1950876613319316E-3</v>
      </c>
      <c r="N92" s="229"/>
    </row>
    <row r="93" spans="1:14" ht="13">
      <c r="A93" s="549">
        <f t="shared" si="8"/>
        <v>44</v>
      </c>
      <c r="C93" s="699" t="s">
        <v>2718</v>
      </c>
      <c r="D93" s="1072">
        <f>'6-PlantInService'!C171</f>
        <v>0.45277163313429625</v>
      </c>
      <c r="E93" s="1072">
        <f>'6-PlantInService'!D171</f>
        <v>-2.6881095005929982E-3</v>
      </c>
      <c r="F93" s="1072">
        <f>'6-PlantInService'!E171</f>
        <v>0.32996315911117846</v>
      </c>
      <c r="G93" s="1072">
        <f>'6-PlantInService'!F171</f>
        <v>0.12384081986619234</v>
      </c>
      <c r="H93" s="1072">
        <f>'6-PlantInService'!G171</f>
        <v>8.4790153616900021E-3</v>
      </c>
      <c r="I93" s="1072">
        <f>'6-PlantInService'!H171</f>
        <v>3.3556336045073722E-2</v>
      </c>
      <c r="J93" s="1072">
        <f>'6-PlantInService'!I171</f>
        <v>7.4918434777227145E-3</v>
      </c>
      <c r="K93" s="1072">
        <f>'6-PlantInService'!J171</f>
        <v>3.375503794695728E-6</v>
      </c>
      <c r="L93" s="1072">
        <f>'6-PlantInService'!K171</f>
        <v>4.812831459034661E-2</v>
      </c>
      <c r="M93" s="1072">
        <f>'6-PlantInService'!L171</f>
        <v>2.9733819606246889E-3</v>
      </c>
      <c r="N93" s="229"/>
    </row>
    <row r="94" spans="1:14" ht="13">
      <c r="A94" s="549">
        <f t="shared" si="8"/>
        <v>45</v>
      </c>
      <c r="C94" s="699" t="s">
        <v>2719</v>
      </c>
      <c r="D94" s="1072">
        <f>'6-PlantInService'!C172</f>
        <v>0</v>
      </c>
      <c r="E94" s="1072">
        <f>'6-PlantInService'!D172</f>
        <v>-8.6715465427136172E-6</v>
      </c>
      <c r="F94" s="1072">
        <f>'6-PlantInService'!E172</f>
        <v>-0.12693004162928956</v>
      </c>
      <c r="G94" s="1072">
        <f>'6-PlantInService'!F172</f>
        <v>0.16499911321015787</v>
      </c>
      <c r="H94" s="1072">
        <f>'6-PlantInService'!G172</f>
        <v>1.7872438663778908E-2</v>
      </c>
      <c r="I94" s="1072">
        <f>'6-PlantInService'!H172</f>
        <v>0.274490801790716</v>
      </c>
      <c r="J94" s="1072">
        <f>'6-PlantInService'!I172</f>
        <v>-0.26621398820203346</v>
      </c>
      <c r="K94" s="1072">
        <f>'6-PlantInService'!J172</f>
        <v>0.76720798705073068</v>
      </c>
      <c r="L94" s="1072">
        <f>'6-PlantInService'!K172</f>
        <v>0.7381069989229615</v>
      </c>
      <c r="M94" s="1072">
        <f>'6-PlantInService'!L172</f>
        <v>0.78602516304338266</v>
      </c>
      <c r="N94" s="229"/>
    </row>
    <row r="95" spans="1:14" ht="13">
      <c r="A95" s="549">
        <f t="shared" si="8"/>
        <v>46</v>
      </c>
      <c r="C95" s="700" t="s">
        <v>2720</v>
      </c>
      <c r="D95" s="1072">
        <f>'6-PlantInService'!C173</f>
        <v>-6.4145900867662996E-13</v>
      </c>
      <c r="E95" s="1072">
        <f>'6-PlantInService'!D173</f>
        <v>0</v>
      </c>
      <c r="F95" s="1072">
        <f>'6-PlantInService'!E173</f>
        <v>0.32023996161864832</v>
      </c>
      <c r="G95" s="1072">
        <f>'6-PlantInService'!F173</f>
        <v>7.1150053939373695E-2</v>
      </c>
      <c r="H95" s="1072">
        <f>'6-PlantInService'!G173</f>
        <v>7.7831844889183446E-2</v>
      </c>
      <c r="I95" s="1072">
        <f>'6-PlantInService'!H173</f>
        <v>5.6924198165069037E-2</v>
      </c>
      <c r="J95" s="1072">
        <f>'6-PlantInService'!I173</f>
        <v>4.8343423971894742E-2</v>
      </c>
      <c r="K95" s="1072">
        <f>'6-PlantInService'!J173</f>
        <v>7.3864545580875907E-2</v>
      </c>
      <c r="L95" s="1072">
        <f>'6-PlantInService'!K173</f>
        <v>-3.8843207754727077E-2</v>
      </c>
      <c r="M95" s="1072">
        <f>'6-PlantInService'!L173</f>
        <v>3.6293201010703109E-2</v>
      </c>
      <c r="N95" s="229"/>
    </row>
    <row r="96" spans="1:14" ht="13">
      <c r="A96" s="549">
        <f t="shared" si="8"/>
        <v>47</v>
      </c>
      <c r="C96" s="699" t="s">
        <v>2721</v>
      </c>
      <c r="D96" s="1072">
        <f>'6-PlantInService'!C174</f>
        <v>0</v>
      </c>
      <c r="E96" s="1072">
        <f>'6-PlantInService'!D174</f>
        <v>8.8166282004792211E-4</v>
      </c>
      <c r="F96" s="1072">
        <f>'6-PlantInService'!E174</f>
        <v>4.0464232690772754E-2</v>
      </c>
      <c r="G96" s="1072">
        <f>'6-PlantInService'!F174</f>
        <v>0.23224285915948711</v>
      </c>
      <c r="H96" s="1072">
        <f>'6-PlantInService'!G174</f>
        <v>0.61436864337448138</v>
      </c>
      <c r="I96" s="1072">
        <f>'6-PlantInService'!H174</f>
        <v>-2.7610769865778123E-2</v>
      </c>
      <c r="J96" s="1072">
        <f>'6-PlantInService'!I174</f>
        <v>-3.8775396640088812E-2</v>
      </c>
      <c r="K96" s="1072">
        <f>'6-PlantInService'!J174</f>
        <v>4.455247716399088E-4</v>
      </c>
      <c r="L96" s="1072">
        <f>'6-PlantInService'!K174</f>
        <v>2.1480394567333163E-2</v>
      </c>
      <c r="M96" s="1072">
        <f>'6-PlantInService'!L174</f>
        <v>4.1994040345053191E-3</v>
      </c>
      <c r="N96" s="229"/>
    </row>
    <row r="97" spans="1:14" ht="13">
      <c r="A97" s="549">
        <f t="shared" si="8"/>
        <v>48</v>
      </c>
      <c r="C97" s="699" t="s">
        <v>2722</v>
      </c>
      <c r="D97" s="1072">
        <f>'6-PlantInService'!C175</f>
        <v>0</v>
      </c>
      <c r="E97" s="1072">
        <f>'6-PlantInService'!D175</f>
        <v>9.2506143605108927E-3</v>
      </c>
      <c r="F97" s="1072">
        <f>'6-PlantInService'!E175</f>
        <v>6.2100262145633564E-2</v>
      </c>
      <c r="G97" s="1072">
        <f>'6-PlantInService'!F175</f>
        <v>6.110715994204037E-2</v>
      </c>
      <c r="H97" s="1072">
        <f>'6-PlantInService'!G175</f>
        <v>-0.13789824367395812</v>
      </c>
      <c r="I97" s="1072">
        <f>'6-PlantInService'!H175</f>
        <v>0.1025586815950983</v>
      </c>
      <c r="J97" s="1072">
        <f>'6-PlantInService'!I175</f>
        <v>-4.9184889194723192E-4</v>
      </c>
      <c r="K97" s="1072">
        <f>'6-PlantInService'!J175</f>
        <v>-1.2675697037026583E-3</v>
      </c>
      <c r="L97" s="1072">
        <f>'6-PlantInService'!K175</f>
        <v>-2.5416281397134449E-2</v>
      </c>
      <c r="M97" s="1072">
        <f>'6-PlantInService'!L175</f>
        <v>1.4757253963404306E-2</v>
      </c>
      <c r="N97" s="229"/>
    </row>
    <row r="98" spans="1:14" ht="13">
      <c r="A98" s="549">
        <f t="shared" si="8"/>
        <v>49</v>
      </c>
      <c r="C98" s="700" t="s">
        <v>2723</v>
      </c>
      <c r="D98" s="1072">
        <f>'6-PlantInService'!C176</f>
        <v>2.1381966955887664E-13</v>
      </c>
      <c r="E98" s="1072">
        <f>'6-PlantInService'!D176</f>
        <v>1.9683754399216959E-2</v>
      </c>
      <c r="F98" s="1072">
        <f>'6-PlantInService'!E176</f>
        <v>3.8248924988774587E-2</v>
      </c>
      <c r="G98" s="1072">
        <f>'6-PlantInService'!F176</f>
        <v>2.0358349429546049E-2</v>
      </c>
      <c r="H98" s="1072">
        <f>'6-PlantInService'!G176</f>
        <v>2.8621361632769761E-3</v>
      </c>
      <c r="I98" s="1072">
        <f>'6-PlantInService'!H176</f>
        <v>-2.5444232166549886E-2</v>
      </c>
      <c r="J98" s="1072">
        <f>'6-PlantInService'!I176</f>
        <v>0.21047979125249755</v>
      </c>
      <c r="K98" s="1072">
        <f>'6-PlantInService'!J176</f>
        <v>0.1444677874710372</v>
      </c>
      <c r="L98" s="1072">
        <f>'6-PlantInService'!K176</f>
        <v>0.25402968889035982</v>
      </c>
      <c r="M98" s="1072">
        <f>'6-PlantInService'!L176</f>
        <v>-4.9327526405905063E-3</v>
      </c>
      <c r="N98" s="229"/>
    </row>
    <row r="99" spans="1:14" ht="13">
      <c r="A99" s="549">
        <f t="shared" si="8"/>
        <v>50</v>
      </c>
      <c r="C99" s="700" t="s">
        <v>2724</v>
      </c>
      <c r="D99" s="1072">
        <f>'6-PlantInService'!C177</f>
        <v>0</v>
      </c>
      <c r="E99" s="1072">
        <f>'6-PlantInService'!D177</f>
        <v>8.0158879053100063E-15</v>
      </c>
      <c r="F99" s="1072">
        <f>'6-PlantInService'!E177</f>
        <v>4.4877674396774037E-2</v>
      </c>
      <c r="G99" s="1072">
        <f>'6-PlantInService'!F177</f>
        <v>8.243084495489289E-2</v>
      </c>
      <c r="H99" s="1072">
        <f>'6-PlantInService'!G177</f>
        <v>3.82798266786155E-2</v>
      </c>
      <c r="I99" s="1072">
        <f>'6-PlantInService'!H177</f>
        <v>3.0663698079852472E-2</v>
      </c>
      <c r="J99" s="1072">
        <f>'6-PlantInService'!I177</f>
        <v>1.3229991556501274E-2</v>
      </c>
      <c r="K99" s="1072">
        <f>'6-PlantInService'!J177</f>
        <v>3.8391569075777511E-3</v>
      </c>
      <c r="L99" s="1072">
        <f>'6-PlantInService'!K177</f>
        <v>-1.0702386516889428E-2</v>
      </c>
      <c r="M99" s="1072">
        <f>'6-PlantInService'!L177</f>
        <v>5.0529569593285003E-3</v>
      </c>
      <c r="N99" s="229"/>
    </row>
    <row r="100" spans="1:14" ht="13">
      <c r="A100" s="549">
        <f t="shared" si="8"/>
        <v>51</v>
      </c>
      <c r="C100" s="699" t="s">
        <v>2725</v>
      </c>
      <c r="D100" s="1072">
        <f>'6-PlantInService'!C178</f>
        <v>-2.1381966955887664E-13</v>
      </c>
      <c r="E100" s="1072">
        <f>'6-PlantInService'!D178</f>
        <v>-8.7037313347356152E-3</v>
      </c>
      <c r="F100" s="1072">
        <f>'6-PlantInService'!E178</f>
        <v>1.8362877145420849E-2</v>
      </c>
      <c r="G100" s="1072">
        <f>'6-PlantInService'!F178</f>
        <v>6.2052654515178794E-2</v>
      </c>
      <c r="H100" s="1072">
        <f>'6-PlantInService'!G178</f>
        <v>6.9260177648678062E-2</v>
      </c>
      <c r="I100" s="1072">
        <f>'6-PlantInService'!H178</f>
        <v>0.14109451764721284</v>
      </c>
      <c r="J100" s="1072">
        <f>'6-PlantInService'!I178</f>
        <v>0.90882410063511099</v>
      </c>
      <c r="K100" s="1072">
        <f>'6-PlantInService'!J178</f>
        <v>1.4985106203172741E-2</v>
      </c>
      <c r="L100" s="1072">
        <f>'6-PlantInService'!K178</f>
        <v>2.3015811226745373E-2</v>
      </c>
      <c r="M100" s="1072">
        <f>'6-PlantInService'!L178</f>
        <v>2.9730039011447626E-3</v>
      </c>
      <c r="N100" s="360"/>
    </row>
    <row r="102" spans="1:14" ht="13">
      <c r="C102" s="1" t="s">
        <v>2366</v>
      </c>
    </row>
    <row r="104" spans="1:14">
      <c r="C104" s="467" t="s">
        <v>2367</v>
      </c>
    </row>
    <row r="105" spans="1:14" ht="13">
      <c r="C105" s="16"/>
      <c r="D105" s="84">
        <v>350.1</v>
      </c>
      <c r="E105" s="84">
        <v>350.2</v>
      </c>
      <c r="F105" s="84">
        <v>352</v>
      </c>
      <c r="G105" s="84">
        <v>353</v>
      </c>
      <c r="H105" s="84">
        <v>354</v>
      </c>
      <c r="I105" s="84">
        <v>355</v>
      </c>
      <c r="J105" s="84">
        <v>356</v>
      </c>
      <c r="K105" s="84">
        <v>357</v>
      </c>
      <c r="L105" s="84">
        <v>358</v>
      </c>
      <c r="M105" s="84">
        <v>359</v>
      </c>
      <c r="N105" s="3" t="s">
        <v>196</v>
      </c>
    </row>
    <row r="106" spans="1:14" ht="13">
      <c r="A106" s="549">
        <f>A100+1</f>
        <v>52</v>
      </c>
      <c r="C106" s="16"/>
      <c r="D106" s="7">
        <f t="shared" ref="D106:M106" si="9">D24-D12</f>
        <v>0</v>
      </c>
      <c r="E106" s="7">
        <f t="shared" si="9"/>
        <v>2786148.3988649398</v>
      </c>
      <c r="F106" s="7">
        <f t="shared" si="9"/>
        <v>16525418.176826924</v>
      </c>
      <c r="G106" s="7">
        <f t="shared" si="9"/>
        <v>52932672.929435134</v>
      </c>
      <c r="H106" s="7">
        <f t="shared" si="9"/>
        <v>29791311.678209424</v>
      </c>
      <c r="I106" s="7">
        <f t="shared" si="9"/>
        <v>2144179.5933297873</v>
      </c>
      <c r="J106" s="7">
        <f t="shared" si="9"/>
        <v>5303435.0988628268</v>
      </c>
      <c r="K106" s="7">
        <f t="shared" si="9"/>
        <v>3313064.0590045359</v>
      </c>
      <c r="L106" s="7">
        <f t="shared" si="9"/>
        <v>3340215.614370551</v>
      </c>
      <c r="M106" s="7">
        <f t="shared" si="9"/>
        <v>2546017.0268675089</v>
      </c>
      <c r="N106" s="7">
        <f>SUM(D106:M106)</f>
        <v>118682462.57577163</v>
      </c>
    </row>
    <row r="107" spans="1:14">
      <c r="C107" s="467" t="s">
        <v>2368</v>
      </c>
    </row>
    <row r="108" spans="1:14" ht="13">
      <c r="C108" s="16"/>
      <c r="D108" s="84">
        <v>350.1</v>
      </c>
      <c r="E108" s="84">
        <v>350.2</v>
      </c>
      <c r="F108" s="84">
        <v>352</v>
      </c>
      <c r="G108" s="84">
        <v>353</v>
      </c>
      <c r="H108" s="84">
        <v>354</v>
      </c>
      <c r="I108" s="84">
        <v>355</v>
      </c>
      <c r="J108" s="84">
        <v>356</v>
      </c>
      <c r="K108" s="84">
        <v>357</v>
      </c>
      <c r="L108" s="84">
        <v>358</v>
      </c>
      <c r="M108" s="84">
        <v>359</v>
      </c>
      <c r="N108" s="3" t="s">
        <v>196</v>
      </c>
    </row>
    <row r="109" spans="1:14" ht="13">
      <c r="A109" s="549">
        <f>A106+1</f>
        <v>53</v>
      </c>
      <c r="C109" s="16"/>
      <c r="D109" s="7">
        <f t="shared" ref="D109:M109" si="10">D82</f>
        <v>0</v>
      </c>
      <c r="E109" s="7">
        <f t="shared" si="10"/>
        <v>2770085.2294938564</v>
      </c>
      <c r="F109" s="7">
        <f t="shared" si="10"/>
        <v>19889032.35067831</v>
      </c>
      <c r="G109" s="7">
        <f t="shared" si="10"/>
        <v>94399174.134261325</v>
      </c>
      <c r="H109" s="7">
        <f t="shared" si="10"/>
        <v>56324771.196208194</v>
      </c>
      <c r="I109" s="7">
        <f t="shared" si="10"/>
        <v>15388738.12768049</v>
      </c>
      <c r="J109" s="7">
        <f t="shared" si="10"/>
        <v>43140466.031878509</v>
      </c>
      <c r="K109" s="7">
        <f t="shared" si="10"/>
        <v>3554037.237123522</v>
      </c>
      <c r="L109" s="7">
        <f t="shared" si="10"/>
        <v>2293414.6681018118</v>
      </c>
      <c r="M109" s="7">
        <f t="shared" si="10"/>
        <v>2827426.231024391</v>
      </c>
      <c r="N109" s="7">
        <f>SUM(D109:M109)</f>
        <v>240587145.20645037</v>
      </c>
    </row>
    <row r="110" spans="1:14">
      <c r="C110" s="467" t="s">
        <v>2369</v>
      </c>
    </row>
    <row r="111" spans="1:14" ht="13">
      <c r="D111" s="84">
        <v>350.1</v>
      </c>
      <c r="E111" s="84">
        <v>350.2</v>
      </c>
      <c r="F111" s="84">
        <v>352</v>
      </c>
      <c r="G111" s="84">
        <v>353</v>
      </c>
      <c r="H111" s="84">
        <v>354</v>
      </c>
      <c r="I111" s="84">
        <v>355</v>
      </c>
      <c r="J111" s="84">
        <v>356</v>
      </c>
      <c r="K111" s="84">
        <v>357</v>
      </c>
      <c r="L111" s="84">
        <v>358</v>
      </c>
      <c r="M111" s="84">
        <v>359</v>
      </c>
      <c r="N111" s="3" t="s">
        <v>196</v>
      </c>
    </row>
    <row r="112" spans="1:14" ht="13">
      <c r="A112" s="549">
        <f>A109+1</f>
        <v>54</v>
      </c>
      <c r="D112" s="7">
        <f t="shared" ref="D112:M112" si="11">D106-D109</f>
        <v>0</v>
      </c>
      <c r="E112" s="7">
        <f t="shared" si="11"/>
        <v>16063.169371083379</v>
      </c>
      <c r="F112" s="7">
        <f t="shared" si="11"/>
        <v>-3363614.1738513857</v>
      </c>
      <c r="G112" s="7">
        <f t="shared" si="11"/>
        <v>-41466501.204826191</v>
      </c>
      <c r="H112" s="7">
        <f t="shared" si="11"/>
        <v>-26533459.51799877</v>
      </c>
      <c r="I112" s="7">
        <f t="shared" si="11"/>
        <v>-13244558.534350703</v>
      </c>
      <c r="J112" s="7">
        <f t="shared" si="11"/>
        <v>-37837030.933015682</v>
      </c>
      <c r="K112" s="7">
        <f t="shared" si="11"/>
        <v>-240973.17811898608</v>
      </c>
      <c r="L112" s="7">
        <f t="shared" si="11"/>
        <v>1046800.9462687392</v>
      </c>
      <c r="M112" s="7">
        <f t="shared" si="11"/>
        <v>-281409.20415688213</v>
      </c>
      <c r="N112" s="7">
        <f>SUM(D112:M112)</f>
        <v>-121904682.63067879</v>
      </c>
    </row>
    <row r="114" spans="1:14" ht="13">
      <c r="C114" s="1" t="s">
        <v>2370</v>
      </c>
      <c r="D114" s="463"/>
      <c r="E114" s="463"/>
      <c r="F114" s="463"/>
      <c r="G114" s="463"/>
      <c r="H114" s="463"/>
      <c r="I114" s="463"/>
      <c r="J114" s="463"/>
      <c r="K114" s="463"/>
      <c r="L114" s="463"/>
    </row>
    <row r="115" spans="1:14">
      <c r="C115" s="463"/>
      <c r="D115" s="463"/>
      <c r="E115" s="463"/>
      <c r="F115" s="463"/>
      <c r="G115" s="463"/>
      <c r="H115" s="463"/>
      <c r="I115" s="463"/>
      <c r="J115" s="463"/>
      <c r="K115" s="463"/>
      <c r="L115" s="463"/>
    </row>
    <row r="116" spans="1:14" ht="13">
      <c r="C116" s="84" t="s">
        <v>358</v>
      </c>
      <c r="D116" s="84" t="s">
        <v>342</v>
      </c>
      <c r="E116" s="84" t="s">
        <v>343</v>
      </c>
      <c r="F116" s="84" t="s">
        <v>344</v>
      </c>
      <c r="G116" s="84" t="s">
        <v>345</v>
      </c>
      <c r="H116" s="84" t="s">
        <v>346</v>
      </c>
      <c r="I116" s="84" t="s">
        <v>347</v>
      </c>
      <c r="J116" s="84" t="s">
        <v>534</v>
      </c>
      <c r="K116" s="84" t="s">
        <v>949</v>
      </c>
      <c r="L116" s="84" t="s">
        <v>961</v>
      </c>
      <c r="M116" s="84" t="s">
        <v>964</v>
      </c>
      <c r="N116" s="84" t="s">
        <v>982</v>
      </c>
    </row>
    <row r="117" spans="1:14">
      <c r="C117" s="243"/>
      <c r="D117" s="227"/>
      <c r="E117" s="227"/>
      <c r="F117" s="227"/>
      <c r="G117" s="227"/>
      <c r="H117" s="227"/>
      <c r="I117" s="227"/>
      <c r="J117" s="227"/>
      <c r="K117" s="227"/>
      <c r="L117" s="227"/>
      <c r="N117" s="243" t="s">
        <v>1214</v>
      </c>
    </row>
    <row r="118" spans="1:14" ht="13">
      <c r="C118" s="122" t="s">
        <v>1748</v>
      </c>
      <c r="D118" s="84">
        <v>350.1</v>
      </c>
      <c r="E118" s="84">
        <v>350.2</v>
      </c>
      <c r="F118" s="84">
        <v>352</v>
      </c>
      <c r="G118" s="84">
        <v>353</v>
      </c>
      <c r="H118" s="84">
        <v>354</v>
      </c>
      <c r="I118" s="84">
        <v>355</v>
      </c>
      <c r="J118" s="84">
        <v>356</v>
      </c>
      <c r="K118" s="84">
        <v>357</v>
      </c>
      <c r="L118" s="84">
        <v>358</v>
      </c>
      <c r="M118" s="84">
        <v>359</v>
      </c>
      <c r="N118" s="3" t="s">
        <v>196</v>
      </c>
    </row>
    <row r="119" spans="1:14" ht="13">
      <c r="A119" s="549">
        <f>A112+1</f>
        <v>55</v>
      </c>
      <c r="C119" s="700" t="s">
        <v>2714</v>
      </c>
      <c r="D119" s="231">
        <f>D$112*D89</f>
        <v>0</v>
      </c>
      <c r="E119" s="231">
        <f t="shared" ref="E119:M119" si="12">E$112*E89</f>
        <v>15686.334712205356</v>
      </c>
      <c r="F119" s="231">
        <f t="shared" si="12"/>
        <v>-135392.60204920339</v>
      </c>
      <c r="G119" s="231">
        <f t="shared" si="12"/>
        <v>-675302.04111524473</v>
      </c>
      <c r="H119" s="231">
        <f t="shared" si="12"/>
        <v>1320716.420856694</v>
      </c>
      <c r="I119" s="231">
        <f t="shared" si="12"/>
        <v>-1477224.9573759788</v>
      </c>
      <c r="J119" s="231">
        <f t="shared" si="12"/>
        <v>-1401784.6028564819</v>
      </c>
      <c r="K119" s="231">
        <f t="shared" si="12"/>
        <v>-5.4674631686431079</v>
      </c>
      <c r="L119" s="231">
        <f t="shared" si="12"/>
        <v>-44150.232329387385</v>
      </c>
      <c r="M119" s="231">
        <f t="shared" si="12"/>
        <v>-37284.622161950196</v>
      </c>
      <c r="N119" s="229">
        <f>SUM(D119:M119)</f>
        <v>-2434741.7697825157</v>
      </c>
    </row>
    <row r="120" spans="1:14" ht="13">
      <c r="A120" s="549">
        <f t="shared" ref="A120:A131" si="13">A119+1</f>
        <v>56</v>
      </c>
      <c r="C120" s="699" t="s">
        <v>2715</v>
      </c>
      <c r="D120" s="231">
        <f t="shared" ref="D120:M130" si="14">D$112*D90</f>
        <v>0</v>
      </c>
      <c r="E120" s="231">
        <f t="shared" si="14"/>
        <v>0</v>
      </c>
      <c r="F120" s="231">
        <f t="shared" si="14"/>
        <v>-189944.04208457845</v>
      </c>
      <c r="G120" s="231">
        <f t="shared" si="14"/>
        <v>-4025796.5943417647</v>
      </c>
      <c r="H120" s="231">
        <f t="shared" si="14"/>
        <v>287482.73196482722</v>
      </c>
      <c r="I120" s="231">
        <f t="shared" si="14"/>
        <v>-1377841.7976709614</v>
      </c>
      <c r="J120" s="231">
        <f t="shared" si="14"/>
        <v>-413892.95411581942</v>
      </c>
      <c r="K120" s="231">
        <f t="shared" si="14"/>
        <v>-928.17342398859262</v>
      </c>
      <c r="L120" s="231">
        <f t="shared" si="14"/>
        <v>-16262.704862078996</v>
      </c>
      <c r="M120" s="231">
        <f t="shared" si="14"/>
        <v>-4278.3979965415247</v>
      </c>
      <c r="N120" s="229">
        <f t="shared" ref="N120:N130" si="15">SUM(D120:M120)</f>
        <v>-5741461.9325309061</v>
      </c>
    </row>
    <row r="121" spans="1:14" ht="13">
      <c r="A121" s="549">
        <f t="shared" si="13"/>
        <v>57</v>
      </c>
      <c r="C121" s="699" t="s">
        <v>2716</v>
      </c>
      <c r="D121" s="231">
        <f t="shared" si="14"/>
        <v>0</v>
      </c>
      <c r="E121" s="231">
        <f t="shared" si="14"/>
        <v>70.006589188687926</v>
      </c>
      <c r="F121" s="231">
        <f t="shared" si="14"/>
        <v>-159396.29470874026</v>
      </c>
      <c r="G121" s="231">
        <f t="shared" si="14"/>
        <v>-1772085.3786779379</v>
      </c>
      <c r="H121" s="231">
        <f t="shared" si="14"/>
        <v>-1668024.6074466356</v>
      </c>
      <c r="I121" s="231">
        <f t="shared" si="14"/>
        <v>-1762116.9261003879</v>
      </c>
      <c r="J121" s="231">
        <f t="shared" si="14"/>
        <v>-1035454.2304564571</v>
      </c>
      <c r="K121" s="231">
        <f t="shared" si="14"/>
        <v>-10.518083287262618</v>
      </c>
      <c r="L121" s="231">
        <f t="shared" si="14"/>
        <v>82590.22936651943</v>
      </c>
      <c r="M121" s="231">
        <f t="shared" si="14"/>
        <v>-778.73737920235169</v>
      </c>
      <c r="N121" s="229">
        <f t="shared" si="15"/>
        <v>-6315206.4568969412</v>
      </c>
    </row>
    <row r="122" spans="1:14" ht="13">
      <c r="A122" s="549">
        <f t="shared" si="13"/>
        <v>58</v>
      </c>
      <c r="C122" s="700" t="s">
        <v>2717</v>
      </c>
      <c r="D122" s="231">
        <f t="shared" si="14"/>
        <v>0</v>
      </c>
      <c r="E122" s="231">
        <f t="shared" si="14"/>
        <v>11.016465756829156</v>
      </c>
      <c r="F122" s="231">
        <f t="shared" si="14"/>
        <v>-432433.65902946942</v>
      </c>
      <c r="G122" s="231">
        <f t="shared" si="14"/>
        <v>-1066178.3138673119</v>
      </c>
      <c r="H122" s="231">
        <f t="shared" si="14"/>
        <v>-8137531.931784668</v>
      </c>
      <c r="I122" s="231">
        <f t="shared" si="14"/>
        <v>-862974.506592219</v>
      </c>
      <c r="J122" s="231">
        <f t="shared" si="14"/>
        <v>-1580041.7136311673</v>
      </c>
      <c r="K122" s="231">
        <f t="shared" si="14"/>
        <v>1798.6290845822762</v>
      </c>
      <c r="L122" s="231">
        <f t="shared" si="14"/>
        <v>-32435.24273920757</v>
      </c>
      <c r="M122" s="231">
        <f t="shared" si="14"/>
        <v>-617.71787183001049</v>
      </c>
      <c r="N122" s="229">
        <f t="shared" si="15"/>
        <v>-12110403.439965537</v>
      </c>
    </row>
    <row r="123" spans="1:14" ht="13">
      <c r="A123" s="549">
        <f t="shared" si="13"/>
        <v>59</v>
      </c>
      <c r="C123" s="699" t="s">
        <v>2718</v>
      </c>
      <c r="D123" s="231">
        <f t="shared" si="14"/>
        <v>0</v>
      </c>
      <c r="E123" s="231">
        <f t="shared" si="14"/>
        <v>-43.179558196043686</v>
      </c>
      <c r="F123" s="231">
        <f t="shared" si="14"/>
        <v>-1109868.7588351399</v>
      </c>
      <c r="G123" s="231">
        <f t="shared" si="14"/>
        <v>-5135245.5061881281</v>
      </c>
      <c r="H123" s="231">
        <f t="shared" si="14"/>
        <v>-224977.61085189137</v>
      </c>
      <c r="I123" s="231">
        <f t="shared" si="14"/>
        <v>-444438.85694732127</v>
      </c>
      <c r="J123" s="231">
        <f t="shared" si="14"/>
        <v>-283469.11341190612</v>
      </c>
      <c r="K123" s="231">
        <f t="shared" si="14"/>
        <v>-0.81340587716052704</v>
      </c>
      <c r="L123" s="231">
        <f t="shared" si="14"/>
        <v>50380.7652554944</v>
      </c>
      <c r="M123" s="231">
        <f t="shared" si="14"/>
        <v>-836.7370511938235</v>
      </c>
      <c r="N123" s="229">
        <f t="shared" si="15"/>
        <v>-7148499.8109941594</v>
      </c>
    </row>
    <row r="124" spans="1:14" ht="13">
      <c r="A124" s="549">
        <f t="shared" si="13"/>
        <v>60</v>
      </c>
      <c r="C124" s="699" t="s">
        <v>2719</v>
      </c>
      <c r="D124" s="231">
        <f t="shared" si="14"/>
        <v>0</v>
      </c>
      <c r="E124" s="231">
        <f t="shared" si="14"/>
        <v>-0.13929252082484134</v>
      </c>
      <c r="F124" s="231">
        <f t="shared" si="14"/>
        <v>426943.68711182481</v>
      </c>
      <c r="G124" s="231">
        <f t="shared" si="14"/>
        <v>-6841935.9267242644</v>
      </c>
      <c r="H124" s="231">
        <f t="shared" si="14"/>
        <v>-474217.6277732937</v>
      </c>
      <c r="I124" s="231">
        <f t="shared" si="14"/>
        <v>-3635509.4914579946</v>
      </c>
      <c r="J124" s="231">
        <f t="shared" si="14"/>
        <v>10072746.906401811</v>
      </c>
      <c r="K124" s="231">
        <f t="shared" si="14"/>
        <v>-184876.54691788449</v>
      </c>
      <c r="L124" s="231">
        <f t="shared" si="14"/>
        <v>772651.10492013535</v>
      </c>
      <c r="M124" s="231">
        <f t="shared" si="14"/>
        <v>-221194.71557932184</v>
      </c>
      <c r="N124" s="229">
        <f t="shared" si="15"/>
        <v>-85392.749311508262</v>
      </c>
    </row>
    <row r="125" spans="1:14" ht="13">
      <c r="A125" s="549">
        <f t="shared" si="13"/>
        <v>61</v>
      </c>
      <c r="C125" s="700" t="s">
        <v>2720</v>
      </c>
      <c r="D125" s="231">
        <f t="shared" si="14"/>
        <v>0</v>
      </c>
      <c r="E125" s="231">
        <f t="shared" si="14"/>
        <v>0</v>
      </c>
      <c r="F125" s="231">
        <f t="shared" si="14"/>
        <v>-1077163.6739341093</v>
      </c>
      <c r="G125" s="231">
        <f t="shared" si="14"/>
        <v>-2950343.7974004876</v>
      </c>
      <c r="H125" s="231">
        <f t="shared" si="14"/>
        <v>-2065148.1055783085</v>
      </c>
      <c r="I125" s="231">
        <f t="shared" si="14"/>
        <v>-753935.87461823574</v>
      </c>
      <c r="J125" s="231">
        <f t="shared" si="14"/>
        <v>-1829171.6282324733</v>
      </c>
      <c r="K125" s="231">
        <f t="shared" si="14"/>
        <v>-17799.374298938375</v>
      </c>
      <c r="L125" s="231">
        <f t="shared" si="14"/>
        <v>-40661.106633761534</v>
      </c>
      <c r="M125" s="231">
        <f t="shared" si="14"/>
        <v>-10213.240812727712</v>
      </c>
      <c r="N125" s="229">
        <f t="shared" si="15"/>
        <v>-8744436.8015090432</v>
      </c>
    </row>
    <row r="126" spans="1:14" ht="13">
      <c r="A126" s="549">
        <f t="shared" si="13"/>
        <v>62</v>
      </c>
      <c r="C126" s="699" t="s">
        <v>2721</v>
      </c>
      <c r="D126" s="231">
        <f t="shared" si="14"/>
        <v>0</v>
      </c>
      <c r="E126" s="231">
        <f t="shared" si="14"/>
        <v>14.16229920661678</v>
      </c>
      <c r="F126" s="231">
        <f t="shared" si="14"/>
        <v>-136106.06661270384</v>
      </c>
      <c r="G126" s="231">
        <f t="shared" si="14"/>
        <v>-9630298.7991491519</v>
      </c>
      <c r="H126" s="231">
        <f t="shared" si="14"/>
        <v>-16301325.528104626</v>
      </c>
      <c r="I126" s="231">
        <f t="shared" si="14"/>
        <v>365692.45766578487</v>
      </c>
      <c r="J126" s="231">
        <f t="shared" si="14"/>
        <v>1467145.8821109927</v>
      </c>
      <c r="K126" s="231">
        <f t="shared" si="14"/>
        <v>-107.35952015280434</v>
      </c>
      <c r="L126" s="231">
        <f t="shared" si="14"/>
        <v>22485.697359310238</v>
      </c>
      <c r="M126" s="231">
        <f t="shared" si="14"/>
        <v>-1181.7509472833419</v>
      </c>
      <c r="N126" s="229">
        <f t="shared" si="15"/>
        <v>-24213681.30489862</v>
      </c>
    </row>
    <row r="127" spans="1:14" ht="13">
      <c r="A127" s="549">
        <f t="shared" si="13"/>
        <v>63</v>
      </c>
      <c r="C127" s="699" t="s">
        <v>2722</v>
      </c>
      <c r="D127" s="231">
        <f t="shared" si="14"/>
        <v>0</v>
      </c>
      <c r="E127" s="231">
        <f t="shared" si="14"/>
        <v>148.59418525946262</v>
      </c>
      <c r="F127" s="231">
        <f t="shared" si="14"/>
        <v>-208881.32195293973</v>
      </c>
      <c r="G127" s="231">
        <f t="shared" si="14"/>
        <v>-2533900.1213601236</v>
      </c>
      <c r="H127" s="231">
        <f t="shared" si="14"/>
        <v>3658917.4661260978</v>
      </c>
      <c r="I127" s="231">
        <f t="shared" si="14"/>
        <v>-1358344.4615921155</v>
      </c>
      <c r="J127" s="231">
        <f t="shared" si="14"/>
        <v>18610.1017389769</v>
      </c>
      <c r="K127" s="231">
        <f t="shared" si="14"/>
        <v>305.45029998857109</v>
      </c>
      <c r="L127" s="231">
        <f t="shared" si="14"/>
        <v>-26605.787417152893</v>
      </c>
      <c r="M127" s="231">
        <f t="shared" si="14"/>
        <v>-4152.8270933826007</v>
      </c>
      <c r="N127" s="229">
        <f t="shared" si="15"/>
        <v>-453902.9070653916</v>
      </c>
    </row>
    <row r="128" spans="1:14" ht="13">
      <c r="A128" s="549">
        <f t="shared" si="13"/>
        <v>64</v>
      </c>
      <c r="C128" s="700" t="s">
        <v>2723</v>
      </c>
      <c r="D128" s="231">
        <f t="shared" si="14"/>
        <v>0</v>
      </c>
      <c r="E128" s="231">
        <f t="shared" si="14"/>
        <v>316.18348077342955</v>
      </c>
      <c r="F128" s="231">
        <f t="shared" si="14"/>
        <v>-128654.62622682065</v>
      </c>
      <c r="G128" s="231">
        <f t="shared" si="14"/>
        <v>-844189.5211485438</v>
      </c>
      <c r="H128" s="231">
        <f t="shared" si="14"/>
        <v>-75942.374023309967</v>
      </c>
      <c r="I128" s="231">
        <f t="shared" si="14"/>
        <v>336997.62229147897</v>
      </c>
      <c r="J128" s="231">
        <f t="shared" si="14"/>
        <v>-7963930.3723954335</v>
      </c>
      <c r="K128" s="231">
        <f t="shared" si="14"/>
        <v>-34812.861882714074</v>
      </c>
      <c r="L128" s="231">
        <f t="shared" si="14"/>
        <v>265918.51871078205</v>
      </c>
      <c r="M128" s="231">
        <f t="shared" si="14"/>
        <v>1388.1219948913333</v>
      </c>
      <c r="N128" s="229">
        <f t="shared" si="15"/>
        <v>-8442909.3091988955</v>
      </c>
    </row>
    <row r="129" spans="1:14" ht="13">
      <c r="A129" s="549">
        <f t="shared" si="13"/>
        <v>65</v>
      </c>
      <c r="C129" s="700" t="s">
        <v>2724</v>
      </c>
      <c r="D129" s="231">
        <f t="shared" si="14"/>
        <v>0</v>
      </c>
      <c r="E129" s="231">
        <f t="shared" si="14"/>
        <v>1.2876056508261341E-10</v>
      </c>
      <c r="F129" s="231">
        <f t="shared" si="14"/>
        <v>-150951.18169047657</v>
      </c>
      <c r="G129" s="231">
        <f t="shared" si="14"/>
        <v>-3418118.731636907</v>
      </c>
      <c r="H129" s="231">
        <f t="shared" si="14"/>
        <v>-1015696.2315330537</v>
      </c>
      <c r="I129" s="231">
        <f t="shared" si="14"/>
        <v>-406127.14409826329</v>
      </c>
      <c r="J129" s="231">
        <f t="shared" si="14"/>
        <v>-500583.59976687498</v>
      </c>
      <c r="K129" s="231">
        <f t="shared" si="14"/>
        <v>-925.13384131646922</v>
      </c>
      <c r="L129" s="231">
        <f t="shared" si="14"/>
        <v>-11203.268333213649</v>
      </c>
      <c r="M129" s="231">
        <f t="shared" si="14"/>
        <v>-1421.9485965636122</v>
      </c>
      <c r="N129" s="229">
        <f t="shared" si="15"/>
        <v>-5505027.2394966679</v>
      </c>
    </row>
    <row r="130" spans="1:14" ht="13">
      <c r="A130" s="549">
        <f t="shared" si="13"/>
        <v>66</v>
      </c>
      <c r="C130" s="699" t="s">
        <v>2725</v>
      </c>
      <c r="D130" s="445">
        <f t="shared" si="14"/>
        <v>0</v>
      </c>
      <c r="E130" s="445">
        <f t="shared" si="14"/>
        <v>-139.80951059026378</v>
      </c>
      <c r="F130" s="445">
        <f t="shared" si="14"/>
        <v>-61765.633839029237</v>
      </c>
      <c r="G130" s="445">
        <f t="shared" si="14"/>
        <v>-2573106.473216325</v>
      </c>
      <c r="H130" s="445">
        <f t="shared" si="14"/>
        <v>-1837712.1198506025</v>
      </c>
      <c r="I130" s="445">
        <f t="shared" si="14"/>
        <v>-1868734.5978544888</v>
      </c>
      <c r="J130" s="445">
        <f t="shared" si="14"/>
        <v>-34387205.608400851</v>
      </c>
      <c r="K130" s="445">
        <f t="shared" si="14"/>
        <v>-3611.0086662290678</v>
      </c>
      <c r="L130" s="445">
        <f t="shared" si="14"/>
        <v>24092.972971299729</v>
      </c>
      <c r="M130" s="445">
        <f t="shared" si="14"/>
        <v>-836.63066177645351</v>
      </c>
      <c r="N130" s="360">
        <f t="shared" si="15"/>
        <v>-40709018.909028597</v>
      </c>
    </row>
    <row r="131" spans="1:14" ht="13">
      <c r="A131" s="549">
        <f t="shared" si="13"/>
        <v>67</v>
      </c>
      <c r="C131" s="1049" t="s">
        <v>4</v>
      </c>
      <c r="D131" s="229">
        <f>SUM(D119:D130)</f>
        <v>0</v>
      </c>
      <c r="E131" s="229">
        <f t="shared" ref="E131:M131" si="16">SUM(E119:E130)</f>
        <v>16063.169371083381</v>
      </c>
      <c r="F131" s="229">
        <f t="shared" si="16"/>
        <v>-3363614.1738513862</v>
      </c>
      <c r="G131" s="229">
        <f t="shared" si="16"/>
        <v>-41466501.204826199</v>
      </c>
      <c r="H131" s="229">
        <f t="shared" si="16"/>
        <v>-26533459.51799877</v>
      </c>
      <c r="I131" s="229">
        <f t="shared" si="16"/>
        <v>-13244558.534350704</v>
      </c>
      <c r="J131" s="229">
        <f t="shared" si="16"/>
        <v>-37837030.933015682</v>
      </c>
      <c r="K131" s="229">
        <f t="shared" si="16"/>
        <v>-240973.17811898608</v>
      </c>
      <c r="L131" s="229">
        <f t="shared" si="16"/>
        <v>1046800.9462687392</v>
      </c>
      <c r="M131" s="229">
        <f t="shared" si="16"/>
        <v>-281409.20415688213</v>
      </c>
      <c r="N131" s="229">
        <f>SUM(N119:N130)</f>
        <v>-121904682.6306788</v>
      </c>
    </row>
    <row r="132" spans="1:14">
      <c r="D132" s="14"/>
      <c r="E132" s="14"/>
      <c r="F132" s="14"/>
      <c r="G132" s="14"/>
      <c r="H132" s="14"/>
      <c r="I132" s="14"/>
      <c r="J132" s="14"/>
      <c r="K132" s="14"/>
      <c r="L132" s="14"/>
      <c r="M132" s="14"/>
      <c r="N132" s="14"/>
    </row>
    <row r="133" spans="1:14" ht="13">
      <c r="B133" s="385" t="s">
        <v>230</v>
      </c>
      <c r="D133" s="14"/>
      <c r="E133" s="14"/>
      <c r="F133" s="14"/>
      <c r="G133" s="14"/>
      <c r="H133" s="14"/>
      <c r="I133" s="14"/>
      <c r="J133" s="14"/>
      <c r="K133" s="14"/>
      <c r="L133" s="14"/>
      <c r="M133" s="14"/>
      <c r="N133" s="14"/>
    </row>
    <row r="134" spans="1:14">
      <c r="B134" s="859" t="s">
        <v>2277</v>
      </c>
      <c r="C134" s="14"/>
      <c r="D134" s="14"/>
      <c r="E134" s="14"/>
      <c r="F134" s="14"/>
      <c r="G134" s="14"/>
      <c r="H134" s="14"/>
      <c r="I134" s="14"/>
      <c r="J134" s="14"/>
    </row>
    <row r="135" spans="1:14">
      <c r="B135" s="1071" t="s">
        <v>1868</v>
      </c>
      <c r="C135" s="14"/>
      <c r="D135" s="14"/>
      <c r="E135" s="14"/>
      <c r="F135" s="14"/>
      <c r="G135" s="14"/>
      <c r="H135" s="14"/>
      <c r="I135" s="14"/>
      <c r="J135" s="14"/>
    </row>
    <row r="136" spans="1:14">
      <c r="B136" s="591" t="s">
        <v>1848</v>
      </c>
      <c r="C136" s="575"/>
      <c r="D136" s="575"/>
      <c r="E136" s="575"/>
      <c r="F136" s="575"/>
      <c r="G136" s="575"/>
      <c r="H136" s="575"/>
      <c r="I136" s="575"/>
      <c r="J136" s="14"/>
      <c r="K136" s="14"/>
      <c r="L136" s="575"/>
      <c r="M136" s="575"/>
      <c r="N136" s="14"/>
    </row>
    <row r="137" spans="1:14">
      <c r="B137" s="864" t="s">
        <v>2416</v>
      </c>
      <c r="C137" s="575"/>
      <c r="D137" s="575"/>
      <c r="E137" s="575"/>
      <c r="F137" s="575"/>
      <c r="G137" s="575"/>
      <c r="H137" s="575"/>
      <c r="I137" s="575"/>
      <c r="J137" s="575"/>
      <c r="K137" s="575"/>
      <c r="L137" s="575"/>
      <c r="M137" s="575"/>
      <c r="N137" s="14"/>
    </row>
    <row r="138" spans="1:14">
      <c r="B138" s="864" t="s">
        <v>2371</v>
      </c>
      <c r="C138" s="575"/>
      <c r="D138" s="575"/>
      <c r="E138" s="575"/>
      <c r="F138" s="575"/>
      <c r="G138" s="575"/>
      <c r="H138" s="575"/>
      <c r="I138" s="575"/>
      <c r="J138" s="575"/>
      <c r="K138" s="575"/>
      <c r="L138" s="575"/>
      <c r="M138" s="575"/>
      <c r="N138" s="14"/>
    </row>
    <row r="139" spans="1:14">
      <c r="B139" s="864" t="s">
        <v>1849</v>
      </c>
      <c r="C139" s="575"/>
      <c r="D139" s="575"/>
      <c r="E139" s="575"/>
      <c r="F139" s="575"/>
      <c r="G139" s="575"/>
      <c r="H139" s="575"/>
      <c r="I139" s="575"/>
      <c r="J139" s="575"/>
      <c r="K139" s="575"/>
      <c r="L139" s="575"/>
      <c r="M139" s="575"/>
      <c r="N139" s="14"/>
    </row>
    <row r="140" spans="1:14">
      <c r="B140" s="591" t="s">
        <v>1850</v>
      </c>
      <c r="C140" s="575"/>
      <c r="D140" s="575"/>
      <c r="E140" s="575"/>
      <c r="F140" s="575"/>
      <c r="G140" s="575"/>
      <c r="H140" s="575"/>
      <c r="I140" s="575"/>
      <c r="J140" s="575"/>
      <c r="K140" s="575"/>
      <c r="L140" s="575"/>
      <c r="M140" s="575"/>
      <c r="N140" s="14"/>
    </row>
    <row r="141" spans="1:14">
      <c r="B141" s="864" t="s">
        <v>2263</v>
      </c>
      <c r="C141" s="575"/>
      <c r="D141" s="575"/>
      <c r="E141" s="575"/>
      <c r="F141" s="575"/>
      <c r="G141" s="575"/>
      <c r="H141" s="575"/>
      <c r="I141" s="575"/>
      <c r="J141" s="575"/>
      <c r="K141" s="575"/>
      <c r="L141" s="575"/>
      <c r="M141" s="575"/>
      <c r="N141" s="14"/>
    </row>
    <row r="142" spans="1:14">
      <c r="B142" s="864" t="s">
        <v>2372</v>
      </c>
      <c r="C142" s="575"/>
      <c r="D142" s="575"/>
      <c r="E142" s="575"/>
      <c r="F142" s="575"/>
      <c r="G142" s="575"/>
      <c r="H142" s="575"/>
      <c r="I142" s="575"/>
      <c r="J142" s="575"/>
      <c r="K142" s="575"/>
      <c r="L142" s="575"/>
      <c r="M142" s="575"/>
      <c r="N142" s="14"/>
    </row>
    <row r="143" spans="1:14">
      <c r="B143" s="864" t="s">
        <v>2264</v>
      </c>
      <c r="C143" s="575"/>
      <c r="D143" s="575"/>
      <c r="E143" s="575"/>
      <c r="F143" s="575"/>
      <c r="G143" s="575"/>
      <c r="H143" s="575"/>
      <c r="I143" s="575"/>
      <c r="J143" s="575"/>
      <c r="K143" s="575"/>
      <c r="L143" s="575"/>
      <c r="M143" s="575"/>
      <c r="N143" s="14"/>
    </row>
    <row r="144" spans="1:14">
      <c r="B144" s="465"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462"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465" t="s">
        <v>2373</v>
      </c>
      <c r="C147" s="14"/>
      <c r="D147" s="14"/>
      <c r="E147" s="14"/>
      <c r="F147" s="14"/>
      <c r="G147" s="14"/>
      <c r="H147" s="14"/>
      <c r="I147" s="14"/>
      <c r="J147" s="14"/>
    </row>
    <row r="148" spans="2:10">
      <c r="B148" s="465"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465" t="str">
        <f>"7) Line "&amp;A106&amp;" - Line "&amp;A109&amp;"."</f>
        <v>7) Line 52 - Line 53.</v>
      </c>
      <c r="C150" s="14"/>
      <c r="D150" s="14"/>
      <c r="E150" s="14"/>
      <c r="F150" s="14"/>
      <c r="G150" s="14"/>
      <c r="H150" s="14"/>
      <c r="I150" s="14"/>
      <c r="J150" s="14"/>
    </row>
    <row r="151" spans="2:10">
      <c r="B151" s="465" t="s">
        <v>2374</v>
      </c>
      <c r="C151" s="14"/>
      <c r="D151" s="14"/>
      <c r="E151" s="14"/>
      <c r="F151" s="14"/>
      <c r="G151" s="14"/>
      <c r="H151" s="14"/>
      <c r="I151" s="14"/>
      <c r="J151" s="14"/>
    </row>
    <row r="152" spans="2:10">
      <c r="B152" s="462" t="s">
        <v>2375</v>
      </c>
      <c r="C152" s="14"/>
      <c r="D152" s="14"/>
      <c r="E152" s="14"/>
      <c r="F152" s="14"/>
      <c r="G152" s="14"/>
      <c r="H152" s="14"/>
      <c r="I152" s="14"/>
      <c r="J152" s="14"/>
    </row>
    <row r="153" spans="2:10">
      <c r="B153" s="465"/>
      <c r="C153" s="14"/>
      <c r="D153" s="14"/>
      <c r="E153" s="14"/>
      <c r="F153" s="14"/>
      <c r="G153" s="14"/>
      <c r="H153" s="14"/>
      <c r="I153" s="14"/>
      <c r="J153" s="14"/>
    </row>
    <row r="154" spans="2:10">
      <c r="B154" s="465"/>
      <c r="C154" s="14"/>
      <c r="D154" s="14"/>
      <c r="E154" s="14"/>
      <c r="F154" s="14"/>
      <c r="G154" s="14"/>
      <c r="H154" s="14"/>
      <c r="I154" s="14"/>
      <c r="J154" s="14"/>
    </row>
  </sheetData>
  <phoneticPr fontId="23" type="noConversion"/>
  <pageMargins left="0.75" right="0.75" top="1" bottom="1" header="0.5" footer="0.5"/>
  <pageSetup scale="65" orientation="landscape" cellComments="asDisplayed" r:id="rId1"/>
  <headerFooter alignWithMargins="0">
    <oddHeader>&amp;CSchedule 8
Accumulated Depreciation
&amp;RTO2022 Draft Annual Update 
Attachment 1</oddHeader>
    <oddFooter>&amp;R&amp;A</oddFooter>
  </headerFooter>
  <rowBreaks count="3" manualBreakCount="3">
    <brk id="36" max="16383" man="1"/>
    <brk id="83" max="16383" man="1"/>
    <brk id="113" max="16383" man="1"/>
  </rowBreaks>
  <ignoredErrors>
    <ignoredError sqref="D35:F35"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65"/>
  <sheetViews>
    <sheetView zoomScaleNormal="100" zoomScaleSheetLayoutView="80" zoomScalePageLayoutView="50" workbookViewId="0"/>
  </sheetViews>
  <sheetFormatPr defaultRowHeight="13"/>
  <cols>
    <col min="1" max="1" width="5.81640625" customWidth="1"/>
    <col min="2" max="2" width="9.54296875" style="517" customWidth="1"/>
    <col min="3" max="3" width="50.54296875" style="517" customWidth="1"/>
    <col min="4" max="4" width="23.453125" style="517" bestFit="1" customWidth="1"/>
    <col min="5" max="5" width="18.453125" style="517" customWidth="1"/>
    <col min="6" max="6" width="15.54296875" style="517" customWidth="1"/>
    <col min="7" max="7" width="16.54296875" style="517" customWidth="1"/>
    <col min="8" max="8" width="15.54296875" style="517" customWidth="1"/>
    <col min="9" max="9" width="17.453125" style="517" customWidth="1"/>
    <col min="10" max="10" width="29.453125" style="517" customWidth="1"/>
    <col min="11" max="11" width="25.54296875" style="14" customWidth="1"/>
  </cols>
  <sheetData>
    <row r="1" spans="1:12">
      <c r="A1" s="1" t="s">
        <v>2647</v>
      </c>
      <c r="B1" s="227"/>
      <c r="C1" s="235"/>
      <c r="D1" s="235"/>
      <c r="E1" s="235"/>
      <c r="F1" s="383" t="s">
        <v>301</v>
      </c>
      <c r="G1" s="383"/>
      <c r="H1" s="235"/>
      <c r="I1" s="227"/>
      <c r="J1" s="227"/>
      <c r="K1" s="516"/>
      <c r="L1" s="516"/>
    </row>
    <row r="2" spans="1:12">
      <c r="A2" s="227"/>
      <c r="B2" s="580"/>
      <c r="C2" s="581"/>
      <c r="D2" s="581"/>
      <c r="E2" s="227"/>
      <c r="F2" s="227"/>
      <c r="G2" s="227"/>
      <c r="H2" s="227"/>
      <c r="I2" s="227"/>
      <c r="J2" s="227"/>
      <c r="K2" s="516"/>
      <c r="L2" s="516"/>
    </row>
    <row r="3" spans="1:12">
      <c r="A3" s="227"/>
      <c r="B3" s="580" t="s">
        <v>2648</v>
      </c>
      <c r="C3" s="581"/>
      <c r="D3" s="581"/>
      <c r="E3" s="227"/>
      <c r="F3" s="227"/>
      <c r="G3" s="227"/>
      <c r="H3" s="227"/>
      <c r="I3" s="227"/>
      <c r="J3" s="227"/>
      <c r="K3" s="516"/>
      <c r="L3" s="516"/>
    </row>
    <row r="4" spans="1:12">
      <c r="A4" s="227"/>
      <c r="B4" s="580"/>
      <c r="C4" s="581"/>
      <c r="D4" s="581"/>
      <c r="E4" s="227"/>
      <c r="F4" s="227"/>
      <c r="G4" s="227"/>
      <c r="H4" s="227"/>
      <c r="I4" s="227"/>
      <c r="J4" s="227"/>
      <c r="K4" s="516"/>
      <c r="L4" s="516"/>
    </row>
    <row r="5" spans="1:12">
      <c r="A5" s="227"/>
      <c r="B5" s="582" t="s">
        <v>2649</v>
      </c>
      <c r="C5" s="581"/>
      <c r="D5" s="581"/>
      <c r="E5" s="227"/>
      <c r="F5" s="227"/>
      <c r="G5" s="227"/>
      <c r="H5" s="227"/>
      <c r="I5" s="227"/>
      <c r="J5" s="227"/>
      <c r="K5" s="516"/>
      <c r="L5" s="516"/>
    </row>
    <row r="6" spans="1:12">
      <c r="A6" s="227"/>
      <c r="B6" s="580"/>
      <c r="C6" s="84" t="s">
        <v>358</v>
      </c>
      <c r="D6" s="84" t="s">
        <v>342</v>
      </c>
      <c r="E6" s="227"/>
      <c r="I6" s="227"/>
      <c r="J6" s="227"/>
      <c r="K6" s="516"/>
      <c r="L6" s="516"/>
    </row>
    <row r="7" spans="1:12">
      <c r="A7" s="227"/>
      <c r="C7" s="581"/>
      <c r="D7" s="227"/>
      <c r="E7" s="227"/>
      <c r="I7" s="227"/>
      <c r="J7" s="227"/>
      <c r="K7" s="516"/>
      <c r="L7" s="516"/>
    </row>
    <row r="8" spans="1:12">
      <c r="A8" s="227"/>
      <c r="B8" s="580"/>
      <c r="C8" s="235"/>
      <c r="D8" s="109" t="s">
        <v>196</v>
      </c>
      <c r="J8" s="227"/>
      <c r="K8" s="516"/>
      <c r="L8" s="516"/>
    </row>
    <row r="9" spans="1:12">
      <c r="A9" s="53" t="s">
        <v>329</v>
      </c>
      <c r="B9" s="580"/>
      <c r="C9" s="503" t="s">
        <v>99</v>
      </c>
      <c r="D9" s="122" t="s">
        <v>957</v>
      </c>
      <c r="E9" s="361" t="s">
        <v>179</v>
      </c>
      <c r="J9" s="227"/>
      <c r="K9" s="516"/>
      <c r="L9" s="516"/>
    </row>
    <row r="10" spans="1:12" ht="14.5">
      <c r="A10" s="372">
        <v>1</v>
      </c>
      <c r="B10" s="580"/>
      <c r="C10" s="465" t="s">
        <v>1212</v>
      </c>
      <c r="D10" s="477">
        <f>+D72</f>
        <v>216311210.84636587</v>
      </c>
      <c r="E10" s="462" t="str">
        <f>"Line "&amp;A72&amp;", Col. 2"</f>
        <v>Line 353, Col. 2</v>
      </c>
      <c r="F10" s="1144"/>
      <c r="J10" s="227"/>
      <c r="K10" s="516"/>
      <c r="L10" s="516"/>
    </row>
    <row r="11" spans="1:12">
      <c r="A11" s="549">
        <f>A10+1</f>
        <v>2</v>
      </c>
      <c r="B11" s="580"/>
      <c r="C11" s="465" t="s">
        <v>1210</v>
      </c>
      <c r="D11" s="477">
        <f>+D92</f>
        <v>-1214609194</v>
      </c>
      <c r="E11" s="462" t="str">
        <f>"Line "&amp;A92&amp;", Col. 2"</f>
        <v>Line 452, Col. 2</v>
      </c>
      <c r="F11" s="1144"/>
      <c r="H11" s="1246" t="s">
        <v>2523</v>
      </c>
      <c r="I11" s="1246" t="s">
        <v>2525</v>
      </c>
      <c r="J11" s="516"/>
      <c r="K11"/>
    </row>
    <row r="12" spans="1:12">
      <c r="A12" s="549">
        <f t="shared" ref="A12:A24" si="0">A11+1</f>
        <v>3</v>
      </c>
      <c r="B12" s="580"/>
      <c r="C12" s="465" t="s">
        <v>1211</v>
      </c>
      <c r="D12" s="477">
        <f>+D133</f>
        <v>-16060329.472750021</v>
      </c>
      <c r="E12" s="462" t="str">
        <f>"Line "&amp;A133&amp;", Col. 2"</f>
        <v>Line 803, Col. 2</v>
      </c>
      <c r="F12" s="1144"/>
      <c r="H12" s="1247" t="s">
        <v>2524</v>
      </c>
      <c r="I12" s="1247" t="s">
        <v>2526</v>
      </c>
      <c r="J12" s="516"/>
      <c r="K12"/>
    </row>
    <row r="13" spans="1:12" s="955" customFormat="1">
      <c r="A13" s="549">
        <f t="shared" si="0"/>
        <v>4</v>
      </c>
      <c r="B13" s="580"/>
      <c r="C13" s="463" t="s">
        <v>2654</v>
      </c>
      <c r="D13" s="1454">
        <f>-609648806+93385614</f>
        <v>-516263192</v>
      </c>
      <c r="E13" s="462" t="s">
        <v>2821</v>
      </c>
      <c r="F13" s="1144"/>
      <c r="G13" s="517"/>
      <c r="H13" s="1111" t="s">
        <v>2818</v>
      </c>
      <c r="I13" s="1455" t="s">
        <v>2819</v>
      </c>
      <c r="J13" s="516"/>
    </row>
    <row r="14" spans="1:12">
      <c r="A14" s="549">
        <f t="shared" si="0"/>
        <v>5</v>
      </c>
      <c r="B14" s="580"/>
      <c r="C14" s="465" t="s">
        <v>1549</v>
      </c>
      <c r="D14" s="466">
        <f>SUM(D10:D13)</f>
        <v>-1530621504.6263843</v>
      </c>
      <c r="E14" s="536" t="str">
        <f>"Sum of Lines "&amp;A10&amp;" to "&amp;A13&amp;""</f>
        <v>Sum of Lines 1 to 4</v>
      </c>
      <c r="F14" s="1144"/>
      <c r="H14" s="1245"/>
      <c r="I14" s="1245"/>
      <c r="J14" s="516"/>
      <c r="K14"/>
    </row>
    <row r="15" spans="1:12">
      <c r="A15" s="549">
        <f t="shared" si="0"/>
        <v>6</v>
      </c>
      <c r="B15" s="580"/>
      <c r="C15" s="467" t="s">
        <v>2652</v>
      </c>
      <c r="D15" s="235"/>
      <c r="E15" s="235"/>
      <c r="G15" s="519"/>
      <c r="H15" s="241"/>
      <c r="I15" s="235"/>
      <c r="J15" s="227"/>
      <c r="K15" s="516"/>
      <c r="L15" s="516"/>
    </row>
    <row r="16" spans="1:12">
      <c r="A16" s="549">
        <f t="shared" si="0"/>
        <v>7</v>
      </c>
      <c r="B16" s="582" t="s">
        <v>2651</v>
      </c>
      <c r="E16" s="235"/>
      <c r="G16" s="518"/>
      <c r="H16" s="520"/>
      <c r="I16" s="518"/>
      <c r="J16" s="227"/>
      <c r="K16" s="516"/>
      <c r="L16" s="516"/>
    </row>
    <row r="17" spans="1:12">
      <c r="A17" s="549">
        <f t="shared" si="0"/>
        <v>8</v>
      </c>
      <c r="B17" s="582"/>
      <c r="D17" s="109" t="s">
        <v>380</v>
      </c>
      <c r="E17" s="235"/>
      <c r="G17" s="518"/>
      <c r="H17" s="520"/>
      <c r="I17" s="518"/>
      <c r="J17" s="227"/>
      <c r="K17" s="516"/>
      <c r="L17" s="516"/>
    </row>
    <row r="18" spans="1:12">
      <c r="A18" s="549">
        <f t="shared" si="0"/>
        <v>9</v>
      </c>
      <c r="B18" s="580"/>
      <c r="D18" s="122" t="s">
        <v>957</v>
      </c>
      <c r="E18" s="361" t="s">
        <v>179</v>
      </c>
      <c r="G18" s="521"/>
      <c r="H18" s="518"/>
      <c r="I18" s="518"/>
      <c r="J18" s="227"/>
      <c r="K18" s="516"/>
      <c r="L18" s="516"/>
    </row>
    <row r="19" spans="1:12">
      <c r="A19" s="549">
        <f t="shared" si="0"/>
        <v>10</v>
      </c>
      <c r="B19" s="580"/>
      <c r="C19" s="465" t="s">
        <v>1549</v>
      </c>
      <c r="D19" s="493">
        <v>-1621359578</v>
      </c>
      <c r="E19" s="462" t="str">
        <f>"Previous Year Informational Filing, Line "&amp;A14&amp;", Col. 2"</f>
        <v>Previous Year Informational Filing, Line 5, Col. 2</v>
      </c>
      <c r="G19" s="1114"/>
      <c r="H19" s="518"/>
      <c r="I19" s="518"/>
      <c r="K19" s="516"/>
      <c r="L19" s="516"/>
    </row>
    <row r="20" spans="1:12">
      <c r="A20" s="549">
        <f t="shared" si="0"/>
        <v>11</v>
      </c>
      <c r="B20" s="580"/>
      <c r="D20" s="235"/>
      <c r="E20" s="235"/>
      <c r="F20" s="518"/>
      <c r="G20" s="518"/>
      <c r="H20" s="518"/>
      <c r="I20" s="518"/>
      <c r="J20" s="227"/>
      <c r="K20" s="516"/>
      <c r="L20" s="516"/>
    </row>
    <row r="21" spans="1:12">
      <c r="A21" s="549">
        <f t="shared" si="0"/>
        <v>12</v>
      </c>
      <c r="B21" s="1242" t="s">
        <v>2650</v>
      </c>
      <c r="D21" s="235"/>
      <c r="E21" s="235"/>
      <c r="F21" s="518"/>
      <c r="G21" s="518"/>
      <c r="H21" s="518"/>
      <c r="I21" s="518"/>
      <c r="J21" s="227"/>
      <c r="K21" s="516"/>
      <c r="L21" s="516"/>
    </row>
    <row r="22" spans="1:12">
      <c r="A22" s="549">
        <f t="shared" si="0"/>
        <v>13</v>
      </c>
      <c r="B22" s="581"/>
      <c r="C22" s="583"/>
      <c r="D22" s="584" t="s">
        <v>229</v>
      </c>
      <c r="E22" s="227"/>
      <c r="F22" s="227"/>
      <c r="G22" s="227"/>
      <c r="H22" s="227"/>
      <c r="I22" s="227"/>
      <c r="J22" s="227"/>
      <c r="K22" s="516"/>
      <c r="L22" s="516"/>
    </row>
    <row r="23" spans="1:12">
      <c r="A23" s="549">
        <f t="shared" si="0"/>
        <v>14</v>
      </c>
      <c r="B23" s="581"/>
      <c r="D23" s="122" t="s">
        <v>201</v>
      </c>
      <c r="E23" s="361" t="s">
        <v>179</v>
      </c>
      <c r="F23" s="227"/>
      <c r="G23" s="521"/>
      <c r="H23" s="227"/>
      <c r="I23" s="227"/>
      <c r="J23" s="227"/>
      <c r="K23" s="516"/>
      <c r="L23" s="516"/>
    </row>
    <row r="24" spans="1:12">
      <c r="A24" s="549">
        <f t="shared" si="0"/>
        <v>15</v>
      </c>
      <c r="B24" s="581"/>
      <c r="C24" s="585" t="s">
        <v>2653</v>
      </c>
      <c r="D24" s="1243">
        <f>(D14+D19)/2</f>
        <v>-1575990541.3131921</v>
      </c>
      <c r="E24" s="450" t="s">
        <v>2522</v>
      </c>
      <c r="F24" s="235"/>
      <c r="G24" s="518"/>
      <c r="H24" s="227"/>
      <c r="I24" s="227"/>
      <c r="J24" s="227"/>
      <c r="K24" s="516"/>
      <c r="L24" s="516"/>
    </row>
    <row r="25" spans="1:12">
      <c r="A25" s="549"/>
      <c r="B25" s="581"/>
      <c r="C25" s="583"/>
      <c r="D25" s="586"/>
      <c r="E25" s="227"/>
      <c r="F25" s="227"/>
      <c r="G25" s="227"/>
      <c r="H25" s="227"/>
      <c r="I25" s="227"/>
      <c r="J25" s="227"/>
      <c r="K25" s="516"/>
      <c r="L25" s="516"/>
    </row>
    <row r="26" spans="1:12">
      <c r="A26" s="549"/>
      <c r="B26" s="580" t="s">
        <v>1550</v>
      </c>
      <c r="C26" s="583"/>
      <c r="D26" s="586"/>
      <c r="E26" s="227"/>
      <c r="F26" s="227"/>
      <c r="G26" s="227"/>
      <c r="H26" s="227"/>
      <c r="I26" s="227"/>
      <c r="J26" s="227"/>
    </row>
    <row r="27" spans="1:12">
      <c r="A27" s="549"/>
      <c r="B27" s="580"/>
      <c r="C27" s="84" t="s">
        <v>358</v>
      </c>
      <c r="D27" s="84" t="s">
        <v>342</v>
      </c>
      <c r="E27" s="84" t="s">
        <v>343</v>
      </c>
      <c r="F27" s="84" t="s">
        <v>344</v>
      </c>
      <c r="G27" s="84" t="s">
        <v>345</v>
      </c>
      <c r="H27" s="84" t="s">
        <v>346</v>
      </c>
      <c r="I27" s="84" t="s">
        <v>347</v>
      </c>
      <c r="J27" s="227"/>
    </row>
    <row r="28" spans="1:12">
      <c r="A28" s="463"/>
      <c r="B28" s="584"/>
      <c r="C28" s="584"/>
      <c r="D28" s="584" t="s">
        <v>1551</v>
      </c>
      <c r="E28" s="584" t="s">
        <v>1552</v>
      </c>
      <c r="F28" s="584"/>
      <c r="G28" s="584"/>
      <c r="H28" s="584" t="s">
        <v>1265</v>
      </c>
      <c r="I28" s="866" t="s">
        <v>1871</v>
      </c>
      <c r="J28" s="227"/>
    </row>
    <row r="29" spans="1:12">
      <c r="A29" s="463"/>
      <c r="B29" s="587" t="s">
        <v>1553</v>
      </c>
      <c r="C29" s="587" t="s">
        <v>1554</v>
      </c>
      <c r="D29" s="587" t="s">
        <v>1555</v>
      </c>
      <c r="E29" s="587" t="s">
        <v>1556</v>
      </c>
      <c r="F29" s="587" t="s">
        <v>1557</v>
      </c>
      <c r="G29" s="587" t="s">
        <v>1558</v>
      </c>
      <c r="H29" s="587" t="s">
        <v>1548</v>
      </c>
      <c r="I29" s="587" t="s">
        <v>100</v>
      </c>
      <c r="J29" s="227"/>
    </row>
    <row r="30" spans="1:12">
      <c r="A30" s="549"/>
      <c r="B30" s="581" t="s">
        <v>1560</v>
      </c>
      <c r="C30" s="581"/>
      <c r="D30" s="581"/>
      <c r="E30" s="227"/>
      <c r="F30" s="227"/>
      <c r="G30" s="227"/>
      <c r="H30" s="227"/>
      <c r="I30" s="227"/>
      <c r="J30" s="227"/>
    </row>
    <row r="31" spans="1:12">
      <c r="A31" s="962">
        <v>100</v>
      </c>
      <c r="B31" s="964">
        <v>190</v>
      </c>
      <c r="C31" s="953" t="s">
        <v>2548</v>
      </c>
      <c r="D31" s="954">
        <v>449174</v>
      </c>
      <c r="E31" s="966">
        <f>D31*$G$158</f>
        <v>387.77804675654392</v>
      </c>
      <c r="F31" s="963"/>
      <c r="G31" s="966">
        <f>D31-E31</f>
        <v>448786.22195324348</v>
      </c>
      <c r="H31" s="966"/>
      <c r="I31" s="967" t="s">
        <v>2840</v>
      </c>
      <c r="J31" s="958"/>
    </row>
    <row r="32" spans="1:12">
      <c r="A32" s="962">
        <f>A31+1</f>
        <v>101</v>
      </c>
      <c r="B32" s="964">
        <v>190</v>
      </c>
      <c r="C32" s="953" t="s">
        <v>2549</v>
      </c>
      <c r="D32" s="954">
        <v>435338</v>
      </c>
      <c r="E32" s="966">
        <f>D32*$G$150</f>
        <v>2765.9950300811929</v>
      </c>
      <c r="F32" s="963"/>
      <c r="G32" s="966"/>
      <c r="H32" s="966">
        <f>D32-E32</f>
        <v>432572.00496991881</v>
      </c>
      <c r="I32" s="967" t="s">
        <v>2841</v>
      </c>
      <c r="J32" s="958"/>
    </row>
    <row r="33" spans="1:12">
      <c r="A33" s="962">
        <f t="shared" ref="A33:A47" si="1">A32+1</f>
        <v>102</v>
      </c>
      <c r="B33" s="964">
        <v>190</v>
      </c>
      <c r="C33" s="953" t="s">
        <v>2550</v>
      </c>
      <c r="D33" s="954">
        <v>675252</v>
      </c>
      <c r="E33" s="966">
        <f>D33*$G$158</f>
        <v>582.95427079138551</v>
      </c>
      <c r="F33" s="963"/>
      <c r="G33" s="966">
        <f>D33-E33</f>
        <v>674669.04572920862</v>
      </c>
      <c r="H33" s="966"/>
      <c r="I33" s="967" t="s">
        <v>2840</v>
      </c>
      <c r="J33" s="958"/>
    </row>
    <row r="34" spans="1:12">
      <c r="A34" s="962">
        <f t="shared" si="1"/>
        <v>103</v>
      </c>
      <c r="B34" s="964">
        <v>190</v>
      </c>
      <c r="C34" s="953" t="s">
        <v>2831</v>
      </c>
      <c r="D34" s="954">
        <v>557015</v>
      </c>
      <c r="E34" s="966">
        <f t="shared" ref="E34:E38" si="2">D34*$G$150</f>
        <v>3539.0908252453855</v>
      </c>
      <c r="F34" s="966"/>
      <c r="G34" s="966"/>
      <c r="H34" s="966">
        <f>D34-E34</f>
        <v>553475.90917475463</v>
      </c>
      <c r="I34" s="967" t="s">
        <v>2841</v>
      </c>
      <c r="J34" s="958"/>
    </row>
    <row r="35" spans="1:12">
      <c r="A35" s="962">
        <f t="shared" si="1"/>
        <v>104</v>
      </c>
      <c r="B35" s="964">
        <v>190</v>
      </c>
      <c r="C35" s="953" t="s">
        <v>2551</v>
      </c>
      <c r="D35" s="954">
        <v>29668055</v>
      </c>
      <c r="E35" s="966">
        <f t="shared" si="2"/>
        <v>188501.10186148575</v>
      </c>
      <c r="F35" s="963"/>
      <c r="G35" s="966"/>
      <c r="H35" s="966">
        <f>D35-E35</f>
        <v>29479553.898138516</v>
      </c>
      <c r="I35" s="967" t="s">
        <v>2841</v>
      </c>
      <c r="J35" s="958"/>
    </row>
    <row r="36" spans="1:12" ht="12.75" customHeight="1">
      <c r="A36" s="962">
        <f t="shared" si="1"/>
        <v>105</v>
      </c>
      <c r="B36" s="964">
        <v>190</v>
      </c>
      <c r="C36" s="953" t="s">
        <v>2552</v>
      </c>
      <c r="D36" s="954">
        <v>41227598</v>
      </c>
      <c r="E36" s="966">
        <f t="shared" si="2"/>
        <v>261946.65103938853</v>
      </c>
      <c r="F36" s="963"/>
      <c r="G36" s="966"/>
      <c r="H36" s="966">
        <f>D36-E36</f>
        <v>40965651.348960608</v>
      </c>
      <c r="I36" s="967" t="s">
        <v>2841</v>
      </c>
      <c r="J36" s="958"/>
    </row>
    <row r="37" spans="1:12">
      <c r="A37" s="962">
        <f t="shared" si="1"/>
        <v>106</v>
      </c>
      <c r="B37" s="964">
        <v>190</v>
      </c>
      <c r="C37" s="953" t="s">
        <v>2553</v>
      </c>
      <c r="D37" s="954">
        <v>430704</v>
      </c>
      <c r="E37" s="966">
        <f>D37*$G$158</f>
        <v>371.83264358629503</v>
      </c>
      <c r="F37" s="963"/>
      <c r="G37" s="966">
        <f>D37-E37</f>
        <v>430332.16735641373</v>
      </c>
      <c r="H37" s="966"/>
      <c r="I37" s="967" t="s">
        <v>2840</v>
      </c>
      <c r="J37" s="958"/>
    </row>
    <row r="38" spans="1:12">
      <c r="A38" s="962">
        <f t="shared" si="1"/>
        <v>107</v>
      </c>
      <c r="B38" s="1399">
        <v>190</v>
      </c>
      <c r="C38" s="617" t="s">
        <v>2832</v>
      </c>
      <c r="D38" s="954">
        <v>1044817531</v>
      </c>
      <c r="E38" s="966">
        <f t="shared" si="2"/>
        <v>6638428.2972947517</v>
      </c>
      <c r="F38" s="963"/>
      <c r="G38" s="966"/>
      <c r="H38" s="966">
        <f>D38-E38</f>
        <v>1038179102.7027053</v>
      </c>
      <c r="I38" s="967" t="s">
        <v>2841</v>
      </c>
      <c r="J38" s="958"/>
    </row>
    <row r="39" spans="1:12" s="955" customFormat="1">
      <c r="A39" s="962">
        <f t="shared" si="1"/>
        <v>108</v>
      </c>
      <c r="B39" s="1399">
        <v>190</v>
      </c>
      <c r="C39" s="617" t="s">
        <v>2833</v>
      </c>
      <c r="D39" s="954">
        <v>13350976</v>
      </c>
      <c r="E39" s="966">
        <f>D39</f>
        <v>13350976</v>
      </c>
      <c r="F39" s="963"/>
      <c r="G39" s="966"/>
      <c r="H39" s="966"/>
      <c r="I39" s="967" t="s">
        <v>2842</v>
      </c>
      <c r="J39" s="958"/>
      <c r="K39" s="14"/>
    </row>
    <row r="40" spans="1:12">
      <c r="A40" s="962">
        <f t="shared" si="1"/>
        <v>109</v>
      </c>
      <c r="B40" s="964">
        <v>190</v>
      </c>
      <c r="C40" s="953" t="s">
        <v>2834</v>
      </c>
      <c r="D40" s="954">
        <v>532905125</v>
      </c>
      <c r="E40" s="966">
        <f>D40</f>
        <v>532905125</v>
      </c>
      <c r="F40" s="963"/>
      <c r="G40" s="966"/>
      <c r="H40" s="966"/>
      <c r="I40" s="967" t="s">
        <v>2843</v>
      </c>
      <c r="J40" s="958"/>
    </row>
    <row r="41" spans="1:12">
      <c r="A41" s="962">
        <f t="shared" si="1"/>
        <v>110</v>
      </c>
      <c r="B41" s="964">
        <v>190</v>
      </c>
      <c r="C41" s="953" t="s">
        <v>2835</v>
      </c>
      <c r="D41" s="954">
        <v>0</v>
      </c>
      <c r="E41" s="966">
        <f>D41</f>
        <v>0</v>
      </c>
      <c r="F41" s="963"/>
      <c r="G41" s="966"/>
      <c r="H41" s="966"/>
      <c r="I41" s="967" t="s">
        <v>2844</v>
      </c>
      <c r="J41" s="958"/>
    </row>
    <row r="42" spans="1:12">
      <c r="A42" s="962">
        <f t="shared" si="1"/>
        <v>111</v>
      </c>
      <c r="B42" s="964">
        <v>190</v>
      </c>
      <c r="C42" s="953" t="s">
        <v>2554</v>
      </c>
      <c r="D42" s="954">
        <v>32996506</v>
      </c>
      <c r="E42" s="966">
        <f t="shared" ref="E42" si="3">D42*$G$150</f>
        <v>209648.98907525706</v>
      </c>
      <c r="F42" s="493"/>
      <c r="G42" s="966"/>
      <c r="H42" s="966">
        <f>D42-E42</f>
        <v>32786857.010924742</v>
      </c>
      <c r="I42" s="967" t="s">
        <v>2841</v>
      </c>
      <c r="J42" s="706"/>
    </row>
    <row r="43" spans="1:12">
      <c r="A43" s="962">
        <f t="shared" si="1"/>
        <v>112</v>
      </c>
      <c r="B43" s="964">
        <v>190</v>
      </c>
      <c r="C43" s="953" t="s">
        <v>2836</v>
      </c>
      <c r="D43" s="954">
        <v>713815141</v>
      </c>
      <c r="E43" s="966">
        <f t="shared" ref="E43:E45" si="4">D43</f>
        <v>713815141</v>
      </c>
      <c r="F43" s="963"/>
      <c r="G43" s="966"/>
      <c r="H43" s="966"/>
      <c r="I43" s="969" t="s">
        <v>2845</v>
      </c>
      <c r="J43" s="958"/>
    </row>
    <row r="44" spans="1:12">
      <c r="A44" s="962">
        <f t="shared" si="1"/>
        <v>113</v>
      </c>
      <c r="B44" s="964">
        <v>190</v>
      </c>
      <c r="C44" s="953" t="s">
        <v>2837</v>
      </c>
      <c r="D44" s="954">
        <v>202184045</v>
      </c>
      <c r="E44" s="966">
        <f t="shared" si="4"/>
        <v>202184045</v>
      </c>
      <c r="F44" s="963"/>
      <c r="G44" s="966"/>
      <c r="H44" s="963"/>
      <c r="I44" s="967" t="s">
        <v>2846</v>
      </c>
      <c r="J44" s="958"/>
    </row>
    <row r="45" spans="1:12">
      <c r="A45" s="962">
        <f t="shared" si="1"/>
        <v>114</v>
      </c>
      <c r="B45" s="964">
        <v>190</v>
      </c>
      <c r="C45" s="953" t="s">
        <v>2838</v>
      </c>
      <c r="D45" s="954">
        <v>629081739</v>
      </c>
      <c r="E45" s="966">
        <f t="shared" si="4"/>
        <v>629081739</v>
      </c>
      <c r="F45" s="963"/>
      <c r="G45" s="966"/>
      <c r="H45" s="963"/>
      <c r="I45" s="967" t="s">
        <v>2847</v>
      </c>
      <c r="J45" s="958"/>
    </row>
    <row r="46" spans="1:12" s="955" customFormat="1">
      <c r="A46" s="962">
        <f t="shared" si="1"/>
        <v>115</v>
      </c>
      <c r="B46" s="964">
        <v>190</v>
      </c>
      <c r="C46" s="953" t="s">
        <v>2839</v>
      </c>
      <c r="D46" s="954">
        <v>742487195</v>
      </c>
      <c r="E46" s="966"/>
      <c r="F46" s="963"/>
      <c r="G46" s="966">
        <f>D46</f>
        <v>742487195</v>
      </c>
      <c r="H46" s="963"/>
      <c r="I46" s="967" t="s">
        <v>2848</v>
      </c>
      <c r="J46" s="958"/>
      <c r="K46" s="14"/>
    </row>
    <row r="47" spans="1:12">
      <c r="A47" s="962">
        <f t="shared" si="1"/>
        <v>116</v>
      </c>
      <c r="B47" s="964" t="s">
        <v>504</v>
      </c>
      <c r="C47" s="953"/>
      <c r="D47" s="954"/>
      <c r="E47" s="1210"/>
      <c r="F47" s="963"/>
      <c r="G47" s="966"/>
      <c r="H47" s="963"/>
      <c r="I47" s="967"/>
      <c r="J47" s="958"/>
    </row>
    <row r="48" spans="1:12">
      <c r="A48" s="109"/>
      <c r="B48" s="590"/>
      <c r="C48" s="591"/>
      <c r="D48" s="592"/>
      <c r="E48" s="231"/>
      <c r="F48" s="231"/>
      <c r="G48" s="231"/>
      <c r="H48" s="231"/>
      <c r="I48" s="235"/>
      <c r="J48" s="235"/>
      <c r="K48" s="516"/>
      <c r="L48" s="516"/>
    </row>
    <row r="49" spans="1:12">
      <c r="A49" s="109"/>
      <c r="B49" s="580" t="s">
        <v>1561</v>
      </c>
      <c r="C49" s="583"/>
      <c r="D49" s="586"/>
      <c r="E49" s="227"/>
      <c r="F49" s="227"/>
      <c r="G49" s="227"/>
      <c r="H49" s="227"/>
      <c r="I49" s="227"/>
      <c r="J49" s="235"/>
      <c r="K49" s="516"/>
      <c r="L49" s="516"/>
    </row>
    <row r="50" spans="1:12">
      <c r="A50" s="109"/>
      <c r="B50" s="580"/>
      <c r="C50" s="84" t="s">
        <v>358</v>
      </c>
      <c r="D50" s="84" t="s">
        <v>342</v>
      </c>
      <c r="E50" s="84" t="s">
        <v>343</v>
      </c>
      <c r="F50" s="84" t="s">
        <v>344</v>
      </c>
      <c r="G50" s="84" t="s">
        <v>345</v>
      </c>
      <c r="H50" s="84" t="s">
        <v>346</v>
      </c>
      <c r="I50" s="84" t="s">
        <v>347</v>
      </c>
      <c r="J50" s="235"/>
      <c r="K50" s="516"/>
      <c r="L50" s="516"/>
    </row>
    <row r="51" spans="1:12">
      <c r="A51" s="109"/>
      <c r="B51" s="584"/>
      <c r="C51" s="584"/>
      <c r="D51" s="584" t="s">
        <v>1551</v>
      </c>
      <c r="E51" s="584" t="s">
        <v>1552</v>
      </c>
      <c r="F51" s="584"/>
      <c r="G51" s="584"/>
      <c r="H51" s="584"/>
      <c r="I51" s="866" t="s">
        <v>1871</v>
      </c>
      <c r="J51" s="235"/>
      <c r="K51" s="516"/>
      <c r="L51" s="516"/>
    </row>
    <row r="52" spans="1:12">
      <c r="A52" s="109"/>
      <c r="B52" s="587" t="s">
        <v>1553</v>
      </c>
      <c r="C52" s="587" t="s">
        <v>1554</v>
      </c>
      <c r="D52" s="587" t="s">
        <v>1555</v>
      </c>
      <c r="E52" s="587" t="s">
        <v>1556</v>
      </c>
      <c r="F52" s="587" t="s">
        <v>1557</v>
      </c>
      <c r="G52" s="587" t="s">
        <v>1558</v>
      </c>
      <c r="H52" s="587" t="s">
        <v>1559</v>
      </c>
      <c r="I52" s="587" t="s">
        <v>100</v>
      </c>
      <c r="J52" s="231"/>
      <c r="K52" s="516"/>
      <c r="L52" s="516"/>
    </row>
    <row r="53" spans="1:12">
      <c r="A53" s="109"/>
      <c r="B53" s="581" t="s">
        <v>1560</v>
      </c>
      <c r="C53" s="581"/>
      <c r="D53" s="581"/>
      <c r="E53" s="227"/>
      <c r="F53" s="227"/>
      <c r="G53" s="227"/>
      <c r="H53" s="227"/>
      <c r="I53" s="227"/>
      <c r="J53" s="235"/>
      <c r="K53" s="516"/>
      <c r="L53" s="516"/>
    </row>
    <row r="54" spans="1:12">
      <c r="A54" s="962">
        <f>A47+1</f>
        <v>117</v>
      </c>
      <c r="B54" s="952" t="s">
        <v>504</v>
      </c>
      <c r="C54" s="588"/>
      <c r="D54" s="589"/>
      <c r="E54" s="232"/>
      <c r="F54" s="232"/>
      <c r="G54" s="232"/>
      <c r="H54" s="232"/>
      <c r="I54" s="383"/>
      <c r="J54" s="383"/>
      <c r="K54" s="516"/>
      <c r="L54" s="516"/>
    </row>
    <row r="55" spans="1:12">
      <c r="A55" s="549"/>
      <c r="B55" s="593"/>
      <c r="C55" s="581"/>
      <c r="D55" s="594"/>
      <c r="E55" s="229"/>
      <c r="F55" s="229"/>
      <c r="G55" s="229"/>
      <c r="H55" s="229"/>
      <c r="I55" s="361" t="s">
        <v>179</v>
      </c>
      <c r="J55" s="227"/>
      <c r="K55" s="516"/>
      <c r="L55" s="516"/>
    </row>
    <row r="56" spans="1:12">
      <c r="A56" s="109">
        <v>250</v>
      </c>
      <c r="B56" s="581"/>
      <c r="C56" s="581" t="s">
        <v>1562</v>
      </c>
      <c r="D56" s="603">
        <f>SUM(D31:D47)+SUM(D54:D54)</f>
        <v>3985081394</v>
      </c>
      <c r="E56" s="603">
        <f>SUM(E31:E47)+SUM(E54:E54)</f>
        <v>2098643198.6900873</v>
      </c>
      <c r="F56" s="595">
        <f>SUM(F31:F47)+SUM(F54:F54)</f>
        <v>0</v>
      </c>
      <c r="G56" s="595">
        <f>SUM(G31:G47)+SUM(G54:G54)</f>
        <v>744040982.43503892</v>
      </c>
      <c r="H56" s="595">
        <f>SUM(H31:H47)+SUM(H54:H54)</f>
        <v>1142397212.8748739</v>
      </c>
      <c r="I56" s="450" t="str">
        <f>"Sum of Above Lines beginning on Line "&amp;A31&amp;""</f>
        <v>Sum of Above Lines beginning on Line 100</v>
      </c>
      <c r="J56" s="235"/>
      <c r="K56" s="516"/>
      <c r="L56" s="516"/>
    </row>
    <row r="57" spans="1:12">
      <c r="A57" s="549"/>
      <c r="B57" s="581"/>
      <c r="C57" s="581"/>
      <c r="D57" s="596"/>
      <c r="E57" s="229"/>
      <c r="F57" s="229"/>
      <c r="G57" s="229"/>
      <c r="H57" s="229"/>
      <c r="I57" s="227"/>
      <c r="J57" s="227"/>
    </row>
    <row r="58" spans="1:12">
      <c r="A58" s="549"/>
      <c r="B58" s="581" t="s">
        <v>1563</v>
      </c>
      <c r="C58" s="581"/>
      <c r="D58" s="596"/>
      <c r="E58" s="229"/>
      <c r="F58" s="229"/>
      <c r="G58" s="229"/>
      <c r="H58" s="229"/>
      <c r="I58" s="866" t="s">
        <v>1871</v>
      </c>
      <c r="J58" s="227"/>
    </row>
    <row r="59" spans="1:12">
      <c r="A59" s="549"/>
      <c r="C59" s="84" t="s">
        <v>358</v>
      </c>
      <c r="D59" s="84" t="s">
        <v>342</v>
      </c>
      <c r="E59" s="84" t="s">
        <v>343</v>
      </c>
      <c r="F59" s="84" t="s">
        <v>344</v>
      </c>
      <c r="G59" s="84" t="s">
        <v>345</v>
      </c>
      <c r="H59" s="84" t="s">
        <v>346</v>
      </c>
      <c r="I59" s="84" t="s">
        <v>347</v>
      </c>
      <c r="J59" s="227"/>
    </row>
    <row r="60" spans="1:12">
      <c r="A60" s="186">
        <v>300</v>
      </c>
      <c r="B60" s="964">
        <v>190</v>
      </c>
      <c r="C60" s="953" t="s">
        <v>2849</v>
      </c>
      <c r="D60" s="954">
        <v>0</v>
      </c>
      <c r="E60" s="966">
        <v>0</v>
      </c>
      <c r="F60" s="966"/>
      <c r="G60" s="966"/>
      <c r="H60" s="966"/>
      <c r="I60" s="967" t="s">
        <v>2850</v>
      </c>
      <c r="J60" s="967"/>
    </row>
    <row r="61" spans="1:12" s="955" customFormat="1">
      <c r="A61" s="962">
        <f>A60+1</f>
        <v>301</v>
      </c>
      <c r="B61" s="964">
        <v>190</v>
      </c>
      <c r="C61" s="953" t="s">
        <v>2851</v>
      </c>
      <c r="D61" s="954">
        <v>2777222</v>
      </c>
      <c r="E61" s="966">
        <v>2777222</v>
      </c>
      <c r="F61" s="966"/>
      <c r="G61" s="966"/>
      <c r="H61" s="966"/>
      <c r="I61" s="967" t="s">
        <v>2850</v>
      </c>
      <c r="J61" s="967"/>
      <c r="K61" s="14"/>
    </row>
    <row r="62" spans="1:12" s="955" customFormat="1">
      <c r="A62" s="962">
        <f t="shared" ref="A62:A65" si="5">A61+1</f>
        <v>302</v>
      </c>
      <c r="B62" s="964">
        <v>190</v>
      </c>
      <c r="C62" s="953" t="s">
        <v>2555</v>
      </c>
      <c r="D62" s="954">
        <v>906909</v>
      </c>
      <c r="E62" s="966">
        <v>906909</v>
      </c>
      <c r="F62" s="966"/>
      <c r="G62" s="966"/>
      <c r="H62" s="966"/>
      <c r="I62" s="967" t="s">
        <v>2850</v>
      </c>
      <c r="J62" s="967"/>
      <c r="K62" s="14"/>
    </row>
    <row r="63" spans="1:12" s="955" customFormat="1">
      <c r="A63" s="962">
        <f t="shared" si="5"/>
        <v>303</v>
      </c>
      <c r="B63" s="964">
        <v>190</v>
      </c>
      <c r="C63" s="953" t="s">
        <v>2852</v>
      </c>
      <c r="D63" s="954">
        <v>145794</v>
      </c>
      <c r="E63" s="966">
        <v>145794</v>
      </c>
      <c r="F63" s="966"/>
      <c r="G63" s="966"/>
      <c r="H63" s="966"/>
      <c r="I63" s="967" t="s">
        <v>2845</v>
      </c>
      <c r="J63" s="967"/>
      <c r="K63" s="14"/>
    </row>
    <row r="64" spans="1:12">
      <c r="A64" s="962">
        <f t="shared" si="5"/>
        <v>304</v>
      </c>
      <c r="B64" s="1251">
        <v>190</v>
      </c>
      <c r="C64" s="953" t="s">
        <v>2853</v>
      </c>
      <c r="D64" s="954">
        <v>-201447</v>
      </c>
      <c r="E64" s="963">
        <v>-201447</v>
      </c>
      <c r="F64" s="963"/>
      <c r="G64" s="963"/>
      <c r="H64" s="963"/>
      <c r="I64" s="958" t="s">
        <v>2845</v>
      </c>
      <c r="J64" s="958"/>
    </row>
    <row r="65" spans="1:11" s="955" customFormat="1">
      <c r="A65" s="962">
        <f t="shared" si="5"/>
        <v>305</v>
      </c>
      <c r="B65" s="1251" t="s">
        <v>504</v>
      </c>
      <c r="C65" s="953"/>
      <c r="D65" s="954"/>
      <c r="E65" s="963"/>
      <c r="F65" s="963"/>
      <c r="G65" s="963"/>
      <c r="H65" s="963"/>
      <c r="I65" s="958"/>
      <c r="J65" s="958"/>
      <c r="K65" s="14"/>
    </row>
    <row r="66" spans="1:11" s="955" customFormat="1">
      <c r="A66" s="109"/>
      <c r="B66" s="593"/>
      <c r="C66" s="591"/>
      <c r="D66" s="592"/>
      <c r="E66" s="231"/>
      <c r="F66" s="231"/>
      <c r="G66" s="231"/>
      <c r="H66" s="231"/>
      <c r="I66" s="235"/>
      <c r="J66" s="235"/>
      <c r="K66" s="14"/>
    </row>
    <row r="67" spans="1:11">
      <c r="A67" s="549"/>
      <c r="B67" s="593"/>
      <c r="C67" s="84" t="s">
        <v>358</v>
      </c>
      <c r="D67" s="84" t="s">
        <v>342</v>
      </c>
      <c r="E67" s="84" t="s">
        <v>343</v>
      </c>
      <c r="F67" s="84" t="s">
        <v>344</v>
      </c>
      <c r="G67" s="84" t="s">
        <v>345</v>
      </c>
      <c r="H67" s="84" t="s">
        <v>346</v>
      </c>
      <c r="I67" s="361" t="s">
        <v>179</v>
      </c>
      <c r="J67" s="227"/>
    </row>
    <row r="68" spans="1:11">
      <c r="A68" s="535">
        <v>350</v>
      </c>
      <c r="B68" s="581"/>
      <c r="C68" s="581" t="s">
        <v>1564</v>
      </c>
      <c r="D68" s="603">
        <f>SUM(D60:D64)</f>
        <v>3628478</v>
      </c>
      <c r="E68" s="603">
        <f>SUM(E60:E64)</f>
        <v>3628478</v>
      </c>
      <c r="F68" s="603">
        <f t="shared" ref="F68:H68" si="6">SUM(F60:F64)</f>
        <v>0</v>
      </c>
      <c r="G68" s="603">
        <f t="shared" si="6"/>
        <v>0</v>
      </c>
      <c r="H68" s="603">
        <f t="shared" si="6"/>
        <v>0</v>
      </c>
      <c r="I68" s="450" t="str">
        <f>"Sum of Above Lines beginning on Line "&amp;A60&amp;""</f>
        <v>Sum of Above Lines beginning on Line 300</v>
      </c>
      <c r="J68" s="235"/>
    </row>
    <row r="69" spans="1:11">
      <c r="A69" s="535"/>
      <c r="B69" s="581"/>
      <c r="C69" s="581"/>
      <c r="D69" s="595"/>
      <c r="E69" s="595"/>
      <c r="F69" s="595"/>
      <c r="G69" s="595"/>
      <c r="H69" s="595"/>
      <c r="I69" s="450"/>
      <c r="J69" s="235"/>
    </row>
    <row r="70" spans="1:11">
      <c r="A70" s="535">
        <f t="shared" ref="A70" si="7">A68+1</f>
        <v>351</v>
      </c>
      <c r="B70" s="581"/>
      <c r="C70" s="581" t="s">
        <v>1565</v>
      </c>
      <c r="D70" s="595">
        <f>+D68+D56</f>
        <v>3988709872</v>
      </c>
      <c r="E70" s="595">
        <f>+E68+E56</f>
        <v>2102271676.6900873</v>
      </c>
      <c r="F70" s="595">
        <f>+F68+F56</f>
        <v>0</v>
      </c>
      <c r="G70" s="595">
        <f>+G68+G56</f>
        <v>744040982.43503892</v>
      </c>
      <c r="H70" s="595">
        <f>+H68+H56</f>
        <v>1142397212.8748739</v>
      </c>
      <c r="I70" s="1145" t="str">
        <f>"Line "&amp;A56&amp;" + Line "&amp;A68&amp;""</f>
        <v>Line 250 + Line 350</v>
      </c>
      <c r="J70" s="235"/>
    </row>
    <row r="71" spans="1:11">
      <c r="A71" s="535">
        <f>+A70+1</f>
        <v>352</v>
      </c>
      <c r="B71" s="581"/>
      <c r="C71" s="581" t="s">
        <v>1607</v>
      </c>
      <c r="D71" s="595"/>
      <c r="E71" s="595"/>
      <c r="F71" s="595"/>
      <c r="G71" s="597">
        <f>'27-Allocators'!$G$28</f>
        <v>0.18354771144232984</v>
      </c>
      <c r="H71" s="597">
        <f>'27-Allocators'!$G$15</f>
        <v>6.9804259326257695E-2</v>
      </c>
      <c r="I71" s="709" t="str">
        <f>"27-Allocators Lines "&amp;'27-Allocators'!A28&amp;" and "&amp;'27-Allocators'!A15&amp;" respectively."</f>
        <v>27-Allocators Lines 22 and 9 respectively.</v>
      </c>
      <c r="J71" s="235"/>
    </row>
    <row r="72" spans="1:11">
      <c r="A72" s="535">
        <f>+A71+1</f>
        <v>353</v>
      </c>
      <c r="B72" s="581"/>
      <c r="C72" s="581" t="s">
        <v>1608</v>
      </c>
      <c r="D72" s="595">
        <f>SUM(F72:H72)</f>
        <v>216311210.84636587</v>
      </c>
      <c r="E72" s="595"/>
      <c r="F72" s="598">
        <f>+F70</f>
        <v>0</v>
      </c>
      <c r="G72" s="598">
        <f>+G70*G71</f>
        <v>136567019.54525414</v>
      </c>
      <c r="H72" s="598">
        <f>+H70*H71</f>
        <v>79744191.301111713</v>
      </c>
      <c r="I72" s="1145" t="str">
        <f>"Line "&amp;A70&amp;" * Line "&amp;A71&amp;" for Cols 5 and 6.  Col. 4 100% ISO."</f>
        <v>Line 351 * Line 352 for Cols 5 and 6.  Col. 4 100% ISO.</v>
      </c>
      <c r="J72" s="235"/>
    </row>
    <row r="73" spans="1:11">
      <c r="A73" s="535"/>
      <c r="B73" s="581"/>
      <c r="C73" s="1146" t="s">
        <v>1610</v>
      </c>
      <c r="D73" s="595"/>
      <c r="E73" s="595"/>
      <c r="F73" s="595"/>
      <c r="G73" s="595"/>
      <c r="H73" s="595"/>
      <c r="I73" s="522"/>
      <c r="J73" s="227"/>
    </row>
    <row r="74" spans="1:11">
      <c r="A74" s="535"/>
      <c r="B74" s="581"/>
      <c r="C74" s="581"/>
      <c r="D74" s="595"/>
      <c r="E74" s="595"/>
      <c r="F74" s="595"/>
      <c r="G74" s="595"/>
      <c r="H74" s="595"/>
      <c r="I74" s="522"/>
      <c r="J74" s="227"/>
    </row>
    <row r="75" spans="1:11">
      <c r="A75" s="535">
        <f>+A72+1</f>
        <v>354</v>
      </c>
      <c r="B75" s="581"/>
      <c r="C75" s="581" t="s">
        <v>1566</v>
      </c>
      <c r="D75" s="965">
        <v>3988709871</v>
      </c>
      <c r="E75" s="1147" t="str">
        <f>"Must match amount on Line "&amp;A70&amp;", Col. 2"</f>
        <v>Must match amount on Line 351, Col. 2</v>
      </c>
      <c r="G75" s="595"/>
      <c r="H75" s="595"/>
      <c r="I75" s="522" t="s">
        <v>1213</v>
      </c>
      <c r="J75" s="227"/>
    </row>
    <row r="76" spans="1:11">
      <c r="A76" s="549"/>
      <c r="B76" s="581"/>
      <c r="C76" s="581"/>
      <c r="D76" s="601"/>
      <c r="E76" s="601"/>
      <c r="F76" s="601"/>
      <c r="G76" s="601"/>
      <c r="H76" s="601"/>
      <c r="I76" s="523"/>
      <c r="J76" s="227"/>
    </row>
    <row r="77" spans="1:11">
      <c r="A77" s="463"/>
      <c r="B77" s="580" t="s">
        <v>1567</v>
      </c>
      <c r="C77" s="602"/>
      <c r="D77" s="601"/>
      <c r="E77" s="227"/>
      <c r="F77" s="227"/>
      <c r="G77" s="227"/>
      <c r="H77" s="227"/>
      <c r="I77" s="227"/>
      <c r="J77" s="227"/>
    </row>
    <row r="78" spans="1:11">
      <c r="A78" s="463"/>
      <c r="C78" s="84" t="s">
        <v>358</v>
      </c>
      <c r="D78" s="84" t="s">
        <v>342</v>
      </c>
      <c r="E78" s="84" t="s">
        <v>343</v>
      </c>
      <c r="F78" s="84" t="s">
        <v>344</v>
      </c>
      <c r="G78" s="84" t="s">
        <v>345</v>
      </c>
      <c r="H78" s="84" t="s">
        <v>346</v>
      </c>
      <c r="I78" s="84" t="s">
        <v>347</v>
      </c>
      <c r="J78" s="227"/>
    </row>
    <row r="79" spans="1:11">
      <c r="A79" s="463"/>
      <c r="B79" s="584"/>
      <c r="C79" s="584"/>
      <c r="D79" s="584" t="s">
        <v>1551</v>
      </c>
      <c r="E79" s="584" t="s">
        <v>1552</v>
      </c>
      <c r="F79" s="584"/>
      <c r="G79" s="584"/>
      <c r="H79" s="584" t="s">
        <v>1265</v>
      </c>
      <c r="I79" s="866" t="s">
        <v>1871</v>
      </c>
      <c r="J79" s="227"/>
    </row>
    <row r="80" spans="1:11">
      <c r="A80" s="463"/>
      <c r="B80" s="587" t="s">
        <v>1568</v>
      </c>
      <c r="C80" s="587" t="s">
        <v>1554</v>
      </c>
      <c r="D80" s="587" t="s">
        <v>1555</v>
      </c>
      <c r="E80" s="587" t="s">
        <v>1556</v>
      </c>
      <c r="F80" s="587" t="s">
        <v>1557</v>
      </c>
      <c r="G80" s="587" t="s">
        <v>1558</v>
      </c>
      <c r="H80" s="587" t="s">
        <v>1548</v>
      </c>
      <c r="I80" s="587" t="s">
        <v>100</v>
      </c>
      <c r="J80" s="227"/>
    </row>
    <row r="81" spans="1:11">
      <c r="A81" s="186">
        <v>400</v>
      </c>
      <c r="B81" s="968">
        <v>282</v>
      </c>
      <c r="C81" s="969" t="s">
        <v>2854</v>
      </c>
      <c r="D81" s="970">
        <v>-1214609194</v>
      </c>
      <c r="E81" s="966"/>
      <c r="F81" s="966">
        <v>-1214609194</v>
      </c>
      <c r="G81" s="966"/>
      <c r="H81" s="966"/>
      <c r="I81" s="967" t="s">
        <v>2855</v>
      </c>
      <c r="J81" s="967"/>
    </row>
    <row r="82" spans="1:11">
      <c r="A82" s="186">
        <f>A81+1</f>
        <v>401</v>
      </c>
      <c r="B82" s="968">
        <v>282</v>
      </c>
      <c r="C82" s="971" t="s">
        <v>2836</v>
      </c>
      <c r="D82" s="970">
        <v>-7324771034</v>
      </c>
      <c r="E82" s="966">
        <v>-7324771034</v>
      </c>
      <c r="F82" s="966"/>
      <c r="G82" s="966"/>
      <c r="H82" s="966"/>
      <c r="I82" s="967" t="s">
        <v>2856</v>
      </c>
      <c r="J82" s="967"/>
    </row>
    <row r="83" spans="1:11">
      <c r="A83" s="962">
        <f t="shared" ref="A83:A87" si="8">A82+1</f>
        <v>402</v>
      </c>
      <c r="B83" s="968">
        <v>282</v>
      </c>
      <c r="C83" s="969" t="s">
        <v>2857</v>
      </c>
      <c r="D83" s="970">
        <v>-125691689</v>
      </c>
      <c r="E83" s="966">
        <v>-125691689</v>
      </c>
      <c r="F83" s="966"/>
      <c r="G83" s="966"/>
      <c r="H83" s="966"/>
      <c r="I83" s="967" t="s">
        <v>2858</v>
      </c>
      <c r="J83" s="967"/>
    </row>
    <row r="84" spans="1:11">
      <c r="A84" s="962">
        <f t="shared" si="8"/>
        <v>403</v>
      </c>
      <c r="B84" s="968">
        <v>282</v>
      </c>
      <c r="C84" s="969" t="s">
        <v>2859</v>
      </c>
      <c r="D84" s="970">
        <v>0</v>
      </c>
      <c r="E84" s="966">
        <v>0</v>
      </c>
      <c r="F84" s="966"/>
      <c r="G84" s="966"/>
      <c r="H84" s="966"/>
      <c r="I84" s="967" t="s">
        <v>2860</v>
      </c>
      <c r="J84" s="967"/>
    </row>
    <row r="85" spans="1:11">
      <c r="A85" s="962">
        <f t="shared" si="8"/>
        <v>404</v>
      </c>
      <c r="B85" s="968">
        <v>282</v>
      </c>
      <c r="C85" s="971" t="s">
        <v>2852</v>
      </c>
      <c r="D85" s="970">
        <v>-866632</v>
      </c>
      <c r="E85" s="966">
        <v>-866632</v>
      </c>
      <c r="F85" s="966"/>
      <c r="G85" s="966"/>
      <c r="H85" s="966"/>
      <c r="I85" s="967" t="s">
        <v>2861</v>
      </c>
      <c r="J85" s="967"/>
    </row>
    <row r="86" spans="1:11">
      <c r="A86" s="962">
        <f t="shared" si="8"/>
        <v>405</v>
      </c>
      <c r="B86" s="968">
        <v>282</v>
      </c>
      <c r="C86" s="971" t="s">
        <v>2853</v>
      </c>
      <c r="D86" s="970">
        <v>-5419862</v>
      </c>
      <c r="E86" s="966">
        <v>-5419862</v>
      </c>
      <c r="F86" s="966"/>
      <c r="G86" s="966"/>
      <c r="H86" s="966"/>
      <c r="I86" s="967" t="s">
        <v>2850</v>
      </c>
      <c r="J86" s="967"/>
    </row>
    <row r="87" spans="1:11" s="955" customFormat="1">
      <c r="A87" s="962">
        <f t="shared" si="8"/>
        <v>406</v>
      </c>
      <c r="B87" s="959" t="s">
        <v>504</v>
      </c>
      <c r="C87" s="956"/>
      <c r="D87" s="960"/>
      <c r="E87" s="957"/>
      <c r="F87" s="957"/>
      <c r="G87" s="957"/>
      <c r="H87" s="957"/>
      <c r="I87" s="958"/>
      <c r="J87" s="958"/>
      <c r="K87" s="14"/>
    </row>
    <row r="88" spans="1:11">
      <c r="A88" s="549"/>
      <c r="B88" s="525"/>
      <c r="C88" s="465"/>
      <c r="D88" s="603"/>
      <c r="E88" s="231"/>
      <c r="F88" s="231"/>
      <c r="G88" s="231"/>
      <c r="H88" s="231"/>
      <c r="I88" s="235"/>
      <c r="J88" s="235"/>
    </row>
    <row r="89" spans="1:11">
      <c r="A89" s="549"/>
      <c r="B89" s="525"/>
      <c r="C89" s="84" t="s">
        <v>358</v>
      </c>
      <c r="D89" s="84" t="s">
        <v>342</v>
      </c>
      <c r="E89" s="84" t="s">
        <v>343</v>
      </c>
      <c r="F89" s="84" t="s">
        <v>344</v>
      </c>
      <c r="G89" s="84" t="s">
        <v>345</v>
      </c>
      <c r="H89" s="84" t="s">
        <v>346</v>
      </c>
      <c r="I89" s="361" t="s">
        <v>179</v>
      </c>
      <c r="J89" s="235"/>
    </row>
    <row r="90" spans="1:11">
      <c r="A90" s="109">
        <v>450</v>
      </c>
      <c r="B90" s="464"/>
      <c r="C90" s="463" t="s">
        <v>1606</v>
      </c>
      <c r="D90" s="595">
        <f>SUM(D81:D87)</f>
        <v>-8671358411</v>
      </c>
      <c r="E90" s="595">
        <f>SUM(E81:E87)</f>
        <v>-7456749217</v>
      </c>
      <c r="F90" s="595">
        <f>SUM(F81:F87)</f>
        <v>-1214609194</v>
      </c>
      <c r="G90" s="595">
        <f>SUM(G81:G87)</f>
        <v>0</v>
      </c>
      <c r="H90" s="595">
        <f>SUM(H81:H87)</f>
        <v>0</v>
      </c>
      <c r="I90" s="450" t="str">
        <f>"Sum of Above Lines beginning on Line "&amp;A81&amp;""</f>
        <v>Sum of Above Lines beginning on Line 400</v>
      </c>
      <c r="J90" s="227"/>
    </row>
    <row r="91" spans="1:11">
      <c r="A91" s="535">
        <f>+A90+1</f>
        <v>451</v>
      </c>
      <c r="B91" s="581"/>
      <c r="C91" s="581" t="s">
        <v>1607</v>
      </c>
      <c r="D91" s="595"/>
      <c r="E91" s="595"/>
      <c r="F91" s="595"/>
      <c r="G91" s="597">
        <f>'27-Allocators'!$G$28</f>
        <v>0.18354771144232984</v>
      </c>
      <c r="H91" s="597">
        <f>'27-Allocators'!$G$15</f>
        <v>6.9804259326257695E-2</v>
      </c>
      <c r="I91" s="709" t="str">
        <f>"27-Allocators Lines "&amp;'27-Allocators'!A28&amp;" and "&amp;'27-Allocators'!A15&amp;" respectively."</f>
        <v>27-Allocators Lines 22 and 9 respectively.</v>
      </c>
      <c r="J91" s="227"/>
    </row>
    <row r="92" spans="1:11">
      <c r="A92" s="535">
        <f>+A91+1</f>
        <v>452</v>
      </c>
      <c r="B92" s="581"/>
      <c r="C92" s="581" t="s">
        <v>1609</v>
      </c>
      <c r="D92" s="595">
        <f>SUM(F92:H92)</f>
        <v>-1214609194</v>
      </c>
      <c r="E92" s="595"/>
      <c r="F92" s="598">
        <f>+F90</f>
        <v>-1214609194</v>
      </c>
      <c r="G92" s="598">
        <f>+G90*G91</f>
        <v>0</v>
      </c>
      <c r="H92" s="598">
        <f>+H90*H91</f>
        <v>0</v>
      </c>
      <c r="I92" s="1145" t="str">
        <f>"Line "&amp;A90&amp;" * Line "&amp;A91&amp;" for Cols 5 and 6.  Col. 4 100% ISO."</f>
        <v>Line 450 * Line 451 for Cols 5 and 6.  Col. 4 100% ISO.</v>
      </c>
      <c r="J92" s="227"/>
    </row>
    <row r="93" spans="1:11">
      <c r="A93" s="535"/>
      <c r="B93" s="581"/>
      <c r="C93" s="599" t="s">
        <v>1610</v>
      </c>
      <c r="D93" s="595"/>
      <c r="E93" s="595"/>
      <c r="F93" s="595"/>
      <c r="G93" s="595"/>
      <c r="H93" s="595"/>
      <c r="I93" s="522"/>
      <c r="J93" s="227"/>
    </row>
    <row r="94" spans="1:11">
      <c r="A94" s="109"/>
      <c r="B94" s="464"/>
      <c r="C94" s="463"/>
      <c r="D94" s="595"/>
      <c r="E94" s="595"/>
      <c r="F94" s="595"/>
      <c r="G94" s="595"/>
      <c r="H94" s="595"/>
      <c r="I94" s="241"/>
      <c r="J94" s="227"/>
    </row>
    <row r="95" spans="1:11">
      <c r="A95" s="109">
        <f>+A92+1</f>
        <v>453</v>
      </c>
      <c r="B95" s="464"/>
      <c r="C95" s="581" t="s">
        <v>1569</v>
      </c>
      <c r="D95" s="965">
        <v>-8671358411</v>
      </c>
      <c r="E95" s="1147" t="str">
        <f>"Must match amount on Line "&amp;A90&amp;", Col. 2"</f>
        <v>Must match amount on Line 450, Col. 2</v>
      </c>
      <c r="F95" s="595"/>
      <c r="G95" s="595"/>
      <c r="H95" s="595"/>
      <c r="I95" s="241" t="s">
        <v>1570</v>
      </c>
      <c r="J95" s="227"/>
    </row>
    <row r="96" spans="1:11">
      <c r="A96" s="549"/>
      <c r="B96" s="464"/>
      <c r="C96" s="463"/>
      <c r="D96" s="595"/>
      <c r="E96" s="595"/>
      <c r="F96" s="595"/>
      <c r="G96" s="595"/>
      <c r="H96" s="595"/>
      <c r="I96" s="241"/>
      <c r="J96" s="227"/>
    </row>
    <row r="97" spans="1:11">
      <c r="A97" s="549"/>
      <c r="B97" s="464"/>
      <c r="C97" s="463"/>
      <c r="D97" s="595"/>
      <c r="E97" s="595"/>
      <c r="F97" s="595"/>
      <c r="G97" s="595"/>
      <c r="H97" s="595"/>
      <c r="I97" s="523"/>
      <c r="J97" s="227"/>
    </row>
    <row r="98" spans="1:11">
      <c r="A98" s="463"/>
      <c r="B98" s="580" t="s">
        <v>1571</v>
      </c>
      <c r="C98" s="604"/>
      <c r="D98" s="595"/>
      <c r="E98" s="229"/>
      <c r="F98" s="229"/>
      <c r="G98" s="229"/>
      <c r="H98" s="229"/>
      <c r="I98" s="227"/>
      <c r="J98" s="227"/>
    </row>
    <row r="99" spans="1:11">
      <c r="A99" s="463"/>
      <c r="B99" s="580"/>
      <c r="C99" s="84" t="s">
        <v>358</v>
      </c>
      <c r="D99" s="84" t="s">
        <v>342</v>
      </c>
      <c r="E99" s="84" t="s">
        <v>343</v>
      </c>
      <c r="F99" s="84" t="s">
        <v>344</v>
      </c>
      <c r="G99" s="84" t="s">
        <v>345</v>
      </c>
      <c r="H99" s="84" t="s">
        <v>346</v>
      </c>
      <c r="I99" s="84" t="s">
        <v>347</v>
      </c>
      <c r="J99" s="227"/>
    </row>
    <row r="100" spans="1:11">
      <c r="A100" s="463"/>
      <c r="B100" s="584"/>
      <c r="C100" s="584"/>
      <c r="D100" s="605" t="s">
        <v>1551</v>
      </c>
      <c r="E100" s="605" t="s">
        <v>1552</v>
      </c>
      <c r="F100" s="605"/>
      <c r="G100" s="605"/>
      <c r="H100" s="605" t="s">
        <v>1265</v>
      </c>
      <c r="I100" s="866" t="s">
        <v>1871</v>
      </c>
      <c r="J100" s="227"/>
    </row>
    <row r="101" spans="1:11">
      <c r="A101" s="463"/>
      <c r="B101" s="587" t="s">
        <v>1572</v>
      </c>
      <c r="C101" s="587" t="s">
        <v>1554</v>
      </c>
      <c r="D101" s="606" t="s">
        <v>1555</v>
      </c>
      <c r="E101" s="606" t="s">
        <v>1556</v>
      </c>
      <c r="F101" s="606" t="s">
        <v>1557</v>
      </c>
      <c r="G101" s="606" t="s">
        <v>1558</v>
      </c>
      <c r="H101" s="606" t="s">
        <v>1548</v>
      </c>
      <c r="I101" s="587" t="s">
        <v>100</v>
      </c>
      <c r="J101" s="227"/>
    </row>
    <row r="102" spans="1:11">
      <c r="A102" s="549"/>
      <c r="B102" s="581" t="s">
        <v>1560</v>
      </c>
      <c r="C102" s="227"/>
      <c r="D102" s="229"/>
      <c r="E102" s="229"/>
      <c r="F102" s="229"/>
      <c r="G102" s="229"/>
      <c r="H102" s="229"/>
      <c r="I102" s="227"/>
      <c r="J102" s="227"/>
    </row>
    <row r="103" spans="1:11">
      <c r="A103" s="186">
        <v>500</v>
      </c>
      <c r="B103" s="968">
        <v>283</v>
      </c>
      <c r="C103" s="971" t="s">
        <v>2862</v>
      </c>
      <c r="D103" s="707">
        <v>-60649530</v>
      </c>
      <c r="E103" s="966">
        <f>D103</f>
        <v>-60649530</v>
      </c>
      <c r="F103" s="966"/>
      <c r="G103" s="966"/>
      <c r="H103" s="966"/>
      <c r="I103" s="967" t="s">
        <v>2863</v>
      </c>
      <c r="J103" s="958"/>
    </row>
    <row r="104" spans="1:11">
      <c r="A104" s="186">
        <f>A103+1</f>
        <v>501</v>
      </c>
      <c r="B104" s="968">
        <v>283</v>
      </c>
      <c r="C104" s="971" t="s">
        <v>2862</v>
      </c>
      <c r="D104" s="707">
        <v>-10321989</v>
      </c>
      <c r="E104" s="966"/>
      <c r="F104" s="966">
        <f>D104</f>
        <v>-10321989</v>
      </c>
      <c r="G104" s="966"/>
      <c r="H104" s="966"/>
      <c r="I104" s="967" t="s">
        <v>2864</v>
      </c>
      <c r="J104" s="958"/>
    </row>
    <row r="105" spans="1:11">
      <c r="A105" s="962">
        <f t="shared" ref="A105:A111" si="9">A104+1</f>
        <v>502</v>
      </c>
      <c r="B105" s="968">
        <v>283</v>
      </c>
      <c r="C105" s="971" t="s">
        <v>2556</v>
      </c>
      <c r="D105" s="707">
        <v>-30768479</v>
      </c>
      <c r="E105" s="966">
        <f>D105*G158</f>
        <v>-26562.848001642433</v>
      </c>
      <c r="F105" s="966"/>
      <c r="G105" s="966">
        <f>D105-E105</f>
        <v>-30741916.151998356</v>
      </c>
      <c r="H105" s="966"/>
      <c r="I105" s="967" t="s">
        <v>2865</v>
      </c>
      <c r="J105" s="958"/>
    </row>
    <row r="106" spans="1:11">
      <c r="A106" s="962">
        <f t="shared" si="9"/>
        <v>503</v>
      </c>
      <c r="B106" s="968">
        <v>283</v>
      </c>
      <c r="C106" s="971" t="s">
        <v>2557</v>
      </c>
      <c r="D106" s="707">
        <v>-1380206</v>
      </c>
      <c r="E106" s="1352">
        <f>D106*G150</f>
        <v>-8769.3767520598776</v>
      </c>
      <c r="F106" s="966"/>
      <c r="G106" s="966"/>
      <c r="H106" s="966">
        <f>D106-E106</f>
        <v>-1371436.6232479401</v>
      </c>
      <c r="I106" s="967" t="s">
        <v>2841</v>
      </c>
      <c r="J106" s="958"/>
    </row>
    <row r="107" spans="1:11">
      <c r="A107" s="962">
        <f t="shared" si="9"/>
        <v>504</v>
      </c>
      <c r="B107" s="968">
        <v>283</v>
      </c>
      <c r="C107" s="971" t="s">
        <v>2835</v>
      </c>
      <c r="D107" s="707">
        <v>-1107676776</v>
      </c>
      <c r="E107" s="966">
        <f>D107</f>
        <v>-1107676776</v>
      </c>
      <c r="F107" s="966"/>
      <c r="G107" s="966"/>
      <c r="H107" s="966"/>
      <c r="I107" s="967" t="s">
        <v>2844</v>
      </c>
      <c r="J107" s="958"/>
    </row>
    <row r="108" spans="1:11">
      <c r="A108" s="962">
        <f t="shared" si="9"/>
        <v>505</v>
      </c>
      <c r="B108" s="968">
        <v>283</v>
      </c>
      <c r="C108" s="971" t="s">
        <v>2834</v>
      </c>
      <c r="D108" s="707">
        <v>-515023097</v>
      </c>
      <c r="E108" s="966">
        <f t="shared" ref="E108:E110" si="10">D108</f>
        <v>-515023097</v>
      </c>
      <c r="F108" s="966"/>
      <c r="G108" s="966"/>
      <c r="H108" s="966"/>
      <c r="I108" s="967" t="s">
        <v>2843</v>
      </c>
      <c r="J108" s="958"/>
    </row>
    <row r="109" spans="1:11">
      <c r="A109" s="962">
        <f t="shared" si="9"/>
        <v>506</v>
      </c>
      <c r="B109" s="968">
        <v>283</v>
      </c>
      <c r="C109" s="971" t="s">
        <v>2837</v>
      </c>
      <c r="D109" s="707">
        <v>0</v>
      </c>
      <c r="E109" s="990">
        <f t="shared" si="10"/>
        <v>0</v>
      </c>
      <c r="F109" s="966"/>
      <c r="G109" s="966"/>
      <c r="H109" s="966"/>
      <c r="I109" s="967" t="s">
        <v>2846</v>
      </c>
      <c r="J109" s="958"/>
    </row>
    <row r="110" spans="1:11" s="955" customFormat="1">
      <c r="A110" s="962">
        <f t="shared" si="9"/>
        <v>507</v>
      </c>
      <c r="B110" s="968">
        <v>283</v>
      </c>
      <c r="C110" s="971" t="s">
        <v>2838</v>
      </c>
      <c r="D110" s="707">
        <v>-378232906</v>
      </c>
      <c r="E110" s="990">
        <f t="shared" si="10"/>
        <v>-378232906</v>
      </c>
      <c r="F110" s="966"/>
      <c r="G110" s="966"/>
      <c r="H110" s="966"/>
      <c r="I110" s="967" t="s">
        <v>2847</v>
      </c>
      <c r="J110" s="958"/>
      <c r="K110" s="14"/>
    </row>
    <row r="111" spans="1:11" s="955" customFormat="1">
      <c r="A111" s="962">
        <f t="shared" si="9"/>
        <v>508</v>
      </c>
      <c r="B111" s="968" t="s">
        <v>504</v>
      </c>
      <c r="C111" s="971"/>
      <c r="D111" s="707"/>
      <c r="E111" s="990"/>
      <c r="F111" s="966"/>
      <c r="G111" s="966"/>
      <c r="H111" s="966"/>
      <c r="I111" s="967"/>
      <c r="J111" s="958"/>
      <c r="K111" s="14"/>
    </row>
    <row r="112" spans="1:11">
      <c r="A112" s="109"/>
      <c r="B112" s="528"/>
      <c r="C112" s="529"/>
      <c r="D112" s="530"/>
      <c r="E112" s="231"/>
      <c r="F112" s="231"/>
      <c r="G112" s="231"/>
      <c r="H112" s="231"/>
      <c r="I112" s="235"/>
      <c r="J112" s="235"/>
    </row>
    <row r="113" spans="1:11">
      <c r="A113" s="109"/>
      <c r="B113" s="580" t="s">
        <v>1573</v>
      </c>
      <c r="C113" s="604"/>
      <c r="D113" s="595"/>
      <c r="E113" s="229"/>
      <c r="F113" s="229"/>
      <c r="G113" s="229"/>
      <c r="H113" s="229"/>
      <c r="I113" s="227"/>
      <c r="J113" s="235"/>
    </row>
    <row r="114" spans="1:11">
      <c r="A114" s="109"/>
      <c r="B114" s="580"/>
      <c r="C114" s="84" t="s">
        <v>358</v>
      </c>
      <c r="D114" s="84" t="s">
        <v>342</v>
      </c>
      <c r="E114" s="84" t="s">
        <v>343</v>
      </c>
      <c r="F114" s="84" t="s">
        <v>344</v>
      </c>
      <c r="G114" s="84" t="s">
        <v>345</v>
      </c>
      <c r="H114" s="84" t="s">
        <v>346</v>
      </c>
      <c r="I114" s="84" t="s">
        <v>347</v>
      </c>
      <c r="J114" s="235"/>
    </row>
    <row r="115" spans="1:11">
      <c r="A115" s="109"/>
      <c r="B115" s="584"/>
      <c r="C115" s="584"/>
      <c r="D115" s="605" t="s">
        <v>1551</v>
      </c>
      <c r="E115" s="605" t="s">
        <v>1552</v>
      </c>
      <c r="F115" s="605"/>
      <c r="G115" s="605"/>
      <c r="H115" s="605" t="s">
        <v>1265</v>
      </c>
      <c r="I115" s="866" t="s">
        <v>1871</v>
      </c>
      <c r="J115" s="235"/>
    </row>
    <row r="116" spans="1:11">
      <c r="A116" s="109"/>
      <c r="B116" s="587" t="s">
        <v>1572</v>
      </c>
      <c r="C116" s="587" t="s">
        <v>1554</v>
      </c>
      <c r="D116" s="606" t="s">
        <v>1555</v>
      </c>
      <c r="E116" s="606" t="s">
        <v>1556</v>
      </c>
      <c r="F116" s="606" t="s">
        <v>1557</v>
      </c>
      <c r="G116" s="606" t="s">
        <v>1558</v>
      </c>
      <c r="H116" s="606" t="s">
        <v>1548</v>
      </c>
      <c r="I116" s="587" t="s">
        <v>100</v>
      </c>
      <c r="J116" s="235"/>
    </row>
    <row r="117" spans="1:11">
      <c r="A117" s="109"/>
      <c r="B117" s="581" t="s">
        <v>1574</v>
      </c>
      <c r="C117" s="584"/>
      <c r="D117" s="605"/>
      <c r="E117" s="605"/>
      <c r="F117" s="605"/>
      <c r="G117" s="605"/>
      <c r="H117" s="605"/>
      <c r="I117" s="584"/>
      <c r="J117" s="235"/>
    </row>
    <row r="118" spans="1:11">
      <c r="A118" s="962">
        <f>A111+1</f>
        <v>509</v>
      </c>
      <c r="B118" s="964" t="s">
        <v>504</v>
      </c>
      <c r="C118" s="526"/>
      <c r="D118" s="527"/>
      <c r="E118" s="991"/>
      <c r="F118" s="963"/>
      <c r="G118" s="963"/>
      <c r="H118" s="963"/>
      <c r="I118" s="958"/>
      <c r="J118" s="958"/>
    </row>
    <row r="119" spans="1:11">
      <c r="A119" s="109"/>
      <c r="B119" s="531"/>
      <c r="C119" s="532"/>
      <c r="D119" s="466"/>
      <c r="E119" s="231"/>
      <c r="F119" s="231"/>
      <c r="G119" s="231"/>
      <c r="H119" s="231"/>
      <c r="I119" s="235"/>
      <c r="J119" s="235"/>
    </row>
    <row r="120" spans="1:11">
      <c r="A120" s="109">
        <v>650</v>
      </c>
      <c r="B120" s="532"/>
      <c r="C120" s="532" t="s">
        <v>1575</v>
      </c>
      <c r="D120" s="466">
        <f>SUM(D103:D111)+SUM(D118:D118)</f>
        <v>-2104052983</v>
      </c>
      <c r="E120" s="466">
        <f>SUM(E103:E111)+SUM(E118:E118)</f>
        <v>-2061617641.2247536</v>
      </c>
      <c r="F120" s="466">
        <f t="shared" ref="F120:G120" si="11">SUM(F103:F111)+SUM(F118:F118)</f>
        <v>-10321989</v>
      </c>
      <c r="G120" s="466">
        <f t="shared" si="11"/>
        <v>-30741916.151998356</v>
      </c>
      <c r="H120" s="466">
        <f>SUM(H103:H111)+SUM(H118:H118)</f>
        <v>-1371436.6232479401</v>
      </c>
      <c r="I120" s="450" t="str">
        <f>"Sum of Above Lines beginning on Line "&amp;A103&amp;""</f>
        <v>Sum of Above Lines beginning on Line 500</v>
      </c>
      <c r="J120" s="227"/>
    </row>
    <row r="121" spans="1:11">
      <c r="A121" s="109"/>
      <c r="B121" s="532"/>
      <c r="C121" s="532"/>
      <c r="D121" s="466"/>
      <c r="E121" s="466"/>
      <c r="F121" s="466"/>
      <c r="G121" s="466"/>
      <c r="H121" s="466"/>
      <c r="I121" s="523"/>
      <c r="J121" s="227"/>
    </row>
    <row r="122" spans="1:11">
      <c r="A122" s="549"/>
      <c r="B122" s="591" t="s">
        <v>1700</v>
      </c>
      <c r="C122" s="532"/>
      <c r="D122" s="466"/>
      <c r="E122" s="229"/>
      <c r="F122" s="229"/>
      <c r="G122" s="229"/>
      <c r="H122" s="229"/>
      <c r="I122" s="866" t="s">
        <v>1871</v>
      </c>
      <c r="J122" s="227"/>
    </row>
    <row r="123" spans="1:11">
      <c r="A123" s="549"/>
      <c r="C123" s="84" t="s">
        <v>358</v>
      </c>
      <c r="D123" s="84" t="s">
        <v>342</v>
      </c>
      <c r="E123" s="84" t="s">
        <v>343</v>
      </c>
      <c r="F123" s="84" t="s">
        <v>344</v>
      </c>
      <c r="G123" s="84" t="s">
        <v>345</v>
      </c>
      <c r="H123" s="84" t="s">
        <v>346</v>
      </c>
      <c r="I123" s="84" t="s">
        <v>347</v>
      </c>
      <c r="J123" s="227"/>
    </row>
    <row r="124" spans="1:11" s="955" customFormat="1">
      <c r="A124" s="962">
        <v>700</v>
      </c>
      <c r="B124" s="968">
        <v>283</v>
      </c>
      <c r="C124" s="971" t="s">
        <v>2849</v>
      </c>
      <c r="D124" s="708">
        <v>-133198</v>
      </c>
      <c r="E124" s="966">
        <v>-133198</v>
      </c>
      <c r="F124" s="966"/>
      <c r="G124" s="966"/>
      <c r="H124" s="966"/>
      <c r="I124" s="967" t="s">
        <v>2861</v>
      </c>
      <c r="J124" s="967"/>
      <c r="K124" s="14"/>
    </row>
    <row r="125" spans="1:11" s="955" customFormat="1">
      <c r="A125" s="992">
        <f>A124+1</f>
        <v>701</v>
      </c>
      <c r="B125" s="968">
        <v>283</v>
      </c>
      <c r="C125" s="971" t="s">
        <v>2851</v>
      </c>
      <c r="D125" s="708">
        <v>-1032782</v>
      </c>
      <c r="E125" s="966">
        <v>-1032782</v>
      </c>
      <c r="F125" s="966"/>
      <c r="G125" s="966"/>
      <c r="H125" s="966"/>
      <c r="I125" s="967" t="s">
        <v>2850</v>
      </c>
      <c r="J125" s="967"/>
      <c r="K125" s="14"/>
    </row>
    <row r="126" spans="1:11">
      <c r="A126" s="992">
        <f>A125+1</f>
        <v>702</v>
      </c>
      <c r="B126" s="993" t="s">
        <v>504</v>
      </c>
      <c r="C126" s="971"/>
      <c r="D126" s="708"/>
      <c r="E126" s="990"/>
      <c r="F126" s="990"/>
      <c r="G126" s="990"/>
      <c r="H126" s="990"/>
      <c r="I126" s="994"/>
      <c r="J126" s="994"/>
    </row>
    <row r="127" spans="1:11">
      <c r="A127" s="109"/>
      <c r="B127" s="528"/>
      <c r="C127" s="529"/>
      <c r="D127" s="530"/>
      <c r="E127" s="231"/>
      <c r="F127" s="231"/>
      <c r="G127" s="231"/>
      <c r="H127" s="231"/>
      <c r="I127" s="235"/>
      <c r="J127" s="235"/>
    </row>
    <row r="128" spans="1:11">
      <c r="A128" s="109"/>
      <c r="B128" s="532"/>
      <c r="C128" s="84" t="s">
        <v>358</v>
      </c>
      <c r="D128" s="84" t="s">
        <v>342</v>
      </c>
      <c r="E128" s="84" t="s">
        <v>343</v>
      </c>
      <c r="F128" s="84" t="s">
        <v>344</v>
      </c>
      <c r="G128" s="84" t="s">
        <v>345</v>
      </c>
      <c r="H128" s="84" t="s">
        <v>346</v>
      </c>
      <c r="I128" s="361" t="s">
        <v>179</v>
      </c>
      <c r="J128" s="227"/>
    </row>
    <row r="129" spans="1:11">
      <c r="A129" s="109">
        <v>800</v>
      </c>
      <c r="B129" s="227"/>
      <c r="C129" s="465" t="s">
        <v>1576</v>
      </c>
      <c r="D129" s="466">
        <f>SUM(D124:D126)</f>
        <v>-1165980</v>
      </c>
      <c r="E129" s="466">
        <f>SUM(E124:E126)</f>
        <v>-1165980</v>
      </c>
      <c r="F129" s="466">
        <f>SUM(F124:F126)</f>
        <v>0</v>
      </c>
      <c r="G129" s="466">
        <f>SUM(G124:G126)</f>
        <v>0</v>
      </c>
      <c r="H129" s="466">
        <f>SUM(H124:H126)</f>
        <v>0</v>
      </c>
      <c r="I129" s="450" t="str">
        <f>"Sum of Above Lines beginning on Line "&amp;A124&amp;""</f>
        <v>Sum of Above Lines beginning on Line 700</v>
      </c>
      <c r="J129" s="235"/>
    </row>
    <row r="130" spans="1:11">
      <c r="A130" s="109"/>
      <c r="B130" s="227"/>
      <c r="C130" s="465"/>
      <c r="D130" s="466"/>
      <c r="E130" s="466"/>
      <c r="F130" s="466"/>
      <c r="G130" s="466"/>
      <c r="H130" s="466"/>
      <c r="I130" s="450"/>
      <c r="J130" s="235"/>
    </row>
    <row r="131" spans="1:11">
      <c r="A131" s="109">
        <f>A129+1</f>
        <v>801</v>
      </c>
      <c r="B131" s="227"/>
      <c r="C131" s="465" t="s">
        <v>1577</v>
      </c>
      <c r="D131" s="466">
        <f>D120+D129</f>
        <v>-2105218963</v>
      </c>
      <c r="E131" s="466">
        <f>E120+E129</f>
        <v>-2062783621.2247536</v>
      </c>
      <c r="F131" s="466">
        <f>F120+F129</f>
        <v>-10321989</v>
      </c>
      <c r="G131" s="466">
        <f>G120+G129</f>
        <v>-30741916.151998356</v>
      </c>
      <c r="H131" s="466">
        <f>H120+H129</f>
        <v>-1371436.6232479401</v>
      </c>
      <c r="I131" s="1145" t="str">
        <f>"Line "&amp;A120&amp;" + Line "&amp;A129&amp;""</f>
        <v>Line 650 + Line 800</v>
      </c>
      <c r="J131" s="235"/>
    </row>
    <row r="132" spans="1:11">
      <c r="A132" s="535">
        <f>+A131+1</f>
        <v>802</v>
      </c>
      <c r="B132" s="581"/>
      <c r="C132" s="581" t="s">
        <v>1607</v>
      </c>
      <c r="D132" s="930"/>
      <c r="E132" s="930"/>
      <c r="F132" s="595"/>
      <c r="G132" s="597">
        <f>'27-Allocators'!$G$28</f>
        <v>0.18354771144232984</v>
      </c>
      <c r="H132" s="597">
        <f>'27-Allocators'!$G$15</f>
        <v>6.9804259326257695E-2</v>
      </c>
      <c r="I132" s="709" t="str">
        <f>"27-Allocators Lines "&amp;'27-Allocators'!A28&amp;" and "&amp;'27-Allocators'!A15&amp;" respectively."</f>
        <v>27-Allocators Lines 22 and 9 respectively.</v>
      </c>
      <c r="J132" s="235"/>
    </row>
    <row r="133" spans="1:11">
      <c r="A133" s="535">
        <f>+A132+1</f>
        <v>803</v>
      </c>
      <c r="B133" s="581"/>
      <c r="C133" s="581" t="s">
        <v>1611</v>
      </c>
      <c r="D133" s="603">
        <f>SUM(F133:H133)</f>
        <v>-16060329.472750021</v>
      </c>
      <c r="E133" s="595"/>
      <c r="F133" s="598">
        <f>+F131</f>
        <v>-10321989</v>
      </c>
      <c r="G133" s="598">
        <f>+G131*G132</f>
        <v>-5642608.355051293</v>
      </c>
      <c r="H133" s="979">
        <f>+H131*H132</f>
        <v>-95732.11769872639</v>
      </c>
      <c r="I133" s="1145" t="str">
        <f>"Line "&amp;A131&amp;" * Line "&amp;A132&amp;" for Cols 5 and 6.  Col. 4 100% ISO."</f>
        <v>Line 801 * Line 802 for Cols 5 and 6.  Col. 4 100% ISO.</v>
      </c>
      <c r="J133" s="235"/>
    </row>
    <row r="134" spans="1:11">
      <c r="A134" s="109"/>
      <c r="B134" s="227"/>
      <c r="C134" s="1146" t="s">
        <v>1610</v>
      </c>
      <c r="D134" s="466"/>
      <c r="E134" s="466"/>
      <c r="F134" s="466"/>
      <c r="G134" s="466"/>
      <c r="H134" s="466"/>
      <c r="I134" s="522"/>
      <c r="J134" s="229"/>
    </row>
    <row r="135" spans="1:11">
      <c r="A135" s="109"/>
      <c r="B135" s="227"/>
      <c r="C135" s="465"/>
      <c r="D135" s="466"/>
      <c r="E135" s="466"/>
      <c r="F135" s="466"/>
      <c r="G135" s="466"/>
      <c r="H135" s="466"/>
      <c r="I135" s="522"/>
      <c r="J135" s="227"/>
    </row>
    <row r="136" spans="1:11">
      <c r="A136" s="109">
        <f>A133+1</f>
        <v>804</v>
      </c>
      <c r="C136" s="581" t="s">
        <v>1601</v>
      </c>
      <c r="D136" s="965">
        <v>-2105218963</v>
      </c>
      <c r="E136" s="1147" t="str">
        <f>"Must match amount on Line "&amp;A131&amp;", Col. 2"</f>
        <v>Must match amount on Line 801, Col. 2</v>
      </c>
      <c r="F136" s="595"/>
      <c r="G136" s="595"/>
      <c r="H136" s="595"/>
      <c r="I136" s="241" t="s">
        <v>1209</v>
      </c>
    </row>
    <row r="137" spans="1:11" s="955" customFormat="1">
      <c r="A137" s="109"/>
      <c r="B137" s="517"/>
      <c r="C137" s="581"/>
      <c r="D137" s="600"/>
      <c r="E137" s="600"/>
      <c r="F137" s="595"/>
      <c r="G137" s="595"/>
      <c r="H137" s="595"/>
      <c r="I137" s="241"/>
      <c r="J137" s="517"/>
      <c r="K137" s="14"/>
    </row>
    <row r="138" spans="1:11">
      <c r="B138"/>
      <c r="C138" s="235" t="s">
        <v>1872</v>
      </c>
      <c r="D138" s="235"/>
      <c r="E138" s="235"/>
      <c r="F138" s="235"/>
      <c r="G138" s="235"/>
      <c r="J138"/>
    </row>
    <row r="139" spans="1:11">
      <c r="B139"/>
      <c r="C139" s="235" t="s">
        <v>1873</v>
      </c>
      <c r="D139" s="235"/>
      <c r="E139" s="235"/>
      <c r="F139" s="235"/>
      <c r="G139" s="235"/>
      <c r="J139"/>
    </row>
    <row r="140" spans="1:11">
      <c r="B140"/>
      <c r="C140" s="235"/>
      <c r="D140" s="235"/>
      <c r="E140" s="235"/>
      <c r="F140" s="235"/>
      <c r="G140" s="235"/>
      <c r="J140"/>
    </row>
    <row r="141" spans="1:11">
      <c r="B141"/>
      <c r="C141" s="235" t="s">
        <v>1874</v>
      </c>
      <c r="D141" s="235"/>
      <c r="E141" s="235"/>
      <c r="F141" s="235"/>
      <c r="G141" s="235"/>
      <c r="J141"/>
    </row>
    <row r="142" spans="1:11">
      <c r="B142"/>
      <c r="C142" s="235" t="s">
        <v>1875</v>
      </c>
      <c r="D142" s="235"/>
      <c r="E142" s="235"/>
      <c r="F142" s="235"/>
      <c r="G142" s="235"/>
      <c r="J142"/>
    </row>
    <row r="143" spans="1:11">
      <c r="B143"/>
      <c r="C143" s="235" t="s">
        <v>1876</v>
      </c>
      <c r="D143" s="235"/>
      <c r="E143" s="235"/>
      <c r="F143" s="235"/>
      <c r="G143" s="235"/>
      <c r="J143"/>
    </row>
    <row r="144" spans="1:11" s="463" customFormat="1">
      <c r="C144" s="465"/>
      <c r="D144" s="465"/>
      <c r="E144" s="109" t="s">
        <v>169</v>
      </c>
      <c r="F144" s="465"/>
      <c r="G144" s="854" t="s">
        <v>63</v>
      </c>
      <c r="H144" s="227"/>
      <c r="I144" s="227"/>
      <c r="K144" s="465"/>
    </row>
    <row r="145" spans="2:11" s="463" customFormat="1">
      <c r="C145" s="465"/>
      <c r="D145" s="465"/>
      <c r="E145" s="122" t="s">
        <v>170</v>
      </c>
      <c r="F145" s="465"/>
      <c r="G145" s="122" t="s">
        <v>171</v>
      </c>
      <c r="H145" s="227"/>
      <c r="I145" s="227"/>
      <c r="K145" s="465"/>
    </row>
    <row r="146" spans="2:11" s="463" customFormat="1" ht="12.5">
      <c r="C146" s="867" t="s">
        <v>1877</v>
      </c>
      <c r="D146" s="465"/>
      <c r="E146" s="465" t="s">
        <v>283</v>
      </c>
      <c r="F146" s="465"/>
      <c r="G146" s="978">
        <v>911707192</v>
      </c>
      <c r="H146" s="227"/>
      <c r="I146" s="1095"/>
      <c r="K146" s="465"/>
    </row>
    <row r="147" spans="2:11" s="463" customFormat="1" ht="12.5">
      <c r="C147" s="462" t="s">
        <v>1878</v>
      </c>
      <c r="D147" s="465"/>
      <c r="E147" s="465" t="s">
        <v>1879</v>
      </c>
      <c r="F147" s="465"/>
      <c r="G147" s="493">
        <v>1224231</v>
      </c>
      <c r="H147" s="227"/>
      <c r="I147" s="1095"/>
      <c r="K147" s="465"/>
    </row>
    <row r="148" spans="2:11" s="463" customFormat="1" ht="12.5">
      <c r="C148" s="462" t="s">
        <v>1880</v>
      </c>
      <c r="D148" s="465"/>
      <c r="E148" s="465" t="s">
        <v>1881</v>
      </c>
      <c r="F148" s="465"/>
      <c r="G148" s="115">
        <v>4605498</v>
      </c>
      <c r="H148" s="227"/>
      <c r="I148" s="1095"/>
      <c r="K148" s="465"/>
    </row>
    <row r="149" spans="2:11" s="463" customFormat="1" ht="12.5">
      <c r="C149" s="867" t="s">
        <v>1882</v>
      </c>
      <c r="D149" s="465"/>
      <c r="E149" s="465" t="s">
        <v>1883</v>
      </c>
      <c r="F149" s="465"/>
      <c r="G149" s="477">
        <f>SUM(G146:G148)</f>
        <v>917536921</v>
      </c>
      <c r="H149" s="235"/>
      <c r="I149" s="227"/>
      <c r="K149" s="465"/>
    </row>
    <row r="150" spans="2:11" s="463" customFormat="1" ht="12.5">
      <c r="C150" s="462" t="s">
        <v>1884</v>
      </c>
      <c r="D150" s="465"/>
      <c r="E150" s="570" t="s">
        <v>1885</v>
      </c>
      <c r="F150" s="465"/>
      <c r="G150" s="389">
        <f>(G147+G148)/G149</f>
        <v>6.3536723880782122E-3</v>
      </c>
      <c r="H150" s="235"/>
      <c r="I150" s="227"/>
      <c r="K150" s="465"/>
    </row>
    <row r="151" spans="2:11" s="463" customFormat="1" ht="12.5">
      <c r="C151" s="848" t="s">
        <v>1886</v>
      </c>
      <c r="D151" s="235"/>
      <c r="E151" s="235"/>
      <c r="F151" s="235"/>
      <c r="G151" s="235"/>
      <c r="H151" s="227"/>
      <c r="I151" s="227"/>
      <c r="K151" s="465"/>
    </row>
    <row r="152" spans="2:11" s="463" customFormat="1">
      <c r="C152" s="465"/>
      <c r="D152" s="465"/>
      <c r="E152" s="109" t="s">
        <v>169</v>
      </c>
      <c r="F152" s="465"/>
      <c r="G152" s="854" t="s">
        <v>63</v>
      </c>
      <c r="H152" s="227"/>
      <c r="I152" s="227"/>
      <c r="K152" s="465"/>
    </row>
    <row r="153" spans="2:11" s="463" customFormat="1">
      <c r="C153" s="465"/>
      <c r="D153" s="465"/>
      <c r="E153" s="122" t="s">
        <v>170</v>
      </c>
      <c r="F153" s="465"/>
      <c r="G153" s="122" t="s">
        <v>171</v>
      </c>
      <c r="H153" s="227"/>
      <c r="I153" s="227"/>
      <c r="K153" s="465"/>
    </row>
    <row r="154" spans="2:11" s="463" customFormat="1" ht="12.5">
      <c r="C154" s="462" t="s">
        <v>1887</v>
      </c>
      <c r="D154" s="465"/>
      <c r="E154" s="465" t="s">
        <v>34</v>
      </c>
      <c r="F154" s="465"/>
      <c r="G154" s="978">
        <v>54562145476</v>
      </c>
      <c r="H154" s="227"/>
      <c r="I154" s="1095"/>
      <c r="K154" s="465"/>
    </row>
    <row r="155" spans="2:11" s="463" customFormat="1" ht="12.5">
      <c r="C155" s="462" t="s">
        <v>1888</v>
      </c>
      <c r="D155" s="465"/>
      <c r="E155" s="465" t="s">
        <v>1889</v>
      </c>
      <c r="F155" s="465"/>
      <c r="G155" s="493">
        <v>6489458</v>
      </c>
      <c r="H155" s="227"/>
      <c r="I155" s="227"/>
      <c r="K155" s="465"/>
    </row>
    <row r="156" spans="2:11" s="463" customFormat="1" ht="12.5">
      <c r="C156" s="462" t="s">
        <v>1890</v>
      </c>
      <c r="D156" s="465"/>
      <c r="E156" s="465" t="s">
        <v>1891</v>
      </c>
      <c r="F156" s="465"/>
      <c r="G156" s="115">
        <v>40655488</v>
      </c>
      <c r="H156" s="227"/>
      <c r="I156" s="1095"/>
      <c r="K156" s="465"/>
    </row>
    <row r="157" spans="2:11" s="463" customFormat="1" ht="12.5">
      <c r="C157" s="462" t="s">
        <v>1892</v>
      </c>
      <c r="D157" s="465"/>
      <c r="E157" s="465" t="s">
        <v>1893</v>
      </c>
      <c r="F157" s="465"/>
      <c r="G157" s="477">
        <f>SUM(G154:G156)</f>
        <v>54609290422</v>
      </c>
      <c r="H157" s="235"/>
      <c r="I157" s="235"/>
      <c r="J157" s="465"/>
      <c r="K157" s="465"/>
    </row>
    <row r="158" spans="2:11" s="463" customFormat="1" ht="12.5">
      <c r="C158" s="462" t="s">
        <v>1894</v>
      </c>
      <c r="D158" s="465"/>
      <c r="E158" s="570" t="s">
        <v>1895</v>
      </c>
      <c r="F158" s="465"/>
      <c r="G158" s="389">
        <f>(G155+G156)/G157</f>
        <v>8.6331365296420516E-4</v>
      </c>
      <c r="H158" s="235"/>
      <c r="I158" s="235"/>
      <c r="J158" s="465"/>
      <c r="K158" s="465"/>
    </row>
    <row r="159" spans="2:11" s="463" customFormat="1" ht="12.5">
      <c r="C159" s="235" t="s">
        <v>2415</v>
      </c>
      <c r="D159" s="235"/>
      <c r="E159" s="235"/>
      <c r="F159" s="235"/>
      <c r="G159" s="235"/>
      <c r="H159" s="235"/>
      <c r="I159" s="235"/>
      <c r="J159" s="465"/>
      <c r="K159" s="465"/>
    </row>
    <row r="160" spans="2:11" s="463" customFormat="1" ht="12.5">
      <c r="B160" s="227"/>
      <c r="C160" s="227"/>
      <c r="D160" s="227"/>
      <c r="E160" s="227"/>
      <c r="F160" s="227"/>
      <c r="G160" s="227"/>
      <c r="H160" s="227"/>
      <c r="I160" s="227"/>
      <c r="J160" s="227"/>
      <c r="K160" s="465"/>
    </row>
    <row r="161" spans="2:11" s="463" customFormat="1">
      <c r="B161" s="227"/>
      <c r="C161" s="833" t="s">
        <v>230</v>
      </c>
      <c r="D161" s="227"/>
      <c r="E161" s="227"/>
      <c r="F161" s="227"/>
      <c r="G161" s="227"/>
      <c r="H161" s="227"/>
      <c r="I161" s="227"/>
      <c r="J161" s="227"/>
      <c r="K161" s="465"/>
    </row>
    <row r="162" spans="2:11">
      <c r="C162" s="463" t="s">
        <v>2822</v>
      </c>
      <c r="G162" s="1241"/>
      <c r="H162" s="1321" t="s">
        <v>2531</v>
      </c>
      <c r="I162" s="961" t="s">
        <v>2867</v>
      </c>
      <c r="J162" s="1235"/>
    </row>
    <row r="163" spans="2:11">
      <c r="C163" s="463"/>
    </row>
    <row r="164" spans="2:11">
      <c r="C164" s="462"/>
    </row>
    <row r="165" spans="2:11">
      <c r="C165" s="467"/>
    </row>
  </sheetData>
  <protectedRanges>
    <protectedRange password="F1C4" sqref="D20:E23 E15:E19 D14:D15 D17:D18 I54 B7:C12 F20 I118 D25:F30 D24 B14:C14 B13 B17:C30 C16 B15" name="AAReport1_23_1_1_2"/>
    <protectedRange password="F1C4" sqref="D19" name="AAReport1_23_1_1_1_1_1"/>
    <protectedRange password="F1C4" sqref="F32:F33 J32:J35 F47" name="AAReport1_23_1_1_2_1"/>
    <protectedRange password="F1C4" sqref="E24" name="AAReport1_23_1_1_2_3"/>
  </protectedRanges>
  <phoneticPr fontId="23" type="noConversion"/>
  <conditionalFormatting sqref="B112 B126:B127 D126:D127 D103:D112">
    <cfRule type="expression" dxfId="22" priority="16" stopIfTrue="1">
      <formula>Formulas</formula>
    </cfRule>
  </conditionalFormatting>
  <conditionalFormatting sqref="D118">
    <cfRule type="expression" dxfId="21" priority="17" stopIfTrue="1">
      <formula>Formulas</formula>
    </cfRule>
  </conditionalFormatting>
  <conditionalFormatting sqref="C118 C112 C126:C127">
    <cfRule type="expression" dxfId="20" priority="15" stopIfTrue="1">
      <formula>#REF!&lt;&gt;""</formula>
    </cfRule>
  </conditionalFormatting>
  <conditionalFormatting sqref="C103:C111">
    <cfRule type="expression" dxfId="19" priority="5" stopIfTrue="1">
      <formula>#REF!&lt;&gt;""</formula>
    </cfRule>
  </conditionalFormatting>
  <conditionalFormatting sqref="D124">
    <cfRule type="expression" dxfId="18" priority="4" stopIfTrue="1">
      <formula>Formulas</formula>
    </cfRule>
  </conditionalFormatting>
  <conditionalFormatting sqref="C124">
    <cfRule type="expression" dxfId="17" priority="3" stopIfTrue="1">
      <formula>#REF!&lt;&gt;""</formula>
    </cfRule>
  </conditionalFormatting>
  <conditionalFormatting sqref="D125">
    <cfRule type="expression" dxfId="16" priority="2" stopIfTrue="1">
      <formula>Formulas</formula>
    </cfRule>
  </conditionalFormatting>
  <conditionalFormatting sqref="C125">
    <cfRule type="expression" dxfId="15" priority="1" stopIfTrue="1">
      <formula>#REF!&lt;&gt;""</formula>
    </cfRule>
  </conditionalFormatting>
  <pageMargins left="0.75" right="0.75" top="1" bottom="1" header="0.5" footer="0.5"/>
  <pageSetup scale="60" orientation="landscape" cellComments="asDisplayed" r:id="rId1"/>
  <headerFooter alignWithMargins="0">
    <oddHeader>&amp;CSchedule 9-ADIT-1
ADIT
&amp;RTO2022 Draft Annual Update 
Attachment 1</oddHeader>
    <oddFooter>&amp;R&amp;A</oddFooter>
  </headerFooter>
  <rowBreaks count="4" manualBreakCount="4">
    <brk id="24" max="16383" man="1"/>
    <brk id="57" max="16383" man="1"/>
    <brk id="95" max="9" man="1"/>
    <brk id="137"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dimension ref="A1:N64"/>
  <sheetViews>
    <sheetView zoomScaleNormal="100" zoomScalePageLayoutView="70" workbookViewId="0"/>
  </sheetViews>
  <sheetFormatPr defaultColWidth="14.54296875" defaultRowHeight="12.5"/>
  <cols>
    <col min="1" max="1" width="5.54296875" style="955" customWidth="1"/>
    <col min="2" max="2" width="34.54296875" style="955" customWidth="1"/>
    <col min="3" max="3" width="3.54296875" style="955" customWidth="1"/>
    <col min="4" max="7" width="13.54296875" style="955" customWidth="1"/>
    <col min="8" max="16384" width="14.54296875" style="955"/>
  </cols>
  <sheetData>
    <row r="1" spans="1:14" ht="14.5">
      <c r="A1" s="1320" t="s">
        <v>2646</v>
      </c>
      <c r="B1" s="1257"/>
      <c r="C1" s="1257"/>
      <c r="D1" s="1257"/>
      <c r="E1" s="1257"/>
      <c r="F1" s="1257"/>
      <c r="G1" s="1257"/>
      <c r="H1" s="1257"/>
      <c r="I1" s="1257"/>
      <c r="J1" s="1257"/>
      <c r="K1" s="1257"/>
      <c r="L1" s="1257"/>
      <c r="M1" s="1257"/>
      <c r="N1" s="1258"/>
    </row>
    <row r="2" spans="1:14" ht="13">
      <c r="A2" s="1259"/>
      <c r="B2" s="1256"/>
      <c r="C2" s="1256"/>
      <c r="D2" s="1259"/>
      <c r="E2" s="1259"/>
      <c r="F2" s="1259"/>
      <c r="G2" s="1259"/>
      <c r="H2" s="1259"/>
      <c r="I2" s="1259"/>
      <c r="J2" s="1259"/>
      <c r="L2" s="1260" t="s">
        <v>1713</v>
      </c>
      <c r="M2" s="1261">
        <v>2020</v>
      </c>
      <c r="N2" s="631"/>
    </row>
    <row r="3" spans="1:14">
      <c r="A3" s="1259"/>
      <c r="B3" s="1259"/>
      <c r="C3" s="1259"/>
      <c r="D3" s="1259"/>
      <c r="E3" s="1259"/>
      <c r="F3" s="1259"/>
      <c r="G3" s="1259"/>
      <c r="H3" s="1259"/>
      <c r="I3" s="1259"/>
      <c r="J3" s="1259"/>
      <c r="K3" s="1259"/>
      <c r="L3" s="1259"/>
      <c r="M3" s="1259"/>
      <c r="N3" s="631"/>
    </row>
    <row r="4" spans="1:14" ht="13">
      <c r="A4" s="1262"/>
      <c r="B4" s="1263" t="s">
        <v>2561</v>
      </c>
      <c r="C4" s="1263"/>
      <c r="D4" s="1263" t="s">
        <v>2562</v>
      </c>
      <c r="E4" s="1263" t="s">
        <v>2563</v>
      </c>
      <c r="F4" s="1263" t="s">
        <v>2564</v>
      </c>
      <c r="G4" s="1263" t="s">
        <v>2565</v>
      </c>
      <c r="H4" s="1263" t="s">
        <v>2566</v>
      </c>
      <c r="I4" s="1263" t="s">
        <v>2567</v>
      </c>
      <c r="J4" s="1263" t="s">
        <v>2568</v>
      </c>
      <c r="K4" s="1263" t="s">
        <v>2569</v>
      </c>
      <c r="L4" s="1263" t="s">
        <v>2570</v>
      </c>
      <c r="M4" s="1263" t="s">
        <v>2571</v>
      </c>
      <c r="N4" s="1264"/>
    </row>
    <row r="5" spans="1:14" ht="13.5" thickBot="1">
      <c r="A5" s="631"/>
      <c r="B5" s="1265"/>
      <c r="C5" s="1265"/>
      <c r="D5" s="1265"/>
      <c r="E5" s="1265"/>
      <c r="F5" s="1264"/>
      <c r="G5" s="1264"/>
      <c r="H5" s="1264"/>
      <c r="I5" s="1264"/>
      <c r="J5" s="1265"/>
      <c r="K5" s="1264"/>
      <c r="L5" s="1264"/>
      <c r="M5" s="1265"/>
      <c r="N5" s="1265"/>
    </row>
    <row r="6" spans="1:14" ht="13.5" thickBot="1">
      <c r="A6" s="631"/>
      <c r="B6" s="1265"/>
      <c r="C6" s="1262"/>
      <c r="D6" s="1266" t="s">
        <v>33</v>
      </c>
      <c r="E6" s="1266" t="s">
        <v>33</v>
      </c>
      <c r="F6" s="1266" t="s">
        <v>33</v>
      </c>
      <c r="G6" s="1266" t="s">
        <v>33</v>
      </c>
      <c r="H6" s="1266" t="s">
        <v>33</v>
      </c>
      <c r="I6" s="1266" t="s">
        <v>33</v>
      </c>
      <c r="J6" s="1267" t="s">
        <v>2572</v>
      </c>
      <c r="K6" s="1267" t="s">
        <v>2573</v>
      </c>
      <c r="L6" s="1267" t="s">
        <v>2574</v>
      </c>
      <c r="M6" s="1267" t="s">
        <v>2574</v>
      </c>
      <c r="N6" s="1265"/>
    </row>
    <row r="7" spans="1:14" ht="73" thickBot="1">
      <c r="A7" s="1268" t="s">
        <v>329</v>
      </c>
      <c r="B7" s="631" t="s">
        <v>2575</v>
      </c>
      <c r="C7" s="1269"/>
      <c r="D7" s="1270" t="s">
        <v>2576</v>
      </c>
      <c r="E7" s="1270" t="s">
        <v>2577</v>
      </c>
      <c r="F7" s="1271" t="s">
        <v>2578</v>
      </c>
      <c r="G7" s="1271" t="s">
        <v>2579</v>
      </c>
      <c r="H7" s="1272" t="s">
        <v>2580</v>
      </c>
      <c r="I7" s="1273" t="s">
        <v>2581</v>
      </c>
      <c r="J7" s="1273" t="s">
        <v>2582</v>
      </c>
      <c r="K7" s="1272" t="s">
        <v>2583</v>
      </c>
      <c r="L7" s="1273" t="s">
        <v>2584</v>
      </c>
      <c r="M7" s="1273" t="s">
        <v>2585</v>
      </c>
      <c r="N7" s="1274"/>
    </row>
    <row r="8" spans="1:14" ht="13">
      <c r="A8" s="1275">
        <v>1</v>
      </c>
      <c r="B8" s="1276" t="s">
        <v>2586</v>
      </c>
      <c r="C8" s="1277"/>
      <c r="D8" s="1259"/>
      <c r="E8" s="1259"/>
      <c r="F8" s="1259"/>
      <c r="G8" s="1259"/>
      <c r="H8" s="1259"/>
      <c r="I8" s="1259"/>
      <c r="J8" s="1259"/>
      <c r="K8" s="1259"/>
      <c r="L8" s="1259"/>
      <c r="M8" s="1259"/>
      <c r="N8" s="631"/>
    </row>
    <row r="9" spans="1:14" ht="13">
      <c r="A9" s="1275">
        <f t="shared" ref="A9:A45" si="0">+A8+1</f>
        <v>2</v>
      </c>
      <c r="B9" s="1278" t="s">
        <v>2587</v>
      </c>
      <c r="C9" s="1279"/>
      <c r="D9" s="1280">
        <v>0</v>
      </c>
      <c r="E9" s="1280">
        <v>-594282897</v>
      </c>
      <c r="F9" s="1280"/>
      <c r="G9" s="1280"/>
      <c r="H9" s="1280"/>
      <c r="I9" s="1280">
        <v>6077586</v>
      </c>
      <c r="J9" s="1322">
        <f>SUM(D9:I9)</f>
        <v>-588205311</v>
      </c>
      <c r="K9" s="1322">
        <f>'9-ADIT-3'!I12</f>
        <v>0</v>
      </c>
      <c r="L9" s="1322">
        <f>IF(+J9+K9&gt;0,+J9+K9,0)</f>
        <v>0</v>
      </c>
      <c r="M9" s="1322">
        <f>IF(+J9+K9&gt;0,0,+J9+K9)</f>
        <v>-588205311</v>
      </c>
      <c r="N9" s="631"/>
    </row>
    <row r="10" spans="1:14" ht="13">
      <c r="A10" s="1275">
        <f t="shared" si="0"/>
        <v>3</v>
      </c>
      <c r="B10" s="1278" t="s">
        <v>2588</v>
      </c>
      <c r="C10" s="1279"/>
      <c r="D10" s="1280">
        <v>7117930</v>
      </c>
      <c r="E10" s="1280">
        <v>0</v>
      </c>
      <c r="F10" s="1280"/>
      <c r="G10" s="1280"/>
      <c r="H10" s="1280">
        <v>-677694</v>
      </c>
      <c r="I10" s="1280"/>
      <c r="J10" s="1322">
        <f t="shared" ref="J10:J13" si="1">SUM(D10:I10)</f>
        <v>6440236</v>
      </c>
      <c r="K10" s="1322">
        <f>'9-ADIT-3'!I13</f>
        <v>0</v>
      </c>
      <c r="L10" s="1322">
        <f t="shared" ref="L10:L12" si="2">IF(+J10+K10&gt;0,+J10+K10,0)</f>
        <v>6440236</v>
      </c>
      <c r="M10" s="1322">
        <f t="shared" ref="M10:M12" si="3">IF(+J10+K10&gt;0,0,+J10+K10)</f>
        <v>0</v>
      </c>
      <c r="N10" s="631"/>
    </row>
    <row r="11" spans="1:14" ht="13">
      <c r="A11" s="1275">
        <f t="shared" si="0"/>
        <v>4</v>
      </c>
      <c r="B11" s="1278" t="s">
        <v>2589</v>
      </c>
      <c r="C11" s="1279"/>
      <c r="D11" s="1280">
        <v>4041380</v>
      </c>
      <c r="E11" s="1280">
        <v>0</v>
      </c>
      <c r="F11" s="1280"/>
      <c r="G11" s="1280"/>
      <c r="H11" s="1280">
        <v>-898084</v>
      </c>
      <c r="I11" s="1280"/>
      <c r="J11" s="1322">
        <f t="shared" si="1"/>
        <v>3143296</v>
      </c>
      <c r="K11" s="1322">
        <f>'9-ADIT-3'!I14</f>
        <v>0</v>
      </c>
      <c r="L11" s="1322">
        <f t="shared" si="2"/>
        <v>3143296</v>
      </c>
      <c r="M11" s="1322">
        <f t="shared" si="3"/>
        <v>0</v>
      </c>
      <c r="N11" s="631"/>
    </row>
    <row r="12" spans="1:14" ht="13">
      <c r="A12" s="1275">
        <f t="shared" si="0"/>
        <v>5</v>
      </c>
      <c r="B12" s="1278" t="s">
        <v>2590</v>
      </c>
      <c r="C12" s="1279"/>
      <c r="D12" s="1280">
        <v>20691551</v>
      </c>
      <c r="E12" s="1280">
        <v>0</v>
      </c>
      <c r="F12" s="1280"/>
      <c r="G12" s="1280"/>
      <c r="H12" s="1280">
        <v>-16180</v>
      </c>
      <c r="I12" s="1280"/>
      <c r="J12" s="1322">
        <f t="shared" si="1"/>
        <v>20675371</v>
      </c>
      <c r="K12" s="1322">
        <f>'9-ADIT-3'!I15</f>
        <v>0</v>
      </c>
      <c r="L12" s="1322">
        <f t="shared" si="2"/>
        <v>20675371</v>
      </c>
      <c r="M12" s="1322">
        <f t="shared" si="3"/>
        <v>0</v>
      </c>
      <c r="N12" s="631"/>
    </row>
    <row r="13" spans="1:14" ht="13">
      <c r="A13" s="1275">
        <f t="shared" si="0"/>
        <v>6</v>
      </c>
      <c r="B13" s="1281" t="s">
        <v>504</v>
      </c>
      <c r="C13" s="1282"/>
      <c r="D13" s="1280"/>
      <c r="E13" s="1280"/>
      <c r="F13" s="1280"/>
      <c r="G13" s="1280"/>
      <c r="H13" s="1280"/>
      <c r="I13" s="1280"/>
      <c r="J13" s="1322">
        <f t="shared" si="1"/>
        <v>0</v>
      </c>
      <c r="K13" s="1322"/>
      <c r="L13" s="1322"/>
      <c r="M13" s="1322"/>
      <c r="N13" s="631"/>
    </row>
    <row r="14" spans="1:14" ht="13">
      <c r="A14" s="1283" t="s">
        <v>2591</v>
      </c>
      <c r="B14" s="1284" t="s">
        <v>2592</v>
      </c>
      <c r="C14" s="1285"/>
      <c r="D14" s="1323">
        <f t="shared" ref="D14:M14" si="4">SUM(D9:D13)</f>
        <v>31850861</v>
      </c>
      <c r="E14" s="1323">
        <f t="shared" si="4"/>
        <v>-594282897</v>
      </c>
      <c r="F14" s="1323">
        <f t="shared" si="4"/>
        <v>0</v>
      </c>
      <c r="G14" s="1323">
        <f t="shared" si="4"/>
        <v>0</v>
      </c>
      <c r="H14" s="1323">
        <f t="shared" si="4"/>
        <v>-1591958</v>
      </c>
      <c r="I14" s="1323">
        <f t="shared" si="4"/>
        <v>6077586</v>
      </c>
      <c r="J14" s="1323">
        <f t="shared" si="4"/>
        <v>-557946408</v>
      </c>
      <c r="K14" s="1323">
        <f t="shared" si="4"/>
        <v>0</v>
      </c>
      <c r="L14" s="1323">
        <f t="shared" si="4"/>
        <v>30258903</v>
      </c>
      <c r="M14" s="1323">
        <f t="shared" si="4"/>
        <v>-588205311</v>
      </c>
      <c r="N14" s="631"/>
    </row>
    <row r="15" spans="1:14" ht="13">
      <c r="A15" s="1275"/>
      <c r="B15" s="1278"/>
      <c r="C15" s="1285"/>
      <c r="D15" s="1278"/>
      <c r="E15" s="1278"/>
      <c r="F15" s="1278"/>
      <c r="G15" s="1278"/>
      <c r="H15" s="1278"/>
      <c r="I15" s="1278"/>
      <c r="J15" s="1278"/>
      <c r="K15" s="1278"/>
      <c r="L15" s="1278"/>
      <c r="M15" s="1278"/>
      <c r="N15" s="631"/>
    </row>
    <row r="16" spans="1:14" ht="13">
      <c r="A16" s="1275">
        <v>100</v>
      </c>
      <c r="B16" s="1286" t="s">
        <v>2593</v>
      </c>
      <c r="C16" s="1287"/>
      <c r="D16" s="1278"/>
      <c r="E16" s="1278"/>
      <c r="F16" s="1278"/>
      <c r="G16" s="1278"/>
      <c r="H16" s="1278"/>
      <c r="I16" s="1278"/>
      <c r="J16" s="1278"/>
      <c r="K16" s="1278"/>
      <c r="L16" s="1278"/>
      <c r="M16" s="1278"/>
      <c r="N16" s="631"/>
    </row>
    <row r="17" spans="1:14" ht="13">
      <c r="A17" s="1275">
        <f t="shared" si="0"/>
        <v>101</v>
      </c>
      <c r="B17" s="1278" t="s">
        <v>2594</v>
      </c>
      <c r="C17" s="1279"/>
      <c r="D17" s="1280">
        <v>0</v>
      </c>
      <c r="E17" s="1280">
        <v>-14422252</v>
      </c>
      <c r="F17" s="1280"/>
      <c r="G17" s="1280"/>
      <c r="H17" s="1280"/>
      <c r="I17" s="1280">
        <v>7211126</v>
      </c>
      <c r="J17" s="1322">
        <f t="shared" ref="J17:J23" si="5">SUM(D17:I17)</f>
        <v>-7211126</v>
      </c>
      <c r="K17" s="1322">
        <f>'9-ADIT-3'!I20</f>
        <v>0</v>
      </c>
      <c r="L17" s="1322">
        <f t="shared" ref="L17:L22" si="6">IF(+J17+K17&gt;0,+J17+K17,0)</f>
        <v>0</v>
      </c>
      <c r="M17" s="1322">
        <f t="shared" ref="M17:M22" si="7">IF(+J17+K17&gt;0,0,+J17+K17)</f>
        <v>-7211126</v>
      </c>
      <c r="N17" s="631"/>
    </row>
    <row r="18" spans="1:14" ht="13">
      <c r="A18" s="1275">
        <f t="shared" si="0"/>
        <v>102</v>
      </c>
      <c r="B18" s="1278" t="s">
        <v>2595</v>
      </c>
      <c r="C18" s="1279"/>
      <c r="D18" s="1280">
        <v>0</v>
      </c>
      <c r="E18" s="1280">
        <v>-2443613</v>
      </c>
      <c r="F18" s="1280"/>
      <c r="G18" s="1280"/>
      <c r="H18" s="1280"/>
      <c r="I18" s="1280">
        <v>1221806</v>
      </c>
      <c r="J18" s="1322">
        <f t="shared" si="5"/>
        <v>-1221807</v>
      </c>
      <c r="K18" s="1322">
        <f>'9-ADIT-3'!I21</f>
        <v>0</v>
      </c>
      <c r="L18" s="1322">
        <f t="shared" si="6"/>
        <v>0</v>
      </c>
      <c r="M18" s="1322">
        <f t="shared" si="7"/>
        <v>-1221807</v>
      </c>
      <c r="N18" s="631"/>
    </row>
    <row r="19" spans="1:14" ht="13">
      <c r="A19" s="1275">
        <f t="shared" si="0"/>
        <v>103</v>
      </c>
      <c r="B19" s="1278" t="s">
        <v>2596</v>
      </c>
      <c r="C19" s="1279"/>
      <c r="D19" s="1280">
        <v>0</v>
      </c>
      <c r="E19" s="1280">
        <v>-20371308</v>
      </c>
      <c r="F19" s="1280"/>
      <c r="G19" s="1280"/>
      <c r="H19" s="1280"/>
      <c r="I19" s="1280">
        <v>10185654</v>
      </c>
      <c r="J19" s="1322">
        <f t="shared" si="5"/>
        <v>-10185654</v>
      </c>
      <c r="K19" s="1322">
        <f>'9-ADIT-3'!I22</f>
        <v>0</v>
      </c>
      <c r="L19" s="1322">
        <f t="shared" si="6"/>
        <v>0</v>
      </c>
      <c r="M19" s="1322">
        <f t="shared" si="7"/>
        <v>-10185654</v>
      </c>
      <c r="N19" s="631"/>
    </row>
    <row r="20" spans="1:14" ht="13">
      <c r="A20" s="1275">
        <f t="shared" si="0"/>
        <v>104</v>
      </c>
      <c r="B20" s="1278" t="s">
        <v>2597</v>
      </c>
      <c r="C20" s="1279"/>
      <c r="D20" s="1280">
        <v>0</v>
      </c>
      <c r="E20" s="1280">
        <v>-1207029</v>
      </c>
      <c r="F20" s="1280"/>
      <c r="G20" s="1280"/>
      <c r="H20" s="1280"/>
      <c r="I20" s="1280">
        <v>603515</v>
      </c>
      <c r="J20" s="1322">
        <f t="shared" si="5"/>
        <v>-603514</v>
      </c>
      <c r="K20" s="1322">
        <f>'9-ADIT-3'!I23</f>
        <v>0</v>
      </c>
      <c r="L20" s="1322">
        <f t="shared" si="6"/>
        <v>0</v>
      </c>
      <c r="M20" s="1322">
        <f t="shared" si="7"/>
        <v>-603514</v>
      </c>
      <c r="N20" s="631"/>
    </row>
    <row r="21" spans="1:14" ht="13">
      <c r="A21" s="1275">
        <f t="shared" si="0"/>
        <v>105</v>
      </c>
      <c r="B21" s="1278" t="s">
        <v>2598</v>
      </c>
      <c r="C21" s="1279"/>
      <c r="D21" s="1280">
        <v>0</v>
      </c>
      <c r="E21" s="1280">
        <v>-4442785</v>
      </c>
      <c r="F21" s="1280"/>
      <c r="G21" s="1280"/>
      <c r="H21" s="1280"/>
      <c r="I21" s="1280">
        <v>2221391</v>
      </c>
      <c r="J21" s="1322">
        <f t="shared" si="5"/>
        <v>-2221394</v>
      </c>
      <c r="K21" s="1322">
        <f>'9-ADIT-3'!I24</f>
        <v>0</v>
      </c>
      <c r="L21" s="1322">
        <f t="shared" si="6"/>
        <v>0</v>
      </c>
      <c r="M21" s="1322">
        <f t="shared" si="7"/>
        <v>-2221394</v>
      </c>
      <c r="N21" s="631"/>
    </row>
    <row r="22" spans="1:14" ht="13">
      <c r="A22" s="1275">
        <f t="shared" si="0"/>
        <v>106</v>
      </c>
      <c r="B22" s="1278" t="s">
        <v>2599</v>
      </c>
      <c r="C22" s="1279"/>
      <c r="D22" s="1280">
        <v>13683650</v>
      </c>
      <c r="E22" s="1280" t="s">
        <v>2866</v>
      </c>
      <c r="F22" s="1280"/>
      <c r="G22" s="1280"/>
      <c r="H22" s="1280">
        <v>-6841827</v>
      </c>
      <c r="I22" s="1280"/>
      <c r="J22" s="1322">
        <f t="shared" si="5"/>
        <v>6841823</v>
      </c>
      <c r="K22" s="1322">
        <f>'9-ADIT-3'!I25</f>
        <v>0</v>
      </c>
      <c r="L22" s="1322">
        <f t="shared" si="6"/>
        <v>6841823</v>
      </c>
      <c r="M22" s="1322">
        <f t="shared" si="7"/>
        <v>0</v>
      </c>
      <c r="N22" s="631"/>
    </row>
    <row r="23" spans="1:14" ht="13">
      <c r="A23" s="1275">
        <f t="shared" si="0"/>
        <v>107</v>
      </c>
      <c r="B23" s="1281" t="s">
        <v>504</v>
      </c>
      <c r="C23" s="1282"/>
      <c r="D23" s="1280"/>
      <c r="E23" s="1280"/>
      <c r="F23" s="1280"/>
      <c r="G23" s="1280"/>
      <c r="H23" s="1280"/>
      <c r="I23" s="1280"/>
      <c r="J23" s="1322">
        <f t="shared" si="5"/>
        <v>0</v>
      </c>
      <c r="K23" s="1322"/>
      <c r="L23" s="1322"/>
      <c r="M23" s="1322"/>
      <c r="N23" s="631"/>
    </row>
    <row r="24" spans="1:14" ht="13">
      <c r="A24" s="1283" t="s">
        <v>2600</v>
      </c>
      <c r="B24" s="1284" t="s">
        <v>2601</v>
      </c>
      <c r="C24" s="1285"/>
      <c r="D24" s="1324">
        <f t="shared" ref="D24:M24" si="8">SUM(D17:D23)</f>
        <v>13683650</v>
      </c>
      <c r="E24" s="1324">
        <f t="shared" si="8"/>
        <v>-42886987</v>
      </c>
      <c r="F24" s="1324">
        <f t="shared" si="8"/>
        <v>0</v>
      </c>
      <c r="G24" s="1324">
        <f t="shared" si="8"/>
        <v>0</v>
      </c>
      <c r="H24" s="1324">
        <f t="shared" si="8"/>
        <v>-6841827</v>
      </c>
      <c r="I24" s="1324">
        <f t="shared" si="8"/>
        <v>21443492</v>
      </c>
      <c r="J24" s="1324">
        <f t="shared" si="8"/>
        <v>-14601672</v>
      </c>
      <c r="K24" s="1324">
        <f t="shared" si="8"/>
        <v>0</v>
      </c>
      <c r="L24" s="1324">
        <f t="shared" si="8"/>
        <v>6841823</v>
      </c>
      <c r="M24" s="1324">
        <f t="shared" si="8"/>
        <v>-21443495</v>
      </c>
      <c r="N24" s="631"/>
    </row>
    <row r="25" spans="1:14" ht="13">
      <c r="A25" s="1275"/>
      <c r="B25" s="1278"/>
      <c r="C25" s="1285"/>
      <c r="D25" s="227"/>
      <c r="E25" s="227"/>
      <c r="F25" s="227"/>
      <c r="G25" s="227"/>
      <c r="H25" s="227"/>
      <c r="I25" s="227"/>
      <c r="J25" s="227"/>
      <c r="K25" s="227"/>
      <c r="L25" s="227"/>
      <c r="M25" s="1288"/>
      <c r="N25" s="631"/>
    </row>
    <row r="26" spans="1:14" ht="13">
      <c r="A26" s="1283" t="s">
        <v>2602</v>
      </c>
      <c r="B26" s="1289" t="s">
        <v>2603</v>
      </c>
      <c r="C26" s="1279"/>
      <c r="D26" s="1290">
        <v>56284888</v>
      </c>
      <c r="E26" s="1290"/>
      <c r="F26" s="1290"/>
      <c r="G26" s="1290"/>
      <c r="H26" s="1290"/>
      <c r="I26" s="1290"/>
      <c r="J26" s="1325">
        <f>SUM(D26:I26)</f>
        <v>56284888</v>
      </c>
      <c r="K26" s="1325">
        <f>'9-ADIT-3'!I29</f>
        <v>0</v>
      </c>
      <c r="L26" s="1325">
        <f>IF(+J26+K26&gt;0,+J26+K26,0)</f>
        <v>56284888</v>
      </c>
      <c r="M26" s="1325">
        <f>IF(+J26+K26&gt;0,0,+J26+K26)</f>
        <v>0</v>
      </c>
      <c r="N26" s="631"/>
    </row>
    <row r="27" spans="1:14" ht="13">
      <c r="A27" s="1275"/>
      <c r="B27" s="1278"/>
      <c r="C27" s="1285"/>
      <c r="D27" s="227"/>
      <c r="E27" s="227"/>
      <c r="F27" s="227"/>
      <c r="G27" s="227"/>
      <c r="H27" s="227"/>
      <c r="I27" s="227"/>
      <c r="J27" s="227"/>
      <c r="K27" s="227"/>
      <c r="L27" s="227"/>
      <c r="M27" s="227"/>
      <c r="N27" s="631"/>
    </row>
    <row r="28" spans="1:14" ht="13.5" thickBot="1">
      <c r="A28" s="1283" t="s">
        <v>2604</v>
      </c>
      <c r="B28" s="1291" t="s">
        <v>2605</v>
      </c>
      <c r="C28" s="1292"/>
      <c r="D28" s="1326">
        <f t="shared" ref="D28:M28" si="9">+D26+D24+D14</f>
        <v>101819399</v>
      </c>
      <c r="E28" s="1326">
        <f t="shared" si="9"/>
        <v>-637169884</v>
      </c>
      <c r="F28" s="1326">
        <f t="shared" si="9"/>
        <v>0</v>
      </c>
      <c r="G28" s="1326">
        <f t="shared" si="9"/>
        <v>0</v>
      </c>
      <c r="H28" s="1326">
        <f t="shared" si="9"/>
        <v>-8433785</v>
      </c>
      <c r="I28" s="1326">
        <f t="shared" si="9"/>
        <v>27521078</v>
      </c>
      <c r="J28" s="1326">
        <f t="shared" si="9"/>
        <v>-516263192</v>
      </c>
      <c r="K28" s="1326">
        <f t="shared" si="9"/>
        <v>0</v>
      </c>
      <c r="L28" s="1326">
        <f t="shared" si="9"/>
        <v>93385614</v>
      </c>
      <c r="M28" s="1326">
        <f t="shared" si="9"/>
        <v>-609648806</v>
      </c>
      <c r="N28" s="631"/>
    </row>
    <row r="29" spans="1:14" ht="13.5" thickTop="1">
      <c r="A29" s="1275"/>
      <c r="B29" s="1293"/>
      <c r="C29" s="1294"/>
      <c r="D29" s="1278"/>
      <c r="E29" s="1278"/>
      <c r="F29" s="1278"/>
      <c r="G29" s="1278"/>
      <c r="H29" s="1278"/>
      <c r="I29" s="1278"/>
      <c r="J29" s="1278"/>
      <c r="K29" s="1278"/>
      <c r="L29" s="1278"/>
      <c r="M29" s="1278"/>
      <c r="N29" s="631"/>
    </row>
    <row r="30" spans="1:14" ht="13">
      <c r="A30" s="1283" t="s">
        <v>2606</v>
      </c>
      <c r="B30" s="1286" t="s">
        <v>2607</v>
      </c>
      <c r="C30" s="1287"/>
      <c r="D30" s="1278"/>
      <c r="E30" s="1278"/>
      <c r="F30" s="1278"/>
      <c r="G30" s="1278"/>
      <c r="H30" s="1278"/>
      <c r="I30" s="1278"/>
      <c r="J30" s="1278"/>
      <c r="K30" s="1278"/>
      <c r="L30" s="1278"/>
      <c r="M30" s="1278"/>
      <c r="N30" s="631"/>
    </row>
    <row r="31" spans="1:14" ht="13">
      <c r="A31" s="1275">
        <f t="shared" si="0"/>
        <v>301</v>
      </c>
      <c r="B31" s="1278" t="s">
        <v>2548</v>
      </c>
      <c r="C31" s="1279"/>
      <c r="D31" s="1280"/>
      <c r="E31" s="1280"/>
      <c r="F31" s="1280"/>
      <c r="G31" s="1280"/>
      <c r="H31" s="1280"/>
      <c r="I31" s="1280"/>
      <c r="J31" s="1322">
        <f t="shared" ref="J31:J45" si="10">SUM(D31:I31)</f>
        <v>0</v>
      </c>
      <c r="K31" s="1322">
        <f>'9-ADIT-3'!I34</f>
        <v>0</v>
      </c>
      <c r="L31" s="1322">
        <f t="shared" ref="L31:L44" si="11">IF(+J31+K31&gt;0,+J31+K31,0)</f>
        <v>0</v>
      </c>
      <c r="M31" s="1322">
        <f t="shared" ref="M31:M44" si="12">IF(+J31+K31&gt;0,0,+J31+K31)</f>
        <v>0</v>
      </c>
      <c r="N31" s="631"/>
    </row>
    <row r="32" spans="1:14" ht="13">
      <c r="A32" s="1275">
        <f t="shared" si="0"/>
        <v>302</v>
      </c>
      <c r="B32" s="1278" t="s">
        <v>2549</v>
      </c>
      <c r="C32" s="1279"/>
      <c r="D32" s="1280"/>
      <c r="E32" s="1280"/>
      <c r="F32" s="1280"/>
      <c r="G32" s="1280"/>
      <c r="H32" s="1280"/>
      <c r="I32" s="1280"/>
      <c r="J32" s="1322">
        <f t="shared" si="10"/>
        <v>0</v>
      </c>
      <c r="K32" s="1322">
        <f>'9-ADIT-3'!I35</f>
        <v>0</v>
      </c>
      <c r="L32" s="1322">
        <f t="shared" si="11"/>
        <v>0</v>
      </c>
      <c r="M32" s="1322">
        <f t="shared" si="12"/>
        <v>0</v>
      </c>
      <c r="N32" s="631"/>
    </row>
    <row r="33" spans="1:14" ht="13">
      <c r="A33" s="1275">
        <f t="shared" si="0"/>
        <v>303</v>
      </c>
      <c r="B33" s="1278" t="s">
        <v>2550</v>
      </c>
      <c r="C33" s="1279"/>
      <c r="D33" s="1280"/>
      <c r="E33" s="1280"/>
      <c r="F33" s="1280"/>
      <c r="G33" s="1280"/>
      <c r="H33" s="1280"/>
      <c r="I33" s="1280"/>
      <c r="J33" s="1322">
        <f t="shared" si="10"/>
        <v>0</v>
      </c>
      <c r="K33" s="1322">
        <f>'9-ADIT-3'!I36</f>
        <v>0</v>
      </c>
      <c r="L33" s="1322">
        <f t="shared" si="11"/>
        <v>0</v>
      </c>
      <c r="M33" s="1322">
        <f t="shared" si="12"/>
        <v>0</v>
      </c>
      <c r="N33" s="631"/>
    </row>
    <row r="34" spans="1:14" ht="13">
      <c r="A34" s="1275">
        <f t="shared" si="0"/>
        <v>304</v>
      </c>
      <c r="B34" s="1278" t="s">
        <v>2608</v>
      </c>
      <c r="C34" s="1279"/>
      <c r="D34" s="1280"/>
      <c r="E34" s="1280"/>
      <c r="F34" s="1280"/>
      <c r="G34" s="1280"/>
      <c r="H34" s="1280"/>
      <c r="I34" s="1280"/>
      <c r="J34" s="1322">
        <f t="shared" si="10"/>
        <v>0</v>
      </c>
      <c r="K34" s="1322">
        <f>'9-ADIT-3'!I37</f>
        <v>0</v>
      </c>
      <c r="L34" s="1322">
        <f t="shared" si="11"/>
        <v>0</v>
      </c>
      <c r="M34" s="1322">
        <f t="shared" si="12"/>
        <v>0</v>
      </c>
      <c r="N34" s="631"/>
    </row>
    <row r="35" spans="1:14" ht="13">
      <c r="A35" s="1275">
        <f t="shared" si="0"/>
        <v>305</v>
      </c>
      <c r="B35" s="1278" t="s">
        <v>2609</v>
      </c>
      <c r="C35" s="1279"/>
      <c r="D35" s="1280"/>
      <c r="E35" s="1280"/>
      <c r="F35" s="1280"/>
      <c r="G35" s="1280"/>
      <c r="H35" s="1280"/>
      <c r="I35" s="1280"/>
      <c r="J35" s="1322">
        <f t="shared" si="10"/>
        <v>0</v>
      </c>
      <c r="K35" s="1322">
        <f>'9-ADIT-3'!I38</f>
        <v>0</v>
      </c>
      <c r="L35" s="1322">
        <f t="shared" si="11"/>
        <v>0</v>
      </c>
      <c r="M35" s="1322">
        <f t="shared" si="12"/>
        <v>0</v>
      </c>
      <c r="N35" s="631"/>
    </row>
    <row r="36" spans="1:14" ht="13">
      <c r="A36" s="1275">
        <f t="shared" si="0"/>
        <v>306</v>
      </c>
      <c r="B36" s="1278" t="s">
        <v>2551</v>
      </c>
      <c r="C36" s="1279"/>
      <c r="D36" s="1280"/>
      <c r="E36" s="1280"/>
      <c r="F36" s="1280"/>
      <c r="G36" s="1280"/>
      <c r="H36" s="1280"/>
      <c r="I36" s="1280"/>
      <c r="J36" s="1322">
        <f t="shared" si="10"/>
        <v>0</v>
      </c>
      <c r="K36" s="1322">
        <f>'9-ADIT-3'!I39</f>
        <v>0</v>
      </c>
      <c r="L36" s="1322">
        <f t="shared" si="11"/>
        <v>0</v>
      </c>
      <c r="M36" s="1322">
        <f t="shared" si="12"/>
        <v>0</v>
      </c>
      <c r="N36" s="631"/>
    </row>
    <row r="37" spans="1:14" ht="13">
      <c r="A37" s="1275">
        <f t="shared" si="0"/>
        <v>307</v>
      </c>
      <c r="B37" s="1278" t="s">
        <v>2552</v>
      </c>
      <c r="C37" s="1279"/>
      <c r="D37" s="1280"/>
      <c r="E37" s="1280"/>
      <c r="F37" s="1280"/>
      <c r="G37" s="1280"/>
      <c r="H37" s="1280"/>
      <c r="I37" s="1280"/>
      <c r="J37" s="1322">
        <f t="shared" si="10"/>
        <v>0</v>
      </c>
      <c r="K37" s="1322">
        <f>'9-ADIT-3'!I40</f>
        <v>0</v>
      </c>
      <c r="L37" s="1322">
        <f t="shared" si="11"/>
        <v>0</v>
      </c>
      <c r="M37" s="1322">
        <f t="shared" si="12"/>
        <v>0</v>
      </c>
      <c r="N37" s="631"/>
    </row>
    <row r="38" spans="1:14" ht="13">
      <c r="A38" s="1275">
        <f t="shared" si="0"/>
        <v>308</v>
      </c>
      <c r="B38" s="1278" t="s">
        <v>2610</v>
      </c>
      <c r="C38" s="1279"/>
      <c r="D38" s="1280"/>
      <c r="E38" s="1280"/>
      <c r="F38" s="1280"/>
      <c r="G38" s="1280"/>
      <c r="H38" s="1280"/>
      <c r="I38" s="1280"/>
      <c r="J38" s="1322">
        <f t="shared" si="10"/>
        <v>0</v>
      </c>
      <c r="K38" s="1322">
        <f>'9-ADIT-3'!I41</f>
        <v>0</v>
      </c>
      <c r="L38" s="1322">
        <f t="shared" si="11"/>
        <v>0</v>
      </c>
      <c r="M38" s="1322">
        <f t="shared" si="12"/>
        <v>0</v>
      </c>
      <c r="N38" s="631"/>
    </row>
    <row r="39" spans="1:14" ht="13">
      <c r="A39" s="1275">
        <f t="shared" si="0"/>
        <v>309</v>
      </c>
      <c r="B39" s="1278" t="s">
        <v>2555</v>
      </c>
      <c r="C39" s="1279"/>
      <c r="D39" s="1280"/>
      <c r="E39" s="1280"/>
      <c r="F39" s="1280"/>
      <c r="G39" s="1280"/>
      <c r="H39" s="1280"/>
      <c r="I39" s="1280"/>
      <c r="J39" s="1322">
        <f t="shared" si="10"/>
        <v>0</v>
      </c>
      <c r="K39" s="1322">
        <f>'9-ADIT-3'!I42</f>
        <v>0</v>
      </c>
      <c r="L39" s="1322">
        <f t="shared" si="11"/>
        <v>0</v>
      </c>
      <c r="M39" s="1322">
        <f t="shared" si="12"/>
        <v>0</v>
      </c>
      <c r="N39" s="631"/>
    </row>
    <row r="40" spans="1:14" ht="13">
      <c r="A40" s="1275">
        <f t="shared" si="0"/>
        <v>310</v>
      </c>
      <c r="B40" s="1278" t="s">
        <v>2553</v>
      </c>
      <c r="C40" s="1279"/>
      <c r="D40" s="1280"/>
      <c r="E40" s="1280"/>
      <c r="F40" s="1280"/>
      <c r="G40" s="1280"/>
      <c r="H40" s="1280"/>
      <c r="I40" s="1280"/>
      <c r="J40" s="1322">
        <f t="shared" si="10"/>
        <v>0</v>
      </c>
      <c r="K40" s="1322">
        <f>'9-ADIT-3'!I43</f>
        <v>0</v>
      </c>
      <c r="L40" s="1322">
        <f t="shared" si="11"/>
        <v>0</v>
      </c>
      <c r="M40" s="1322">
        <f t="shared" si="12"/>
        <v>0</v>
      </c>
      <c r="N40" s="631"/>
    </row>
    <row r="41" spans="1:14" ht="13">
      <c r="A41" s="1275">
        <f t="shared" si="0"/>
        <v>311</v>
      </c>
      <c r="B41" s="1278" t="s">
        <v>2554</v>
      </c>
      <c r="C41" s="1279"/>
      <c r="D41" s="1280"/>
      <c r="E41" s="1280"/>
      <c r="F41" s="1280"/>
      <c r="G41" s="1280"/>
      <c r="H41" s="1280"/>
      <c r="I41" s="1280"/>
      <c r="J41" s="1322">
        <f t="shared" si="10"/>
        <v>0</v>
      </c>
      <c r="K41" s="1322">
        <f>'9-ADIT-3'!I44</f>
        <v>0</v>
      </c>
      <c r="L41" s="1322">
        <f t="shared" si="11"/>
        <v>0</v>
      </c>
      <c r="M41" s="1322">
        <f t="shared" si="12"/>
        <v>0</v>
      </c>
      <c r="N41" s="631"/>
    </row>
    <row r="42" spans="1:14" ht="13">
      <c r="A42" s="1275">
        <f t="shared" si="0"/>
        <v>312</v>
      </c>
      <c r="B42" s="1278" t="s">
        <v>2611</v>
      </c>
      <c r="C42" s="1279"/>
      <c r="D42" s="1280"/>
      <c r="E42" s="1280"/>
      <c r="F42" s="1280"/>
      <c r="G42" s="1280"/>
      <c r="H42" s="1280"/>
      <c r="I42" s="1280"/>
      <c r="J42" s="1322">
        <f t="shared" si="10"/>
        <v>0</v>
      </c>
      <c r="K42" s="1322">
        <f>'9-ADIT-3'!I45</f>
        <v>0</v>
      </c>
      <c r="L42" s="1322">
        <f t="shared" si="11"/>
        <v>0</v>
      </c>
      <c r="M42" s="1322">
        <f t="shared" si="12"/>
        <v>0</v>
      </c>
      <c r="N42" s="631"/>
    </row>
    <row r="43" spans="1:14" ht="13">
      <c r="A43" s="1275">
        <f t="shared" si="0"/>
        <v>313</v>
      </c>
      <c r="B43" s="1278" t="s">
        <v>2556</v>
      </c>
      <c r="C43" s="1279"/>
      <c r="D43" s="1280"/>
      <c r="E43" s="1280"/>
      <c r="F43" s="1280"/>
      <c r="G43" s="1280"/>
      <c r="H43" s="1280"/>
      <c r="I43" s="1280"/>
      <c r="J43" s="1322">
        <f t="shared" si="10"/>
        <v>0</v>
      </c>
      <c r="K43" s="1322">
        <f>'9-ADIT-3'!I46</f>
        <v>0</v>
      </c>
      <c r="L43" s="1322">
        <f t="shared" si="11"/>
        <v>0</v>
      </c>
      <c r="M43" s="1322">
        <f t="shared" si="12"/>
        <v>0</v>
      </c>
      <c r="N43" s="631"/>
    </row>
    <row r="44" spans="1:14" ht="13">
      <c r="A44" s="1275">
        <f t="shared" si="0"/>
        <v>314</v>
      </c>
      <c r="B44" s="1278" t="s">
        <v>2557</v>
      </c>
      <c r="C44" s="1279"/>
      <c r="D44" s="1280"/>
      <c r="E44" s="1280"/>
      <c r="F44" s="1280"/>
      <c r="G44" s="1280"/>
      <c r="H44" s="1280"/>
      <c r="I44" s="1280"/>
      <c r="J44" s="1322">
        <f t="shared" si="10"/>
        <v>0</v>
      </c>
      <c r="K44" s="1322">
        <f>'9-ADIT-3'!I47</f>
        <v>0</v>
      </c>
      <c r="L44" s="1322">
        <f t="shared" si="11"/>
        <v>0</v>
      </c>
      <c r="M44" s="1322">
        <f t="shared" si="12"/>
        <v>0</v>
      </c>
      <c r="N44" s="631"/>
    </row>
    <row r="45" spans="1:14" ht="13">
      <c r="A45" s="1275">
        <f t="shared" si="0"/>
        <v>315</v>
      </c>
      <c r="B45" s="1281" t="s">
        <v>504</v>
      </c>
      <c r="C45" s="1280"/>
      <c r="D45" s="1280"/>
      <c r="E45" s="1280"/>
      <c r="F45" s="1280"/>
      <c r="G45" s="1280"/>
      <c r="H45" s="1280"/>
      <c r="I45" s="1280"/>
      <c r="J45" s="1322">
        <f t="shared" si="10"/>
        <v>0</v>
      </c>
      <c r="K45" s="1327"/>
      <c r="L45" s="1327"/>
      <c r="M45" s="1327"/>
      <c r="N45" s="631"/>
    </row>
    <row r="46" spans="1:14" ht="13.5" thickBot="1">
      <c r="A46" s="1283" t="s">
        <v>2612</v>
      </c>
      <c r="B46" s="1295" t="s">
        <v>2613</v>
      </c>
      <c r="C46" s="1295"/>
      <c r="D46" s="1328">
        <f t="shared" ref="D46" si="13">SUM(D31:D45)</f>
        <v>0</v>
      </c>
      <c r="E46" s="1328">
        <f t="shared" ref="E46:M46" si="14">SUM(E31:E45)</f>
        <v>0</v>
      </c>
      <c r="F46" s="1328">
        <f t="shared" si="14"/>
        <v>0</v>
      </c>
      <c r="G46" s="1328">
        <f t="shared" si="14"/>
        <v>0</v>
      </c>
      <c r="H46" s="1328">
        <f t="shared" si="14"/>
        <v>0</v>
      </c>
      <c r="I46" s="1328">
        <f t="shared" si="14"/>
        <v>0</v>
      </c>
      <c r="J46" s="1328">
        <f t="shared" si="14"/>
        <v>0</v>
      </c>
      <c r="K46" s="1328">
        <f t="shared" si="14"/>
        <v>0</v>
      </c>
      <c r="L46" s="1328">
        <f t="shared" si="14"/>
        <v>0</v>
      </c>
      <c r="M46" s="1328">
        <f t="shared" si="14"/>
        <v>0</v>
      </c>
      <c r="N46" s="631"/>
    </row>
    <row r="47" spans="1:14" ht="13.5" thickTop="1">
      <c r="A47" s="1275"/>
      <c r="B47" s="1259"/>
      <c r="C47" s="1259"/>
      <c r="D47" s="1296"/>
      <c r="E47" s="1296"/>
      <c r="F47" s="1296"/>
      <c r="G47" s="1296"/>
      <c r="H47" s="1296"/>
      <c r="I47" s="1296"/>
      <c r="J47" s="1296"/>
      <c r="K47" s="1296"/>
      <c r="L47" s="1296"/>
      <c r="M47" s="1296"/>
      <c r="N47" s="631"/>
    </row>
    <row r="48" spans="1:14" ht="13.5" thickBot="1">
      <c r="A48" s="1275">
        <v>400</v>
      </c>
      <c r="B48" s="1295" t="s">
        <v>2614</v>
      </c>
      <c r="C48" s="1295"/>
      <c r="D48" s="1329">
        <f t="shared" ref="D48:M48" si="15">D28+D46</f>
        <v>101819399</v>
      </c>
      <c r="E48" s="1329">
        <f t="shared" si="15"/>
        <v>-637169884</v>
      </c>
      <c r="F48" s="1329">
        <f t="shared" si="15"/>
        <v>0</v>
      </c>
      <c r="G48" s="1329">
        <f t="shared" si="15"/>
        <v>0</v>
      </c>
      <c r="H48" s="1329">
        <f t="shared" si="15"/>
        <v>-8433785</v>
      </c>
      <c r="I48" s="1329">
        <f>I28+I46</f>
        <v>27521078</v>
      </c>
      <c r="J48" s="1329">
        <f t="shared" si="15"/>
        <v>-516263192</v>
      </c>
      <c r="K48" s="1329">
        <f t="shared" si="15"/>
        <v>0</v>
      </c>
      <c r="L48" s="1329">
        <f t="shared" si="15"/>
        <v>93385614</v>
      </c>
      <c r="M48" s="1329">
        <f t="shared" si="15"/>
        <v>-609648806</v>
      </c>
      <c r="N48" s="631"/>
    </row>
    <row r="49" spans="1:14" ht="14" thickTop="1" thickBot="1">
      <c r="A49" s="1275">
        <v>500</v>
      </c>
      <c r="B49" s="1295" t="s">
        <v>2615</v>
      </c>
      <c r="C49" s="1297"/>
      <c r="D49" s="1259"/>
      <c r="E49" s="1330">
        <f>+E48+D48</f>
        <v>-535350485</v>
      </c>
      <c r="F49" s="1259"/>
      <c r="G49" s="1259"/>
      <c r="H49" s="1298"/>
      <c r="I49" s="1330">
        <f>+I48+H48</f>
        <v>19087293</v>
      </c>
      <c r="J49" s="1259"/>
      <c r="K49" s="1259"/>
      <c r="L49" s="1259"/>
      <c r="M49" s="1330">
        <f>+M48+L48</f>
        <v>-516263192</v>
      </c>
      <c r="N49" s="631"/>
    </row>
    <row r="50" spans="1:14" ht="13.5" thickTop="1">
      <c r="A50" s="1275"/>
      <c r="B50" s="1299" t="s">
        <v>230</v>
      </c>
      <c r="C50" s="1300"/>
      <c r="D50" s="1259"/>
      <c r="E50" s="1259"/>
      <c r="F50" s="1259"/>
      <c r="G50" s="1259"/>
      <c r="H50" s="1259"/>
      <c r="I50" s="1259"/>
      <c r="J50" s="1259"/>
      <c r="K50" s="1259"/>
      <c r="L50" s="1259"/>
      <c r="M50" s="1259"/>
      <c r="N50" s="631"/>
    </row>
    <row r="51" spans="1:14" ht="13">
      <c r="A51" s="1275"/>
      <c r="B51" s="1301" t="s">
        <v>2616</v>
      </c>
      <c r="C51" s="1259"/>
      <c r="D51" s="1259"/>
      <c r="E51" s="1259"/>
      <c r="F51" s="1259"/>
      <c r="G51" s="1259"/>
      <c r="H51" s="1259"/>
      <c r="I51" s="1259"/>
      <c r="J51" s="1259"/>
      <c r="K51" s="1259"/>
      <c r="L51" s="1259"/>
      <c r="M51" s="1259"/>
      <c r="N51" s="631"/>
    </row>
    <row r="52" spans="1:14" ht="13">
      <c r="A52" s="1275"/>
      <c r="B52" s="1302" t="s">
        <v>2617</v>
      </c>
      <c r="C52" s="1259"/>
      <c r="D52" s="1259"/>
      <c r="E52" s="1259"/>
      <c r="F52" s="1259"/>
      <c r="G52" s="1259"/>
      <c r="H52" s="1259"/>
      <c r="I52" s="1259"/>
      <c r="J52" s="1259"/>
      <c r="K52" s="1259"/>
      <c r="L52" s="1259"/>
      <c r="M52" s="1259"/>
      <c r="N52" s="631"/>
    </row>
    <row r="53" spans="1:14" ht="13">
      <c r="A53" s="1275"/>
      <c r="B53" s="631"/>
      <c r="C53" s="1303" t="s">
        <v>2618</v>
      </c>
      <c r="D53" s="1304">
        <v>4</v>
      </c>
      <c r="E53" s="1304"/>
      <c r="F53" s="1259"/>
      <c r="G53" s="1259"/>
      <c r="H53" s="1259"/>
      <c r="I53" s="1259"/>
      <c r="J53" s="1259"/>
      <c r="K53" s="1259"/>
      <c r="L53" s="1259"/>
      <c r="M53" s="1259"/>
      <c r="N53" s="631"/>
    </row>
    <row r="54" spans="1:14" ht="13">
      <c r="A54" s="1275"/>
      <c r="B54" s="631"/>
      <c r="C54" s="1303" t="s">
        <v>2619</v>
      </c>
      <c r="D54" s="1305">
        <v>2018</v>
      </c>
      <c r="E54" s="1305"/>
      <c r="F54" s="1259"/>
      <c r="G54" s="1259"/>
      <c r="H54" s="1259"/>
      <c r="I54" s="1259"/>
      <c r="J54" s="1259"/>
      <c r="K54" s="1259"/>
      <c r="L54" s="1259"/>
      <c r="M54" s="1259"/>
      <c r="N54" s="631"/>
    </row>
    <row r="55" spans="1:14" ht="13">
      <c r="A55" s="1275"/>
      <c r="B55" s="1302" t="s">
        <v>2620</v>
      </c>
      <c r="C55" s="1259"/>
      <c r="D55" s="1259"/>
      <c r="E55" s="1259"/>
      <c r="F55" s="1259"/>
      <c r="G55" s="1259"/>
      <c r="H55" s="1259"/>
      <c r="I55" s="1259"/>
      <c r="J55" s="1259"/>
      <c r="K55" s="1259"/>
      <c r="L55" s="1259"/>
      <c r="M55" s="1259"/>
      <c r="N55" s="631"/>
    </row>
    <row r="56" spans="1:14" ht="13">
      <c r="A56" s="1275"/>
      <c r="B56" s="631"/>
      <c r="C56" s="1303" t="s">
        <v>2618</v>
      </c>
      <c r="D56" s="1304"/>
      <c r="E56" s="1304"/>
      <c r="F56" s="1259"/>
      <c r="G56" s="1259"/>
      <c r="H56" s="1259"/>
      <c r="I56" s="1259"/>
      <c r="J56" s="1259"/>
      <c r="K56" s="1259"/>
      <c r="L56" s="1259"/>
      <c r="M56" s="1259"/>
      <c r="N56" s="631"/>
    </row>
    <row r="57" spans="1:14" ht="13">
      <c r="A57" s="1275"/>
      <c r="B57" s="631"/>
      <c r="C57" s="1303" t="s">
        <v>2619</v>
      </c>
      <c r="D57" s="1305"/>
      <c r="E57" s="1305"/>
      <c r="F57" s="1259"/>
      <c r="G57" s="1259"/>
      <c r="H57" s="1259"/>
      <c r="I57" s="1259"/>
      <c r="J57" s="1259"/>
      <c r="K57" s="1259"/>
      <c r="L57" s="1259"/>
      <c r="M57" s="1259"/>
      <c r="N57" s="631"/>
    </row>
    <row r="58" spans="1:14">
      <c r="A58" s="1259"/>
      <c r="B58" s="1302" t="s">
        <v>2621</v>
      </c>
      <c r="C58" s="631"/>
      <c r="D58" s="631"/>
      <c r="E58" s="631"/>
      <c r="F58" s="631"/>
      <c r="G58" s="631"/>
      <c r="H58" s="631"/>
      <c r="I58" s="631"/>
      <c r="J58" s="631"/>
      <c r="K58" s="631"/>
      <c r="L58" s="631"/>
      <c r="M58" s="631"/>
      <c r="N58" s="631"/>
    </row>
    <row r="59" spans="1:14">
      <c r="A59" s="1259"/>
      <c r="B59" s="631"/>
      <c r="C59" s="1303" t="s">
        <v>2618</v>
      </c>
      <c r="D59" s="1304">
        <v>1</v>
      </c>
      <c r="E59" s="1304"/>
      <c r="F59" s="631"/>
      <c r="G59" s="631"/>
      <c r="H59" s="631"/>
      <c r="I59" s="631"/>
      <c r="J59" s="631"/>
      <c r="K59" s="631"/>
      <c r="L59" s="631"/>
      <c r="M59" s="631"/>
      <c r="N59" s="631"/>
    </row>
    <row r="60" spans="1:14">
      <c r="A60" s="1259"/>
      <c r="B60" s="631"/>
      <c r="C60" s="1303" t="s">
        <v>2619</v>
      </c>
      <c r="D60" s="1305">
        <v>2018</v>
      </c>
      <c r="E60" s="1305"/>
      <c r="F60" s="631"/>
      <c r="G60" s="631"/>
      <c r="H60" s="631"/>
      <c r="I60" s="631"/>
      <c r="J60" s="631"/>
      <c r="K60" s="631"/>
      <c r="L60" s="631"/>
      <c r="M60" s="631"/>
      <c r="N60" s="631"/>
    </row>
    <row r="61" spans="1:14">
      <c r="A61" s="631"/>
      <c r="B61" s="1302" t="s">
        <v>2622</v>
      </c>
      <c r="C61" s="631"/>
      <c r="D61" s="631"/>
      <c r="E61" s="631"/>
      <c r="F61" s="631"/>
      <c r="G61" s="631"/>
      <c r="H61" s="631"/>
      <c r="I61" s="631"/>
      <c r="J61" s="631"/>
      <c r="K61" s="631"/>
      <c r="L61" s="631"/>
      <c r="M61" s="631"/>
      <c r="N61" s="631"/>
    </row>
    <row r="62" spans="1:14">
      <c r="A62" s="631"/>
      <c r="B62" s="631"/>
      <c r="C62" s="631"/>
      <c r="D62" s="631"/>
      <c r="E62" s="631"/>
      <c r="F62" s="631"/>
      <c r="G62" s="631"/>
      <c r="H62" s="631"/>
      <c r="I62" s="631"/>
      <c r="J62" s="631"/>
      <c r="K62" s="631"/>
      <c r="L62" s="631"/>
      <c r="M62" s="631"/>
      <c r="N62" s="631"/>
    </row>
    <row r="63" spans="1:14">
      <c r="A63" s="631"/>
      <c r="B63" s="631"/>
      <c r="C63" s="631"/>
      <c r="D63" s="631"/>
      <c r="E63" s="631"/>
      <c r="F63" s="631"/>
      <c r="G63" s="631"/>
      <c r="H63" s="631"/>
      <c r="I63" s="631"/>
      <c r="J63" s="631"/>
      <c r="K63" s="631"/>
      <c r="L63" s="631"/>
      <c r="M63" s="631"/>
      <c r="N63" s="631"/>
    </row>
    <row r="64" spans="1:14">
      <c r="A64" s="631"/>
      <c r="B64" s="631"/>
      <c r="C64" s="631"/>
      <c r="D64" s="631"/>
      <c r="E64" s="631"/>
      <c r="F64" s="631"/>
      <c r="G64" s="631"/>
      <c r="H64" s="631"/>
      <c r="I64" s="631"/>
      <c r="J64" s="631"/>
      <c r="K64" s="631"/>
      <c r="L64" s="631"/>
      <c r="M64" s="631"/>
      <c r="N64" s="631"/>
    </row>
  </sheetData>
  <pageMargins left="0.7" right="0.7" top="0.75" bottom="0.75" header="0.3" footer="0.3"/>
  <pageSetup scale="63" orientation="landscape" r:id="rId1"/>
  <headerFooter>
    <oddHeader>&amp;CSchedule 9-ADIT-2
EDIT&amp;RTO2022 Draft Annual Update 
Attachment 1</oddHeader>
    <oddFooter>&amp;R9-ADIT-2</oddFooter>
  </headerFooter>
  <rowBreaks count="1" manualBreakCount="1">
    <brk id="4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dimension ref="A1:J71"/>
  <sheetViews>
    <sheetView zoomScaleNormal="100" zoomScalePageLayoutView="70" workbookViewId="0"/>
  </sheetViews>
  <sheetFormatPr defaultColWidth="14.54296875" defaultRowHeight="12.5"/>
  <cols>
    <col min="1" max="1" width="5.54296875" style="955" customWidth="1"/>
    <col min="2" max="2" width="37.54296875" style="955" customWidth="1"/>
    <col min="3" max="3" width="6.54296875" style="955" customWidth="1"/>
    <col min="4" max="9" width="15.54296875" style="955" customWidth="1"/>
    <col min="10" max="16384" width="14.54296875" style="955"/>
  </cols>
  <sheetData>
    <row r="1" spans="1:10" ht="14.5">
      <c r="A1" s="1295" t="s">
        <v>2623</v>
      </c>
      <c r="B1" s="1306"/>
      <c r="C1" s="1257"/>
      <c r="D1" s="1257"/>
      <c r="E1" s="1257"/>
      <c r="F1" s="1257"/>
      <c r="G1" s="1257"/>
      <c r="H1" s="1257"/>
      <c r="I1" s="1257"/>
      <c r="J1" s="1258"/>
    </row>
    <row r="2" spans="1:10" ht="14.5">
      <c r="A2" s="1295"/>
      <c r="B2" s="1306"/>
      <c r="C2" s="1257"/>
      <c r="D2" s="1257"/>
      <c r="E2" s="1257"/>
      <c r="F2" s="1257"/>
      <c r="G2" s="1257"/>
      <c r="H2" s="1260" t="s">
        <v>1713</v>
      </c>
      <c r="I2" s="1261">
        <v>2020</v>
      </c>
      <c r="J2" s="1258"/>
    </row>
    <row r="3" spans="1:10" ht="14.5">
      <c r="A3" s="1295"/>
      <c r="B3" s="1306"/>
      <c r="C3" s="1257"/>
      <c r="D3" s="1257"/>
      <c r="E3" s="1257"/>
      <c r="F3" s="1257"/>
      <c r="G3" s="1257"/>
      <c r="H3" s="1260" t="s">
        <v>2624</v>
      </c>
      <c r="I3" s="1307" t="s">
        <v>222</v>
      </c>
      <c r="J3" s="1258"/>
    </row>
    <row r="4" spans="1:10" ht="13">
      <c r="A4" s="1259"/>
      <c r="B4" s="1259"/>
      <c r="C4" s="1259"/>
      <c r="D4" s="1259"/>
      <c r="E4" s="1259"/>
      <c r="F4" s="1259"/>
      <c r="G4" s="1259"/>
      <c r="H4" s="1308" t="s">
        <v>2625</v>
      </c>
      <c r="I4" s="1309"/>
      <c r="J4" s="631"/>
    </row>
    <row r="5" spans="1:10" ht="13">
      <c r="A5" s="1259"/>
      <c r="B5" s="1259"/>
      <c r="C5" s="1259"/>
      <c r="D5" s="1259"/>
      <c r="E5" s="1259"/>
      <c r="F5" s="1259"/>
      <c r="G5" s="1259"/>
      <c r="H5" s="1308"/>
      <c r="I5" s="1308"/>
      <c r="J5" s="631"/>
    </row>
    <row r="6" spans="1:10" ht="13">
      <c r="A6" s="1262"/>
      <c r="B6" s="1263" t="s">
        <v>2561</v>
      </c>
      <c r="C6" s="1263" t="s">
        <v>2562</v>
      </c>
      <c r="D6" s="1263" t="s">
        <v>2563</v>
      </c>
      <c r="E6" s="1263" t="s">
        <v>2564</v>
      </c>
      <c r="F6" s="1263" t="s">
        <v>2565</v>
      </c>
      <c r="G6" s="1263" t="s">
        <v>2566</v>
      </c>
      <c r="H6" s="1263" t="s">
        <v>2567</v>
      </c>
      <c r="I6" s="1263" t="s">
        <v>2568</v>
      </c>
      <c r="J6" s="631"/>
    </row>
    <row r="7" spans="1:10" ht="13" thickBot="1">
      <c r="A7" s="1259"/>
      <c r="B7" s="1262"/>
      <c r="C7" s="1262"/>
      <c r="D7" s="1259"/>
      <c r="E7" s="1259"/>
      <c r="F7" s="1259"/>
      <c r="G7" s="1259"/>
      <c r="H7" s="1259"/>
      <c r="I7" s="1259"/>
      <c r="J7" s="631"/>
    </row>
    <row r="8" spans="1:10" ht="13.5" thickBot="1">
      <c r="A8" s="1259"/>
      <c r="B8" s="1262"/>
      <c r="C8" s="1262"/>
      <c r="D8" s="1505" t="s">
        <v>2626</v>
      </c>
      <c r="E8" s="1506"/>
      <c r="F8" s="1506"/>
      <c r="G8" s="1506"/>
      <c r="H8" s="1506"/>
      <c r="I8" s="1507"/>
      <c r="J8" s="631"/>
    </row>
    <row r="9" spans="1:10" ht="13.5" thickBot="1">
      <c r="A9" s="1259"/>
      <c r="B9" s="1262"/>
      <c r="C9" s="1262"/>
      <c r="D9" s="1310" t="s">
        <v>33</v>
      </c>
      <c r="E9" s="1311" t="s">
        <v>33</v>
      </c>
      <c r="F9" s="1312" t="s">
        <v>2627</v>
      </c>
      <c r="G9" s="1313" t="s">
        <v>2628</v>
      </c>
      <c r="H9" s="1312" t="s">
        <v>2629</v>
      </c>
      <c r="I9" s="1312" t="s">
        <v>2630</v>
      </c>
      <c r="J9" s="631"/>
    </row>
    <row r="10" spans="1:10" ht="52.5" thickBot="1">
      <c r="A10" s="1268" t="s">
        <v>329</v>
      </c>
      <c r="B10" s="1259"/>
      <c r="C10" s="1314" t="s">
        <v>2631</v>
      </c>
      <c r="D10" s="1315" t="s">
        <v>2632</v>
      </c>
      <c r="E10" s="1316" t="s">
        <v>2633</v>
      </c>
      <c r="F10" s="1316" t="s">
        <v>2634</v>
      </c>
      <c r="G10" s="1316" t="s">
        <v>2635</v>
      </c>
      <c r="H10" s="1316" t="s">
        <v>2636</v>
      </c>
      <c r="I10" s="1316" t="s">
        <v>2637</v>
      </c>
      <c r="J10" s="631"/>
    </row>
    <row r="11" spans="1:10" ht="13">
      <c r="A11" s="1275">
        <v>1</v>
      </c>
      <c r="B11" s="1276" t="s">
        <v>2645</v>
      </c>
      <c r="C11" s="1277"/>
      <c r="D11" s="1259"/>
      <c r="E11" s="1259"/>
      <c r="F11" s="1259"/>
      <c r="G11" s="1259"/>
      <c r="H11" s="1259"/>
      <c r="I11" s="1259"/>
      <c r="J11" s="631"/>
    </row>
    <row r="12" spans="1:10" ht="13">
      <c r="A12" s="1275">
        <f t="shared" ref="A12:A16" si="0">+A11+1</f>
        <v>2</v>
      </c>
      <c r="B12" s="1278" t="s">
        <v>2587</v>
      </c>
      <c r="C12" s="1279">
        <v>282</v>
      </c>
      <c r="D12" s="1317"/>
      <c r="E12" s="1280"/>
      <c r="F12" s="1322">
        <f>+D12*$I$4</f>
        <v>0</v>
      </c>
      <c r="G12" s="1322">
        <f>+E12-F12</f>
        <v>0</v>
      </c>
      <c r="H12" s="1322">
        <f>IF($I$3="No", 0,'9-ADIT-2'!J9)</f>
        <v>0</v>
      </c>
      <c r="I12" s="1322">
        <f>+G12-H12</f>
        <v>0</v>
      </c>
      <c r="J12" s="631"/>
    </row>
    <row r="13" spans="1:10" ht="13">
      <c r="A13" s="1275">
        <f t="shared" si="0"/>
        <v>3</v>
      </c>
      <c r="B13" s="1278" t="s">
        <v>2588</v>
      </c>
      <c r="C13" s="1279">
        <v>282</v>
      </c>
      <c r="D13" s="1317"/>
      <c r="E13" s="1280"/>
      <c r="F13" s="1322">
        <f t="shared" ref="F13:F15" si="1">+D13*$I$4</f>
        <v>0</v>
      </c>
      <c r="G13" s="1322">
        <f>+E13-F13</f>
        <v>0</v>
      </c>
      <c r="H13" s="1322">
        <f>IF($I$3="No", 0,'9-ADIT-2'!J10)</f>
        <v>0</v>
      </c>
      <c r="I13" s="1322">
        <f t="shared" ref="I13:I15" si="2">+G13-H13</f>
        <v>0</v>
      </c>
      <c r="J13" s="631"/>
    </row>
    <row r="14" spans="1:10" ht="13">
      <c r="A14" s="1275">
        <f t="shared" si="0"/>
        <v>4</v>
      </c>
      <c r="B14" s="1278" t="s">
        <v>2589</v>
      </c>
      <c r="C14" s="1279">
        <v>282</v>
      </c>
      <c r="D14" s="1317"/>
      <c r="E14" s="1280"/>
      <c r="F14" s="1322">
        <f t="shared" si="1"/>
        <v>0</v>
      </c>
      <c r="G14" s="1322">
        <f>+E14-F14</f>
        <v>0</v>
      </c>
      <c r="H14" s="1322">
        <f>IF($I$3="No", 0,'9-ADIT-2'!J11)</f>
        <v>0</v>
      </c>
      <c r="I14" s="1322">
        <f t="shared" si="2"/>
        <v>0</v>
      </c>
      <c r="J14" s="631"/>
    </row>
    <row r="15" spans="1:10" ht="13">
      <c r="A15" s="1275">
        <f t="shared" si="0"/>
        <v>5</v>
      </c>
      <c r="B15" s="1278" t="s">
        <v>2590</v>
      </c>
      <c r="C15" s="1279">
        <v>190</v>
      </c>
      <c r="D15" s="1317"/>
      <c r="E15" s="1280"/>
      <c r="F15" s="1322">
        <f t="shared" si="1"/>
        <v>0</v>
      </c>
      <c r="G15" s="1322">
        <f>+E15-F15</f>
        <v>0</v>
      </c>
      <c r="H15" s="1322">
        <f>IF($I$3="No", 0,'9-ADIT-2'!J12)</f>
        <v>0</v>
      </c>
      <c r="I15" s="1322">
        <f t="shared" si="2"/>
        <v>0</v>
      </c>
      <c r="J15" s="631"/>
    </row>
    <row r="16" spans="1:10" ht="13">
      <c r="A16" s="1275">
        <f t="shared" si="0"/>
        <v>6</v>
      </c>
      <c r="B16" s="1281" t="s">
        <v>504</v>
      </c>
      <c r="C16" s="1282"/>
      <c r="D16" s="1280"/>
      <c r="E16" s="1280"/>
      <c r="F16" s="1278"/>
      <c r="G16" s="1259"/>
      <c r="H16" s="1278"/>
      <c r="I16" s="1278"/>
      <c r="J16" s="631"/>
    </row>
    <row r="17" spans="1:10" ht="13">
      <c r="A17" s="1283" t="s">
        <v>2591</v>
      </c>
      <c r="B17" s="1278"/>
      <c r="C17" s="1285"/>
      <c r="D17" s="1323">
        <f t="shared" ref="D17:H17" si="3">SUM(D12:D16)</f>
        <v>0</v>
      </c>
      <c r="E17" s="1323">
        <f t="shared" si="3"/>
        <v>0</v>
      </c>
      <c r="F17" s="1323">
        <f t="shared" si="3"/>
        <v>0</v>
      </c>
      <c r="G17" s="1331">
        <f t="shared" si="3"/>
        <v>0</v>
      </c>
      <c r="H17" s="1323">
        <f t="shared" si="3"/>
        <v>0</v>
      </c>
      <c r="I17" s="1323">
        <f>SUM(I12:I16)</f>
        <v>0</v>
      </c>
      <c r="J17" s="631"/>
    </row>
    <row r="18" spans="1:10" ht="13">
      <c r="A18" s="1275"/>
      <c r="B18" s="1278"/>
      <c r="C18" s="1285"/>
      <c r="D18" s="1278"/>
      <c r="E18" s="1278"/>
      <c r="F18" s="1278"/>
      <c r="G18" s="1259"/>
      <c r="H18" s="1278"/>
      <c r="I18" s="1278"/>
      <c r="J18" s="631"/>
    </row>
    <row r="19" spans="1:10" ht="13">
      <c r="A19" s="1275">
        <v>100</v>
      </c>
      <c r="B19" s="1318" t="s">
        <v>2638</v>
      </c>
      <c r="C19" s="1287"/>
      <c r="D19" s="1278"/>
      <c r="E19" s="1278"/>
      <c r="F19" s="1278"/>
      <c r="G19" s="1259"/>
      <c r="H19" s="1278"/>
      <c r="I19" s="1278"/>
      <c r="J19" s="631"/>
    </row>
    <row r="20" spans="1:10" ht="13">
      <c r="A20" s="1275">
        <f t="shared" ref="A20:A48" si="4">+A19+1</f>
        <v>101</v>
      </c>
      <c r="B20" s="1278" t="s">
        <v>2594</v>
      </c>
      <c r="C20" s="1279">
        <v>282</v>
      </c>
      <c r="D20" s="1280"/>
      <c r="E20" s="1280"/>
      <c r="F20" s="1322">
        <f t="shared" ref="F20:F25" si="5">+D20*$I$4</f>
        <v>0</v>
      </c>
      <c r="G20" s="1322">
        <f t="shared" ref="G20:G25" si="6">+E20-F20</f>
        <v>0</v>
      </c>
      <c r="H20" s="1322">
        <f>IF($I$3="No", 0,'9-ADIT-2'!J17)</f>
        <v>0</v>
      </c>
      <c r="I20" s="1322">
        <f t="shared" ref="I20:I25" si="7">+G20-H20</f>
        <v>0</v>
      </c>
      <c r="J20" s="631"/>
    </row>
    <row r="21" spans="1:10" ht="13">
      <c r="A21" s="1275">
        <f t="shared" si="4"/>
        <v>102</v>
      </c>
      <c r="B21" s="1278" t="s">
        <v>2595</v>
      </c>
      <c r="C21" s="1279">
        <v>282</v>
      </c>
      <c r="D21" s="1280"/>
      <c r="E21" s="1280"/>
      <c r="F21" s="1322">
        <f t="shared" si="5"/>
        <v>0</v>
      </c>
      <c r="G21" s="1322">
        <f t="shared" si="6"/>
        <v>0</v>
      </c>
      <c r="H21" s="1322">
        <f>IF($I$3="No", 0,'9-ADIT-2'!J18)</f>
        <v>0</v>
      </c>
      <c r="I21" s="1322">
        <f t="shared" si="7"/>
        <v>0</v>
      </c>
      <c r="J21" s="631"/>
    </row>
    <row r="22" spans="1:10" ht="13">
      <c r="A22" s="1275">
        <f t="shared" si="4"/>
        <v>103</v>
      </c>
      <c r="B22" s="1278" t="s">
        <v>2596</v>
      </c>
      <c r="C22" s="1279">
        <v>282</v>
      </c>
      <c r="D22" s="1280"/>
      <c r="E22" s="1280"/>
      <c r="F22" s="1322">
        <f t="shared" si="5"/>
        <v>0</v>
      </c>
      <c r="G22" s="1322">
        <f t="shared" si="6"/>
        <v>0</v>
      </c>
      <c r="H22" s="1322">
        <f>IF($I$3="No", 0,'9-ADIT-2'!J19)</f>
        <v>0</v>
      </c>
      <c r="I22" s="1322">
        <f t="shared" si="7"/>
        <v>0</v>
      </c>
      <c r="J22" s="631"/>
    </row>
    <row r="23" spans="1:10" ht="13">
      <c r="A23" s="1275">
        <f t="shared" si="4"/>
        <v>104</v>
      </c>
      <c r="B23" s="1278" t="s">
        <v>2597</v>
      </c>
      <c r="C23" s="1279">
        <v>282</v>
      </c>
      <c r="D23" s="1280"/>
      <c r="E23" s="1280"/>
      <c r="F23" s="1322">
        <f t="shared" si="5"/>
        <v>0</v>
      </c>
      <c r="G23" s="1322">
        <f t="shared" si="6"/>
        <v>0</v>
      </c>
      <c r="H23" s="1322">
        <f>IF($I$3="No", 0,'9-ADIT-2'!J20)</f>
        <v>0</v>
      </c>
      <c r="I23" s="1322">
        <f t="shared" si="7"/>
        <v>0</v>
      </c>
      <c r="J23" s="631"/>
    </row>
    <row r="24" spans="1:10" ht="13">
      <c r="A24" s="1275">
        <f t="shared" si="4"/>
        <v>105</v>
      </c>
      <c r="B24" s="1278" t="s">
        <v>2598</v>
      </c>
      <c r="C24" s="1279">
        <v>282</v>
      </c>
      <c r="D24" s="1280"/>
      <c r="E24" s="1280"/>
      <c r="F24" s="1322">
        <f t="shared" si="5"/>
        <v>0</v>
      </c>
      <c r="G24" s="1322">
        <f t="shared" si="6"/>
        <v>0</v>
      </c>
      <c r="H24" s="1322">
        <f>IF($I$3="No", 0,'9-ADIT-2'!J21)</f>
        <v>0</v>
      </c>
      <c r="I24" s="1322">
        <f t="shared" si="7"/>
        <v>0</v>
      </c>
      <c r="J24" s="631"/>
    </row>
    <row r="25" spans="1:10" ht="13">
      <c r="A25" s="1275">
        <f t="shared" si="4"/>
        <v>106</v>
      </c>
      <c r="B25" s="1278" t="s">
        <v>2599</v>
      </c>
      <c r="C25" s="1279">
        <v>190</v>
      </c>
      <c r="D25" s="1280"/>
      <c r="E25" s="1280"/>
      <c r="F25" s="1322">
        <f t="shared" si="5"/>
        <v>0</v>
      </c>
      <c r="G25" s="1322">
        <f t="shared" si="6"/>
        <v>0</v>
      </c>
      <c r="H25" s="1322">
        <f>IF($I$3="No", 0,'9-ADIT-2'!J22)</f>
        <v>0</v>
      </c>
      <c r="I25" s="1322">
        <f t="shared" si="7"/>
        <v>0</v>
      </c>
      <c r="J25" s="631"/>
    </row>
    <row r="26" spans="1:10" ht="13">
      <c r="A26" s="1275">
        <f t="shared" si="4"/>
        <v>107</v>
      </c>
      <c r="B26" s="1281" t="s">
        <v>504</v>
      </c>
      <c r="C26" s="1282"/>
      <c r="D26" s="1280"/>
      <c r="E26" s="1280"/>
      <c r="F26" s="1278"/>
      <c r="G26" s="1278"/>
      <c r="H26" s="1278"/>
      <c r="I26" s="1278"/>
      <c r="J26" s="631"/>
    </row>
    <row r="27" spans="1:10" ht="13">
      <c r="A27" s="1275">
        <v>150</v>
      </c>
      <c r="B27" s="1278"/>
      <c r="C27" s="1285"/>
      <c r="D27" s="1324">
        <f t="shared" ref="D27:I27" si="8">SUM(D20:D26)</f>
        <v>0</v>
      </c>
      <c r="E27" s="1324">
        <f t="shared" si="8"/>
        <v>0</v>
      </c>
      <c r="F27" s="1324">
        <f t="shared" si="8"/>
        <v>0</v>
      </c>
      <c r="G27" s="1324">
        <f t="shared" si="8"/>
        <v>0</v>
      </c>
      <c r="H27" s="1324">
        <f t="shared" si="8"/>
        <v>0</v>
      </c>
      <c r="I27" s="1324">
        <f t="shared" si="8"/>
        <v>0</v>
      </c>
      <c r="J27" s="631"/>
    </row>
    <row r="28" spans="1:10" ht="13">
      <c r="A28" s="1275"/>
      <c r="B28" s="1278"/>
      <c r="C28" s="1285"/>
      <c r="D28" s="227"/>
      <c r="E28" s="1288"/>
      <c r="F28" s="227"/>
      <c r="G28" s="227"/>
      <c r="H28" s="227"/>
      <c r="I28" s="227"/>
      <c r="J28" s="631"/>
    </row>
    <row r="29" spans="1:10" ht="13">
      <c r="A29" s="1275">
        <v>200</v>
      </c>
      <c r="B29" s="1291" t="s">
        <v>2639</v>
      </c>
      <c r="C29" s="1279">
        <v>282</v>
      </c>
      <c r="D29" s="1290"/>
      <c r="E29" s="1290"/>
      <c r="F29" s="1332">
        <f t="shared" ref="F29" si="9">+D29*$I$4</f>
        <v>0</v>
      </c>
      <c r="G29" s="1333">
        <f>+E29-F29</f>
        <v>0</v>
      </c>
      <c r="H29" s="1332">
        <f>IF($I$3="No", 0,'9-ADIT-2'!J26)</f>
        <v>0</v>
      </c>
      <c r="I29" s="1332">
        <f>+G29-H29</f>
        <v>0</v>
      </c>
      <c r="J29" s="631"/>
    </row>
    <row r="30" spans="1:10" ht="13">
      <c r="A30" s="1275"/>
      <c r="B30" s="1278"/>
      <c r="C30" s="1285"/>
      <c r="D30" s="227"/>
      <c r="E30" s="227"/>
      <c r="F30" s="227"/>
      <c r="G30" s="227"/>
      <c r="H30" s="227"/>
      <c r="I30" s="227"/>
      <c r="J30" s="631"/>
    </row>
    <row r="31" spans="1:10" ht="13.5" thickBot="1">
      <c r="A31" s="1275">
        <v>250</v>
      </c>
      <c r="B31" s="1291" t="s">
        <v>2640</v>
      </c>
      <c r="C31" s="1292"/>
      <c r="D31" s="1326">
        <f t="shared" ref="D31:I31" si="10">+D29+D27+D17</f>
        <v>0</v>
      </c>
      <c r="E31" s="1326">
        <f t="shared" si="10"/>
        <v>0</v>
      </c>
      <c r="F31" s="1326">
        <f t="shared" si="10"/>
        <v>0</v>
      </c>
      <c r="G31" s="1326">
        <f t="shared" si="10"/>
        <v>0</v>
      </c>
      <c r="H31" s="1326">
        <f t="shared" si="10"/>
        <v>0</v>
      </c>
      <c r="I31" s="1326">
        <f t="shared" si="10"/>
        <v>0</v>
      </c>
      <c r="J31" s="631"/>
    </row>
    <row r="32" spans="1:10" ht="13.5" thickTop="1">
      <c r="A32" s="1275"/>
      <c r="B32" s="1293"/>
      <c r="C32" s="1294"/>
      <c r="D32" s="1278"/>
      <c r="E32" s="1278"/>
      <c r="F32" s="1278"/>
      <c r="G32" s="1278"/>
      <c r="H32" s="1278"/>
      <c r="I32" s="1278"/>
      <c r="J32" s="631"/>
    </row>
    <row r="33" spans="1:10" ht="13">
      <c r="A33" s="1275">
        <v>300</v>
      </c>
      <c r="B33" s="1318" t="s">
        <v>2641</v>
      </c>
      <c r="C33" s="1287"/>
      <c r="D33" s="1278"/>
      <c r="E33" s="1278"/>
      <c r="F33" s="1278"/>
      <c r="G33" s="1278"/>
      <c r="H33" s="1278"/>
      <c r="I33" s="1278"/>
      <c r="J33" s="631"/>
    </row>
    <row r="34" spans="1:10" ht="13">
      <c r="A34" s="1275">
        <f t="shared" si="4"/>
        <v>301</v>
      </c>
      <c r="B34" s="1278" t="s">
        <v>2548</v>
      </c>
      <c r="C34" s="1279">
        <v>190</v>
      </c>
      <c r="D34" s="1317"/>
      <c r="E34" s="1280"/>
      <c r="F34" s="1322">
        <f t="shared" ref="F34:F47" si="11">+D34*$I$4</f>
        <v>0</v>
      </c>
      <c r="G34" s="1322">
        <f t="shared" ref="G34:G47" si="12">+E34-F34</f>
        <v>0</v>
      </c>
      <c r="H34" s="1322">
        <f>IF($I$3="No", 0,'9-ADIT-2'!J31)</f>
        <v>0</v>
      </c>
      <c r="I34" s="1322">
        <f t="shared" ref="I34:I47" si="13">+G34-H34</f>
        <v>0</v>
      </c>
      <c r="J34" s="631"/>
    </row>
    <row r="35" spans="1:10" ht="13">
      <c r="A35" s="1275">
        <f t="shared" si="4"/>
        <v>302</v>
      </c>
      <c r="B35" s="1278" t="s">
        <v>2549</v>
      </c>
      <c r="C35" s="1279">
        <v>190</v>
      </c>
      <c r="D35" s="1317"/>
      <c r="E35" s="1280"/>
      <c r="F35" s="1322">
        <f t="shared" si="11"/>
        <v>0</v>
      </c>
      <c r="G35" s="1322">
        <f t="shared" si="12"/>
        <v>0</v>
      </c>
      <c r="H35" s="1322">
        <f>IF($I$3="No", 0,'9-ADIT-2'!J32)</f>
        <v>0</v>
      </c>
      <c r="I35" s="1322">
        <f t="shared" si="13"/>
        <v>0</v>
      </c>
      <c r="J35" s="631"/>
    </row>
    <row r="36" spans="1:10" ht="13">
      <c r="A36" s="1275">
        <f t="shared" si="4"/>
        <v>303</v>
      </c>
      <c r="B36" s="1278" t="s">
        <v>2550</v>
      </c>
      <c r="C36" s="1279">
        <v>190</v>
      </c>
      <c r="D36" s="1317"/>
      <c r="E36" s="1280"/>
      <c r="F36" s="1322">
        <f t="shared" si="11"/>
        <v>0</v>
      </c>
      <c r="G36" s="1322">
        <f t="shared" si="12"/>
        <v>0</v>
      </c>
      <c r="H36" s="1322">
        <f>IF($I$3="No", 0,'9-ADIT-2'!J33)</f>
        <v>0</v>
      </c>
      <c r="I36" s="1322">
        <f t="shared" si="13"/>
        <v>0</v>
      </c>
      <c r="J36" s="631"/>
    </row>
    <row r="37" spans="1:10" ht="13">
      <c r="A37" s="1275">
        <f t="shared" si="4"/>
        <v>304</v>
      </c>
      <c r="B37" s="1278" t="s">
        <v>2608</v>
      </c>
      <c r="C37" s="1279">
        <v>190</v>
      </c>
      <c r="D37" s="1317"/>
      <c r="E37" s="1280"/>
      <c r="F37" s="1322">
        <f t="shared" si="11"/>
        <v>0</v>
      </c>
      <c r="G37" s="1322">
        <f t="shared" si="12"/>
        <v>0</v>
      </c>
      <c r="H37" s="1322">
        <f>IF($I$3="No", 0,'9-ADIT-2'!J34)</f>
        <v>0</v>
      </c>
      <c r="I37" s="1322">
        <f t="shared" si="13"/>
        <v>0</v>
      </c>
      <c r="J37" s="631"/>
    </row>
    <row r="38" spans="1:10" ht="13">
      <c r="A38" s="1275">
        <f t="shared" si="4"/>
        <v>305</v>
      </c>
      <c r="B38" s="1278" t="s">
        <v>2609</v>
      </c>
      <c r="C38" s="1279">
        <v>190</v>
      </c>
      <c r="D38" s="1317"/>
      <c r="E38" s="1280"/>
      <c r="F38" s="1322">
        <f t="shared" si="11"/>
        <v>0</v>
      </c>
      <c r="G38" s="1322">
        <f t="shared" si="12"/>
        <v>0</v>
      </c>
      <c r="H38" s="1322">
        <f>IF($I$3="No", 0,'9-ADIT-2'!J35)</f>
        <v>0</v>
      </c>
      <c r="I38" s="1322">
        <f t="shared" si="13"/>
        <v>0</v>
      </c>
      <c r="J38" s="631"/>
    </row>
    <row r="39" spans="1:10" ht="13">
      <c r="A39" s="1275">
        <f t="shared" si="4"/>
        <v>306</v>
      </c>
      <c r="B39" s="1278" t="s">
        <v>2551</v>
      </c>
      <c r="C39" s="1279">
        <v>190</v>
      </c>
      <c r="D39" s="1317"/>
      <c r="E39" s="1280"/>
      <c r="F39" s="1322">
        <f t="shared" si="11"/>
        <v>0</v>
      </c>
      <c r="G39" s="1322">
        <f t="shared" si="12"/>
        <v>0</v>
      </c>
      <c r="H39" s="1322">
        <f>IF($I$3="No", 0,'9-ADIT-2'!J36)</f>
        <v>0</v>
      </c>
      <c r="I39" s="1322">
        <f t="shared" si="13"/>
        <v>0</v>
      </c>
      <c r="J39" s="631"/>
    </row>
    <row r="40" spans="1:10" ht="13">
      <c r="A40" s="1275">
        <f t="shared" si="4"/>
        <v>307</v>
      </c>
      <c r="B40" s="1278" t="s">
        <v>2552</v>
      </c>
      <c r="C40" s="1279">
        <v>190</v>
      </c>
      <c r="D40" s="1317"/>
      <c r="E40" s="1280"/>
      <c r="F40" s="1322">
        <f t="shared" si="11"/>
        <v>0</v>
      </c>
      <c r="G40" s="1322">
        <f t="shared" si="12"/>
        <v>0</v>
      </c>
      <c r="H40" s="1322">
        <f>IF($I$3="No", 0,'9-ADIT-2'!J37)</f>
        <v>0</v>
      </c>
      <c r="I40" s="1322">
        <f t="shared" si="13"/>
        <v>0</v>
      </c>
      <c r="J40" s="631"/>
    </row>
    <row r="41" spans="1:10" ht="13">
      <c r="A41" s="1275">
        <f t="shared" si="4"/>
        <v>308</v>
      </c>
      <c r="B41" s="1278" t="s">
        <v>2610</v>
      </c>
      <c r="C41" s="1279">
        <v>190</v>
      </c>
      <c r="D41" s="1317"/>
      <c r="E41" s="1280"/>
      <c r="F41" s="1322">
        <f t="shared" si="11"/>
        <v>0</v>
      </c>
      <c r="G41" s="1322">
        <f t="shared" si="12"/>
        <v>0</v>
      </c>
      <c r="H41" s="1322">
        <f>IF($I$3="No", 0,'9-ADIT-2'!J38)</f>
        <v>0</v>
      </c>
      <c r="I41" s="1322">
        <f t="shared" si="13"/>
        <v>0</v>
      </c>
      <c r="J41" s="631"/>
    </row>
    <row r="42" spans="1:10" ht="13">
      <c r="A42" s="1275">
        <f t="shared" si="4"/>
        <v>309</v>
      </c>
      <c r="B42" s="1278" t="s">
        <v>2555</v>
      </c>
      <c r="C42" s="1279">
        <v>190</v>
      </c>
      <c r="D42" s="1317"/>
      <c r="E42" s="1280"/>
      <c r="F42" s="1322">
        <f t="shared" si="11"/>
        <v>0</v>
      </c>
      <c r="G42" s="1322">
        <f t="shared" si="12"/>
        <v>0</v>
      </c>
      <c r="H42" s="1322">
        <f>IF($I$3="No", 0,'9-ADIT-2'!J39)</f>
        <v>0</v>
      </c>
      <c r="I42" s="1322">
        <f t="shared" si="13"/>
        <v>0</v>
      </c>
      <c r="J42" s="631"/>
    </row>
    <row r="43" spans="1:10" ht="13">
      <c r="A43" s="1275">
        <f t="shared" si="4"/>
        <v>310</v>
      </c>
      <c r="B43" s="1278" t="s">
        <v>2553</v>
      </c>
      <c r="C43" s="1279">
        <v>190</v>
      </c>
      <c r="D43" s="1317"/>
      <c r="E43" s="1280"/>
      <c r="F43" s="1322">
        <f t="shared" si="11"/>
        <v>0</v>
      </c>
      <c r="G43" s="1322">
        <f t="shared" si="12"/>
        <v>0</v>
      </c>
      <c r="H43" s="1322">
        <f>IF($I$3="No", 0,'9-ADIT-2'!J40)</f>
        <v>0</v>
      </c>
      <c r="I43" s="1322">
        <f t="shared" si="13"/>
        <v>0</v>
      </c>
      <c r="J43" s="631"/>
    </row>
    <row r="44" spans="1:10" ht="13">
      <c r="A44" s="1275">
        <f t="shared" si="4"/>
        <v>311</v>
      </c>
      <c r="B44" s="1278" t="s">
        <v>2554</v>
      </c>
      <c r="C44" s="1279">
        <v>190</v>
      </c>
      <c r="D44" s="1317"/>
      <c r="E44" s="1280"/>
      <c r="F44" s="1322">
        <f t="shared" si="11"/>
        <v>0</v>
      </c>
      <c r="G44" s="1322">
        <f t="shared" si="12"/>
        <v>0</v>
      </c>
      <c r="H44" s="1322">
        <f>IF($I$3="No", 0,'9-ADIT-2'!J41)</f>
        <v>0</v>
      </c>
      <c r="I44" s="1322">
        <f t="shared" si="13"/>
        <v>0</v>
      </c>
      <c r="J44" s="631"/>
    </row>
    <row r="45" spans="1:10" ht="13">
      <c r="A45" s="1275">
        <f t="shared" si="4"/>
        <v>312</v>
      </c>
      <c r="B45" s="1278" t="s">
        <v>2611</v>
      </c>
      <c r="C45" s="1279">
        <v>283</v>
      </c>
      <c r="D45" s="1317"/>
      <c r="E45" s="1280"/>
      <c r="F45" s="1322">
        <f t="shared" si="11"/>
        <v>0</v>
      </c>
      <c r="G45" s="1322">
        <f t="shared" si="12"/>
        <v>0</v>
      </c>
      <c r="H45" s="1322">
        <f>IF($I$3="No", 0,'9-ADIT-2'!J42)</f>
        <v>0</v>
      </c>
      <c r="I45" s="1322">
        <f t="shared" si="13"/>
        <v>0</v>
      </c>
      <c r="J45" s="631"/>
    </row>
    <row r="46" spans="1:10" ht="13">
      <c r="A46" s="1275">
        <f t="shared" si="4"/>
        <v>313</v>
      </c>
      <c r="B46" s="1278" t="s">
        <v>2556</v>
      </c>
      <c r="C46" s="1279">
        <v>283</v>
      </c>
      <c r="D46" s="1317"/>
      <c r="E46" s="1280"/>
      <c r="F46" s="1322">
        <f t="shared" si="11"/>
        <v>0</v>
      </c>
      <c r="G46" s="1322">
        <f t="shared" si="12"/>
        <v>0</v>
      </c>
      <c r="H46" s="1322">
        <f>IF($I$3="No", 0,'9-ADIT-2'!J43)</f>
        <v>0</v>
      </c>
      <c r="I46" s="1322">
        <f t="shared" si="13"/>
        <v>0</v>
      </c>
      <c r="J46" s="631"/>
    </row>
    <row r="47" spans="1:10" ht="13">
      <c r="A47" s="1275">
        <f t="shared" si="4"/>
        <v>314</v>
      </c>
      <c r="B47" s="1278" t="s">
        <v>2557</v>
      </c>
      <c r="C47" s="1279">
        <v>283</v>
      </c>
      <c r="D47" s="1317"/>
      <c r="E47" s="1280"/>
      <c r="F47" s="1322">
        <f t="shared" si="11"/>
        <v>0</v>
      </c>
      <c r="G47" s="1322">
        <f t="shared" si="12"/>
        <v>0</v>
      </c>
      <c r="H47" s="1322">
        <f>IF($I$3="No", 0,'9-ADIT-2'!J44)</f>
        <v>0</v>
      </c>
      <c r="I47" s="1322">
        <f t="shared" si="13"/>
        <v>0</v>
      </c>
      <c r="J47" s="631"/>
    </row>
    <row r="48" spans="1:10" ht="13">
      <c r="A48" s="1275">
        <f t="shared" si="4"/>
        <v>315</v>
      </c>
      <c r="B48" s="1281" t="s">
        <v>504</v>
      </c>
      <c r="C48" s="1280"/>
      <c r="D48" s="1280"/>
      <c r="E48" s="1280"/>
      <c r="F48" s="1278"/>
      <c r="G48" s="1278"/>
      <c r="H48" s="1259"/>
      <c r="I48" s="1259"/>
      <c r="J48" s="631"/>
    </row>
    <row r="49" spans="1:10" ht="13.5" thickBot="1">
      <c r="A49" s="1275">
        <v>350</v>
      </c>
      <c r="B49" s="1295" t="s">
        <v>2642</v>
      </c>
      <c r="C49" s="1295"/>
      <c r="D49" s="1328">
        <f t="shared" ref="D49:I49" si="14">SUM(D34:D48)</f>
        <v>0</v>
      </c>
      <c r="E49" s="1328">
        <f t="shared" si="14"/>
        <v>0</v>
      </c>
      <c r="F49" s="1328">
        <f t="shared" si="14"/>
        <v>0</v>
      </c>
      <c r="G49" s="1328">
        <f t="shared" si="14"/>
        <v>0</v>
      </c>
      <c r="H49" s="1328">
        <f t="shared" si="14"/>
        <v>0</v>
      </c>
      <c r="I49" s="1328">
        <f t="shared" si="14"/>
        <v>0</v>
      </c>
      <c r="J49" s="631"/>
    </row>
    <row r="50" spans="1:10" ht="13.5" thickTop="1">
      <c r="A50" s="1275"/>
      <c r="B50" s="1259"/>
      <c r="C50" s="1259"/>
      <c r="D50" s="1296"/>
      <c r="E50" s="1296"/>
      <c r="F50" s="1296"/>
      <c r="G50" s="1296"/>
      <c r="H50" s="1296"/>
      <c r="I50" s="1296"/>
      <c r="J50" s="631"/>
    </row>
    <row r="51" spans="1:10" ht="13.5" thickBot="1">
      <c r="A51" s="1275">
        <v>400</v>
      </c>
      <c r="B51" s="1295" t="s">
        <v>2614</v>
      </c>
      <c r="C51" s="1295"/>
      <c r="D51" s="1329">
        <f t="shared" ref="D51:I51" si="15">D31+D49</f>
        <v>0</v>
      </c>
      <c r="E51" s="1329">
        <f t="shared" si="15"/>
        <v>0</v>
      </c>
      <c r="F51" s="1329">
        <f t="shared" si="15"/>
        <v>0</v>
      </c>
      <c r="G51" s="1329">
        <f t="shared" si="15"/>
        <v>0</v>
      </c>
      <c r="H51" s="1329">
        <f t="shared" si="15"/>
        <v>0</v>
      </c>
      <c r="I51" s="1329">
        <f t="shared" si="15"/>
        <v>0</v>
      </c>
      <c r="J51" s="631"/>
    </row>
    <row r="52" spans="1:10" ht="13.5" thickTop="1">
      <c r="A52" s="1275"/>
      <c r="B52" s="1297"/>
      <c r="C52" s="1297"/>
      <c r="D52" s="1259"/>
      <c r="E52" s="1259"/>
      <c r="F52" s="1259"/>
      <c r="G52" s="1259"/>
      <c r="H52" s="1259"/>
      <c r="I52" s="1259"/>
      <c r="J52" s="631"/>
    </row>
    <row r="53" spans="1:10" ht="13">
      <c r="A53" s="1275"/>
      <c r="B53" s="1299" t="s">
        <v>377</v>
      </c>
      <c r="C53" s="1297"/>
      <c r="D53" s="1259"/>
      <c r="E53" s="1259"/>
      <c r="F53" s="1259"/>
      <c r="G53" s="1259"/>
      <c r="H53" s="1259"/>
      <c r="I53" s="1259"/>
      <c r="J53" s="631"/>
    </row>
    <row r="54" spans="1:10" ht="16">
      <c r="A54" s="1275"/>
      <c r="B54" s="1319" t="s">
        <v>2643</v>
      </c>
      <c r="C54" s="1297"/>
      <c r="D54" s="1259"/>
      <c r="E54" s="1259"/>
      <c r="F54" s="1259"/>
      <c r="G54" s="1259"/>
      <c r="H54" s="1259"/>
      <c r="I54" s="1259"/>
      <c r="J54" s="631"/>
    </row>
    <row r="55" spans="1:10" ht="13">
      <c r="A55" s="1275"/>
      <c r="B55" s="1302" t="s">
        <v>2644</v>
      </c>
      <c r="C55" s="1297"/>
      <c r="D55" s="1259"/>
      <c r="E55" s="1259"/>
      <c r="F55" s="1259"/>
      <c r="G55" s="1259"/>
      <c r="H55" s="1259"/>
      <c r="I55" s="1259"/>
      <c r="J55" s="631"/>
    </row>
    <row r="56" spans="1:10" ht="13">
      <c r="A56" s="1275"/>
      <c r="B56" s="1299"/>
      <c r="C56" s="1300"/>
      <c r="D56" s="1259"/>
      <c r="E56" s="1259"/>
      <c r="F56" s="1259"/>
      <c r="G56" s="1259"/>
      <c r="H56" s="1259"/>
      <c r="I56" s="1259"/>
      <c r="J56" s="631"/>
    </row>
    <row r="57" spans="1:10" ht="13">
      <c r="A57" s="1275"/>
      <c r="B57" s="1302"/>
      <c r="C57" s="1259"/>
      <c r="D57" s="1259"/>
      <c r="E57" s="1259"/>
      <c r="F57" s="1259"/>
      <c r="G57" s="1259"/>
      <c r="H57" s="1259"/>
      <c r="I57" s="1259"/>
      <c r="J57" s="631"/>
    </row>
    <row r="58" spans="1:10" ht="13">
      <c r="A58" s="1275"/>
      <c r="B58" s="1302"/>
      <c r="C58" s="1259"/>
      <c r="D58" s="1259"/>
      <c r="E58" s="1259"/>
      <c r="F58" s="1259"/>
      <c r="G58" s="1259"/>
      <c r="H58" s="1259"/>
      <c r="I58" s="1259"/>
      <c r="J58" s="631"/>
    </row>
    <row r="59" spans="1:10" ht="13">
      <c r="A59" s="1275"/>
      <c r="B59" s="631"/>
      <c r="C59" s="1303"/>
      <c r="D59" s="1259"/>
      <c r="E59" s="1259"/>
      <c r="F59" s="1259"/>
      <c r="G59" s="1259"/>
      <c r="H59" s="1259"/>
      <c r="I59" s="1259"/>
      <c r="J59" s="631"/>
    </row>
    <row r="60" spans="1:10" ht="13">
      <c r="A60" s="1275"/>
      <c r="B60" s="631"/>
      <c r="C60" s="1303"/>
      <c r="D60" s="1259"/>
      <c r="E60" s="1259"/>
      <c r="F60" s="1259"/>
      <c r="G60" s="1259"/>
      <c r="H60" s="1259"/>
      <c r="I60" s="1259"/>
      <c r="J60" s="631"/>
    </row>
    <row r="61" spans="1:10" ht="13">
      <c r="A61" s="1275"/>
      <c r="B61" s="1302"/>
      <c r="C61" s="1259"/>
      <c r="D61" s="1259"/>
      <c r="E61" s="1259"/>
      <c r="F61" s="1259"/>
      <c r="G61" s="1259"/>
      <c r="H61" s="1259"/>
      <c r="I61" s="1259"/>
      <c r="J61" s="631"/>
    </row>
    <row r="62" spans="1:10" ht="13">
      <c r="A62" s="1275"/>
      <c r="B62" s="631"/>
      <c r="C62" s="1303"/>
      <c r="D62" s="1259"/>
      <c r="E62" s="1259"/>
      <c r="F62" s="1259"/>
      <c r="G62" s="1259"/>
      <c r="H62" s="1259"/>
      <c r="I62" s="1259"/>
      <c r="J62" s="631"/>
    </row>
    <row r="63" spans="1:10" ht="13">
      <c r="A63" s="1275"/>
      <c r="B63" s="631"/>
      <c r="C63" s="1303"/>
      <c r="D63" s="1259"/>
      <c r="E63" s="1259"/>
      <c r="F63" s="1259"/>
      <c r="G63" s="1259"/>
      <c r="H63" s="1259"/>
      <c r="I63" s="1259"/>
      <c r="J63" s="631"/>
    </row>
    <row r="64" spans="1:10" ht="13">
      <c r="A64" s="1275"/>
      <c r="B64" s="1302"/>
      <c r="C64" s="631"/>
      <c r="D64" s="1259"/>
      <c r="E64" s="631"/>
      <c r="F64" s="631"/>
      <c r="G64" s="631"/>
      <c r="H64" s="1259"/>
      <c r="I64" s="1259"/>
      <c r="J64" s="631"/>
    </row>
    <row r="65" spans="1:10">
      <c r="A65" s="631"/>
      <c r="B65" s="631"/>
      <c r="C65" s="1303"/>
      <c r="D65" s="1259"/>
      <c r="E65" s="631"/>
      <c r="F65" s="631"/>
      <c r="G65" s="631"/>
      <c r="H65" s="631"/>
      <c r="I65" s="631"/>
      <c r="J65" s="631"/>
    </row>
    <row r="66" spans="1:10">
      <c r="A66" s="631"/>
      <c r="B66" s="631"/>
      <c r="C66" s="1303"/>
      <c r="D66" s="1259"/>
      <c r="E66" s="631"/>
      <c r="F66" s="631"/>
      <c r="G66" s="631"/>
      <c r="H66" s="631"/>
      <c r="I66" s="631"/>
      <c r="J66" s="631"/>
    </row>
    <row r="67" spans="1:10">
      <c r="A67" s="631"/>
      <c r="B67" s="1302"/>
      <c r="C67" s="631"/>
      <c r="D67" s="1259"/>
      <c r="E67" s="631"/>
      <c r="F67" s="631"/>
      <c r="G67" s="631"/>
      <c r="H67" s="631"/>
      <c r="I67" s="631"/>
      <c r="J67" s="631"/>
    </row>
    <row r="68" spans="1:10">
      <c r="A68" s="631"/>
      <c r="B68" s="631"/>
      <c r="C68" s="631"/>
      <c r="D68" s="631"/>
      <c r="E68" s="631"/>
      <c r="F68" s="631"/>
      <c r="G68" s="631"/>
      <c r="H68" s="631"/>
      <c r="I68" s="631"/>
      <c r="J68" s="631"/>
    </row>
    <row r="69" spans="1:10">
      <c r="A69" s="631"/>
      <c r="B69" s="631"/>
      <c r="C69" s="631"/>
      <c r="D69" s="631"/>
      <c r="E69" s="631"/>
      <c r="F69" s="631"/>
      <c r="G69" s="631"/>
      <c r="H69" s="631"/>
      <c r="I69" s="631"/>
      <c r="J69" s="631"/>
    </row>
    <row r="70" spans="1:10">
      <c r="A70" s="631"/>
      <c r="B70" s="631"/>
      <c r="C70" s="631"/>
      <c r="D70" s="631"/>
      <c r="E70" s="631"/>
      <c r="F70" s="631"/>
      <c r="G70" s="631"/>
      <c r="H70" s="631"/>
      <c r="I70" s="631"/>
      <c r="J70" s="631"/>
    </row>
    <row r="71" spans="1:10">
      <c r="A71" s="631"/>
      <c r="B71" s="631"/>
      <c r="C71" s="631"/>
      <c r="D71" s="631"/>
      <c r="E71" s="631"/>
      <c r="F71" s="631"/>
      <c r="G71" s="631"/>
      <c r="H71" s="631"/>
      <c r="I71" s="631"/>
      <c r="J71" s="631"/>
    </row>
  </sheetData>
  <mergeCells count="1">
    <mergeCell ref="D8:I8"/>
  </mergeCells>
  <pageMargins left="0.7" right="0.7" top="0.75" bottom="0.75" header="0.3" footer="0.3"/>
  <pageSetup scale="63" orientation="landscape" r:id="rId1"/>
  <headerFooter>
    <oddHeader>&amp;CSchedule 9-ADIT-3
EDIT - Tax Rate Change&amp;RTO2022 Draft Annual Update 
Attachment 1</oddHeader>
    <oddFooter>&amp;R9-ADIT-3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84"/>
  <sheetViews>
    <sheetView zoomScaleNormal="100" zoomScalePageLayoutView="50" workbookViewId="0"/>
  </sheetViews>
  <sheetFormatPr defaultRowHeight="12.5"/>
  <cols>
    <col min="1" max="1" width="4.54296875" style="14"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3.54296875" bestFit="1" customWidth="1"/>
    <col min="9" max="9" width="16.7265625" bestFit="1" customWidth="1"/>
    <col min="10" max="10" width="15.453125" customWidth="1"/>
    <col min="11" max="11" width="17.453125" customWidth="1"/>
    <col min="12" max="12" width="14.54296875" style="14" bestFit="1" customWidth="1"/>
    <col min="13" max="13" width="13.453125" bestFit="1" customWidth="1"/>
  </cols>
  <sheetData>
    <row r="1" spans="1:12" ht="13">
      <c r="A1" s="44" t="s">
        <v>533</v>
      </c>
      <c r="K1" s="1"/>
    </row>
    <row r="2" spans="1:12" ht="13">
      <c r="A2" s="44"/>
      <c r="K2" s="1"/>
    </row>
    <row r="3" spans="1:12" ht="13">
      <c r="A3" s="44"/>
      <c r="B3" s="463" t="s">
        <v>948</v>
      </c>
      <c r="K3" s="1"/>
    </row>
    <row r="4" spans="1:12" ht="13">
      <c r="B4" s="463" t="s">
        <v>537</v>
      </c>
      <c r="K4" s="1"/>
      <c r="L4" s="465"/>
    </row>
    <row r="5" spans="1:12" ht="13">
      <c r="B5" s="463"/>
      <c r="K5" s="1"/>
    </row>
    <row r="6" spans="1:12" ht="13">
      <c r="A6" s="465"/>
      <c r="B6" s="1" t="s">
        <v>1219</v>
      </c>
      <c r="E6" s="68" t="s">
        <v>2531</v>
      </c>
      <c r="F6" s="1488" t="s">
        <v>2727</v>
      </c>
      <c r="G6" s="96"/>
      <c r="K6" s="1"/>
    </row>
    <row r="7" spans="1:12" ht="13">
      <c r="A7" s="465"/>
      <c r="B7" s="1229"/>
      <c r="D7" s="84" t="s">
        <v>358</v>
      </c>
      <c r="E7" s="84" t="s">
        <v>342</v>
      </c>
      <c r="F7" s="84" t="s">
        <v>343</v>
      </c>
      <c r="G7" s="84" t="s">
        <v>344</v>
      </c>
      <c r="H7" s="84" t="s">
        <v>345</v>
      </c>
      <c r="I7" s="84" t="s">
        <v>346</v>
      </c>
      <c r="J7" s="351"/>
      <c r="K7" s="1"/>
      <c r="L7" s="351"/>
    </row>
    <row r="8" spans="1:12">
      <c r="D8" s="1142" t="s">
        <v>979</v>
      </c>
      <c r="J8" s="14"/>
      <c r="K8" s="14"/>
    </row>
    <row r="9" spans="1:12">
      <c r="D9" s="838" t="s">
        <v>540</v>
      </c>
      <c r="J9" s="14"/>
      <c r="K9" s="14"/>
    </row>
    <row r="10" spans="1:12" ht="13">
      <c r="B10" s="549"/>
      <c r="J10" s="14"/>
      <c r="K10" s="14"/>
    </row>
    <row r="11" spans="1:12" ht="13">
      <c r="B11" s="549"/>
      <c r="D11" s="549" t="s">
        <v>19</v>
      </c>
      <c r="F11" s="549" t="s">
        <v>340</v>
      </c>
      <c r="G11" s="352" t="s">
        <v>986</v>
      </c>
      <c r="H11" s="352" t="s">
        <v>987</v>
      </c>
      <c r="I11" s="549"/>
      <c r="J11" s="109"/>
      <c r="K11" s="463"/>
    </row>
    <row r="12" spans="1:12" ht="13">
      <c r="A12" s="833" t="s">
        <v>329</v>
      </c>
      <c r="B12" s="607" t="s">
        <v>192</v>
      </c>
      <c r="C12" s="607" t="s">
        <v>193</v>
      </c>
      <c r="D12" s="3" t="s">
        <v>535</v>
      </c>
      <c r="E12" s="3" t="s">
        <v>223</v>
      </c>
      <c r="F12" s="3" t="s">
        <v>341</v>
      </c>
      <c r="G12" s="353" t="s">
        <v>985</v>
      </c>
      <c r="H12" s="353" t="s">
        <v>988</v>
      </c>
      <c r="I12" s="3" t="s">
        <v>538</v>
      </c>
      <c r="J12" s="122"/>
      <c r="K12" s="463"/>
    </row>
    <row r="13" spans="1:12" ht="13">
      <c r="A13" s="109">
        <v>1</v>
      </c>
      <c r="B13" s="608" t="s">
        <v>180</v>
      </c>
      <c r="C13" s="609">
        <v>2019</v>
      </c>
      <c r="D13" s="63">
        <f>SUM(E13:I13)+SUM(D33:I33)</f>
        <v>647763205.14999998</v>
      </c>
      <c r="E13" s="510">
        <v>157682.99</v>
      </c>
      <c r="F13" s="977">
        <v>0</v>
      </c>
      <c r="G13" s="977">
        <v>5584199.04</v>
      </c>
      <c r="H13" s="977">
        <v>468121962.68000001</v>
      </c>
      <c r="I13" s="977">
        <v>0</v>
      </c>
      <c r="J13" s="610"/>
    </row>
    <row r="14" spans="1:12" ht="13">
      <c r="A14" s="109">
        <f>A13+1</f>
        <v>2</v>
      </c>
      <c r="B14" s="608" t="s">
        <v>181</v>
      </c>
      <c r="C14" s="609">
        <v>2020</v>
      </c>
      <c r="D14" s="63">
        <f t="shared" ref="D14:D25" si="0">SUM(E14:I14)+SUM(D34:I34)</f>
        <v>667317968.99000001</v>
      </c>
      <c r="E14" s="510">
        <v>157682.99</v>
      </c>
      <c r="F14" s="977">
        <v>0</v>
      </c>
      <c r="G14" s="977">
        <v>5586667.5300000003</v>
      </c>
      <c r="H14" s="977">
        <v>482863223.75999999</v>
      </c>
      <c r="I14" s="977">
        <v>0</v>
      </c>
      <c r="J14" s="610"/>
    </row>
    <row r="15" spans="1:12" ht="13">
      <c r="A15" s="109">
        <f t="shared" ref="A15:A26" si="1">A14+1</f>
        <v>3</v>
      </c>
      <c r="B15" s="611" t="s">
        <v>182</v>
      </c>
      <c r="C15" s="609">
        <v>2020</v>
      </c>
      <c r="D15" s="63">
        <f t="shared" si="0"/>
        <v>686890916.30999994</v>
      </c>
      <c r="E15" s="510">
        <v>157682.99</v>
      </c>
      <c r="F15" s="977">
        <v>0</v>
      </c>
      <c r="G15" s="977">
        <v>5589673.6299999999</v>
      </c>
      <c r="H15" s="977">
        <v>496518128.48000002</v>
      </c>
      <c r="I15" s="977">
        <v>0</v>
      </c>
      <c r="J15" s="610"/>
    </row>
    <row r="16" spans="1:12" ht="13">
      <c r="A16" s="109">
        <f t="shared" si="1"/>
        <v>4</v>
      </c>
      <c r="B16" s="611" t="s">
        <v>195</v>
      </c>
      <c r="C16" s="609">
        <v>2020</v>
      </c>
      <c r="D16" s="63">
        <f t="shared" si="0"/>
        <v>704978186.75</v>
      </c>
      <c r="E16" s="510">
        <v>157682.99</v>
      </c>
      <c r="F16" s="977">
        <v>0</v>
      </c>
      <c r="G16" s="977">
        <v>5593394.5</v>
      </c>
      <c r="H16" s="977">
        <v>508749996.74000001</v>
      </c>
      <c r="I16" s="977">
        <v>0</v>
      </c>
      <c r="J16" s="610"/>
    </row>
    <row r="17" spans="1:11" ht="13">
      <c r="A17" s="109">
        <f t="shared" si="1"/>
        <v>5</v>
      </c>
      <c r="B17" s="608" t="s">
        <v>183</v>
      </c>
      <c r="C17" s="609">
        <v>2020</v>
      </c>
      <c r="D17" s="63">
        <f t="shared" si="0"/>
        <v>736136537.35000002</v>
      </c>
      <c r="E17" s="510">
        <v>158151.93</v>
      </c>
      <c r="F17" s="977">
        <v>0</v>
      </c>
      <c r="G17" s="977">
        <v>5614689.6399999997</v>
      </c>
      <c r="H17" s="977">
        <v>530178178.39999998</v>
      </c>
      <c r="I17" s="977">
        <v>0</v>
      </c>
      <c r="J17" s="610"/>
    </row>
    <row r="18" spans="1:11" ht="13">
      <c r="A18" s="109">
        <f t="shared" si="1"/>
        <v>6</v>
      </c>
      <c r="B18" s="611" t="s">
        <v>184</v>
      </c>
      <c r="C18" s="609">
        <v>2020</v>
      </c>
      <c r="D18" s="63">
        <f t="shared" si="0"/>
        <v>766315723.44000006</v>
      </c>
      <c r="E18" s="510">
        <v>158151.93</v>
      </c>
      <c r="F18" s="977">
        <v>0</v>
      </c>
      <c r="G18" s="977">
        <v>5617457.7699999996</v>
      </c>
      <c r="H18" s="977">
        <v>550183294.63999999</v>
      </c>
      <c r="I18" s="977">
        <v>0</v>
      </c>
      <c r="J18" s="610"/>
    </row>
    <row r="19" spans="1:11" ht="13">
      <c r="A19" s="109">
        <f t="shared" si="1"/>
        <v>7</v>
      </c>
      <c r="B19" s="611" t="s">
        <v>185</v>
      </c>
      <c r="C19" s="609">
        <v>2020</v>
      </c>
      <c r="D19" s="63">
        <f t="shared" si="0"/>
        <v>777699897.32999992</v>
      </c>
      <c r="E19" s="510">
        <v>158151.93</v>
      </c>
      <c r="F19" s="977">
        <v>0</v>
      </c>
      <c r="G19" s="977">
        <v>5621300.7199999997</v>
      </c>
      <c r="H19" s="977">
        <v>566551864.49000001</v>
      </c>
      <c r="I19" s="977">
        <v>0</v>
      </c>
      <c r="J19" s="610"/>
    </row>
    <row r="20" spans="1:11" ht="13">
      <c r="A20" s="109">
        <f t="shared" si="1"/>
        <v>8</v>
      </c>
      <c r="B20" s="608" t="s">
        <v>186</v>
      </c>
      <c r="C20" s="609">
        <v>2020</v>
      </c>
      <c r="D20" s="63">
        <f t="shared" si="0"/>
        <v>806560747.9000001</v>
      </c>
      <c r="E20" s="510">
        <v>158151.93</v>
      </c>
      <c r="F20" s="977">
        <v>0</v>
      </c>
      <c r="G20" s="977">
        <v>5625043.7599999998</v>
      </c>
      <c r="H20" s="977">
        <v>583538005.36000001</v>
      </c>
      <c r="I20" s="977">
        <v>0</v>
      </c>
      <c r="J20" s="610"/>
    </row>
    <row r="21" spans="1:11" ht="13">
      <c r="A21" s="109">
        <f t="shared" si="1"/>
        <v>9</v>
      </c>
      <c r="B21" s="611" t="s">
        <v>187</v>
      </c>
      <c r="C21" s="609">
        <v>2020</v>
      </c>
      <c r="D21" s="63">
        <f t="shared" si="0"/>
        <v>832809381.27999997</v>
      </c>
      <c r="E21" s="510">
        <v>158359.37</v>
      </c>
      <c r="F21" s="977">
        <v>0</v>
      </c>
      <c r="G21" s="977">
        <v>5631722.46</v>
      </c>
      <c r="H21" s="977">
        <v>600823159.78999996</v>
      </c>
      <c r="I21" s="977">
        <v>0</v>
      </c>
      <c r="J21" s="610"/>
    </row>
    <row r="22" spans="1:11" ht="13">
      <c r="A22" s="109">
        <f t="shared" si="1"/>
        <v>10</v>
      </c>
      <c r="B22" s="611" t="s">
        <v>188</v>
      </c>
      <c r="C22" s="609">
        <v>2020</v>
      </c>
      <c r="D22" s="63">
        <f t="shared" si="0"/>
        <v>855968170.97000003</v>
      </c>
      <c r="E22" s="510">
        <v>158440.59</v>
      </c>
      <c r="F22" s="977">
        <v>0</v>
      </c>
      <c r="G22" s="977">
        <v>5642785.7199999997</v>
      </c>
      <c r="H22" s="977">
        <v>611907653.34000003</v>
      </c>
      <c r="I22" s="977">
        <v>0</v>
      </c>
      <c r="J22" s="610"/>
    </row>
    <row r="23" spans="1:11" ht="13">
      <c r="A23" s="109">
        <f t="shared" si="1"/>
        <v>11</v>
      </c>
      <c r="B23" s="608" t="s">
        <v>189</v>
      </c>
      <c r="C23" s="609">
        <v>2020</v>
      </c>
      <c r="D23" s="63">
        <f t="shared" si="0"/>
        <v>912409513.13999987</v>
      </c>
      <c r="E23" s="510">
        <v>158428.57999999999</v>
      </c>
      <c r="F23" s="977">
        <v>0</v>
      </c>
      <c r="G23" s="977">
        <v>5670586.46</v>
      </c>
      <c r="H23" s="977">
        <v>626112034.00999999</v>
      </c>
      <c r="I23" s="977">
        <v>0</v>
      </c>
      <c r="J23" s="610"/>
    </row>
    <row r="24" spans="1:11" ht="13">
      <c r="A24" s="109">
        <f t="shared" si="1"/>
        <v>12</v>
      </c>
      <c r="B24" s="608" t="s">
        <v>190</v>
      </c>
      <c r="C24" s="609">
        <v>2020</v>
      </c>
      <c r="D24" s="63">
        <f t="shared" si="0"/>
        <v>931298657.17999995</v>
      </c>
      <c r="E24" s="510">
        <v>158428.57999999999</v>
      </c>
      <c r="F24" s="977">
        <v>0</v>
      </c>
      <c r="G24" s="977">
        <v>5698173.5300000003</v>
      </c>
      <c r="H24" s="977">
        <v>628963154.42999995</v>
      </c>
      <c r="I24" s="977">
        <v>0</v>
      </c>
      <c r="J24" s="610"/>
    </row>
    <row r="25" spans="1:11" ht="13">
      <c r="A25" s="109">
        <f t="shared" si="1"/>
        <v>13</v>
      </c>
      <c r="B25" s="608" t="s">
        <v>180</v>
      </c>
      <c r="C25" s="609">
        <v>2020</v>
      </c>
      <c r="D25" s="110">
        <f t="shared" si="0"/>
        <v>974174702.11999989</v>
      </c>
      <c r="E25" s="395">
        <v>160227</v>
      </c>
      <c r="F25" s="115">
        <v>0</v>
      </c>
      <c r="G25" s="115">
        <v>5772572.9199999999</v>
      </c>
      <c r="H25" s="115">
        <v>650835316.65999997</v>
      </c>
      <c r="I25" s="115">
        <v>0</v>
      </c>
      <c r="J25" s="610"/>
    </row>
    <row r="26" spans="1:11" ht="13">
      <c r="A26" s="109">
        <f t="shared" si="1"/>
        <v>14</v>
      </c>
      <c r="B26" s="1143"/>
      <c r="C26" s="612" t="s">
        <v>536</v>
      </c>
      <c r="D26" s="508">
        <f t="shared" ref="D26:I26" si="2">SUM(D13:D25)/13</f>
        <v>792332585.2238462</v>
      </c>
      <c r="E26" s="508">
        <f t="shared" si="2"/>
        <v>158247.98461538463</v>
      </c>
      <c r="F26" s="508">
        <f t="shared" si="2"/>
        <v>0</v>
      </c>
      <c r="G26" s="508">
        <f t="shared" si="2"/>
        <v>5634482.1292307684</v>
      </c>
      <c r="H26" s="508">
        <f t="shared" si="2"/>
        <v>561949690.21384621</v>
      </c>
      <c r="I26" s="508">
        <f t="shared" si="2"/>
        <v>0</v>
      </c>
      <c r="J26" s="610"/>
      <c r="K26" s="610"/>
    </row>
    <row r="27" spans="1:11" ht="13">
      <c r="A27" s="109"/>
      <c r="B27" s="608"/>
      <c r="C27" s="612"/>
      <c r="D27" s="508"/>
      <c r="E27" s="508"/>
      <c r="F27" s="508"/>
      <c r="G27" s="508"/>
      <c r="H27" s="508"/>
      <c r="I27" s="610"/>
      <c r="J27" s="467"/>
      <c r="K27" s="610"/>
    </row>
    <row r="28" spans="1:11" ht="13">
      <c r="A28" s="109"/>
      <c r="B28" s="608"/>
      <c r="C28" s="612"/>
      <c r="D28" s="84" t="s">
        <v>347</v>
      </c>
      <c r="E28" s="84" t="s">
        <v>534</v>
      </c>
      <c r="F28" s="84" t="s">
        <v>949</v>
      </c>
      <c r="G28" s="84" t="s">
        <v>961</v>
      </c>
      <c r="H28" s="84" t="s">
        <v>964</v>
      </c>
      <c r="I28" s="84" t="s">
        <v>982</v>
      </c>
      <c r="J28" s="1440" t="s">
        <v>1459</v>
      </c>
      <c r="K28" s="351"/>
    </row>
    <row r="29" spans="1:11" ht="13">
      <c r="A29" s="109"/>
      <c r="B29" s="608"/>
      <c r="C29" s="612"/>
      <c r="E29" s="352" t="s">
        <v>983</v>
      </c>
      <c r="F29" s="352"/>
      <c r="G29" s="352"/>
      <c r="H29" s="508"/>
      <c r="I29" s="610"/>
      <c r="J29" s="1091"/>
      <c r="K29" s="610"/>
    </row>
    <row r="30" spans="1:11" ht="13">
      <c r="B30" s="549"/>
      <c r="D30" s="549" t="s">
        <v>980</v>
      </c>
      <c r="E30" s="549" t="s">
        <v>984</v>
      </c>
      <c r="F30" s="1339"/>
      <c r="G30" s="1339"/>
      <c r="H30" s="1339"/>
      <c r="I30" s="352"/>
      <c r="J30" s="1091"/>
      <c r="K30" s="610"/>
    </row>
    <row r="31" spans="1:11" ht="13">
      <c r="B31" s="549"/>
      <c r="D31" s="549" t="s">
        <v>422</v>
      </c>
      <c r="E31" s="549" t="s">
        <v>422</v>
      </c>
      <c r="F31" s="1348"/>
      <c r="G31" s="1348"/>
      <c r="H31" s="1349" t="s">
        <v>2679</v>
      </c>
      <c r="I31" s="352"/>
      <c r="J31" s="1417"/>
      <c r="K31" s="352"/>
    </row>
    <row r="32" spans="1:11" ht="13">
      <c r="A32" s="833" t="s">
        <v>329</v>
      </c>
      <c r="B32" s="607" t="s">
        <v>192</v>
      </c>
      <c r="C32" s="607" t="s">
        <v>193</v>
      </c>
      <c r="D32" s="3" t="s">
        <v>981</v>
      </c>
      <c r="E32" s="3" t="s">
        <v>981</v>
      </c>
      <c r="F32" s="1348" t="s">
        <v>2418</v>
      </c>
      <c r="G32" s="1348" t="s">
        <v>2419</v>
      </c>
      <c r="H32" s="1348" t="s">
        <v>2680</v>
      </c>
      <c r="I32" s="353" t="s">
        <v>2728</v>
      </c>
      <c r="J32" s="354"/>
      <c r="K32" s="353"/>
    </row>
    <row r="33" spans="1:11" ht="13">
      <c r="A33" s="109">
        <f>+A26+1</f>
        <v>15</v>
      </c>
      <c r="B33" s="608" t="s">
        <v>180</v>
      </c>
      <c r="C33" s="609">
        <v>2019</v>
      </c>
      <c r="D33" s="977">
        <v>0</v>
      </c>
      <c r="E33" s="977">
        <v>301246.76</v>
      </c>
      <c r="F33" s="1414">
        <v>49854942.909999996</v>
      </c>
      <c r="G33" s="1414">
        <v>22001340.41</v>
      </c>
      <c r="H33" s="1414">
        <v>101741830.36</v>
      </c>
      <c r="I33" s="1067">
        <v>0</v>
      </c>
      <c r="J33" s="1067"/>
      <c r="K33" s="1419"/>
    </row>
    <row r="34" spans="1:11" ht="13">
      <c r="A34" s="109">
        <f>A33+1</f>
        <v>16</v>
      </c>
      <c r="B34" s="608" t="s">
        <v>181</v>
      </c>
      <c r="C34" s="609">
        <v>2020</v>
      </c>
      <c r="D34" s="977">
        <v>0</v>
      </c>
      <c r="E34" s="977">
        <v>314578.90999999997</v>
      </c>
      <c r="F34" s="1414">
        <v>52597528.799999997</v>
      </c>
      <c r="G34" s="1414">
        <v>22150961.780000001</v>
      </c>
      <c r="H34" s="1414">
        <v>103647325.22</v>
      </c>
      <c r="I34" s="1067">
        <v>0</v>
      </c>
      <c r="J34" s="1067"/>
      <c r="K34" s="1419"/>
    </row>
    <row r="35" spans="1:11" ht="13">
      <c r="A35" s="109">
        <f t="shared" ref="A35:A46" si="3">A34+1</f>
        <v>17</v>
      </c>
      <c r="B35" s="611" t="s">
        <v>182</v>
      </c>
      <c r="C35" s="609">
        <v>2020</v>
      </c>
      <c r="D35" s="977">
        <v>0</v>
      </c>
      <c r="E35" s="977">
        <v>327688.84999999998</v>
      </c>
      <c r="F35" s="1414">
        <v>57215990.810000002</v>
      </c>
      <c r="G35" s="1414">
        <v>22202739.25</v>
      </c>
      <c r="H35" s="1414">
        <v>104879012.3</v>
      </c>
      <c r="I35" s="1067">
        <v>0</v>
      </c>
      <c r="J35" s="1067"/>
      <c r="K35" s="1419"/>
    </row>
    <row r="36" spans="1:11" ht="13">
      <c r="A36" s="109">
        <f t="shared" si="3"/>
        <v>18</v>
      </c>
      <c r="B36" s="611" t="s">
        <v>195</v>
      </c>
      <c r="C36" s="609">
        <v>2020</v>
      </c>
      <c r="D36" s="977">
        <v>0</v>
      </c>
      <c r="E36" s="977">
        <v>352874.55</v>
      </c>
      <c r="F36" s="1414">
        <v>62131624.969999999</v>
      </c>
      <c r="G36" s="1414">
        <v>22303967.489999998</v>
      </c>
      <c r="H36" s="1414">
        <v>105688645.51000001</v>
      </c>
      <c r="I36" s="1067">
        <v>0</v>
      </c>
      <c r="J36" s="1067"/>
      <c r="K36" s="1419"/>
    </row>
    <row r="37" spans="1:11" ht="13">
      <c r="A37" s="109">
        <f t="shared" si="3"/>
        <v>19</v>
      </c>
      <c r="B37" s="608" t="s">
        <v>183</v>
      </c>
      <c r="C37" s="609">
        <v>2020</v>
      </c>
      <c r="D37" s="977">
        <v>0</v>
      </c>
      <c r="E37" s="977">
        <v>455738.93</v>
      </c>
      <c r="F37" s="1414">
        <v>70825720.700000003</v>
      </c>
      <c r="G37" s="1414">
        <v>22527953.600000001</v>
      </c>
      <c r="H37" s="1414">
        <v>106376104.15000001</v>
      </c>
      <c r="I37" s="1067">
        <v>0</v>
      </c>
      <c r="J37" s="1067"/>
      <c r="K37" s="1419"/>
    </row>
    <row r="38" spans="1:11" ht="13">
      <c r="A38" s="109">
        <f t="shared" si="3"/>
        <v>20</v>
      </c>
      <c r="B38" s="611" t="s">
        <v>184</v>
      </c>
      <c r="C38" s="609">
        <v>2020</v>
      </c>
      <c r="D38" s="977">
        <v>0</v>
      </c>
      <c r="E38" s="977">
        <v>464585.92</v>
      </c>
      <c r="F38" s="1414">
        <v>80230177.480000004</v>
      </c>
      <c r="G38" s="1414">
        <v>22630008.969999999</v>
      </c>
      <c r="H38" s="1414">
        <v>107032046.73</v>
      </c>
      <c r="I38" s="1067">
        <v>0</v>
      </c>
      <c r="J38" s="1067"/>
      <c r="K38" s="1419"/>
    </row>
    <row r="39" spans="1:11" ht="13">
      <c r="A39" s="109">
        <f t="shared" si="3"/>
        <v>21</v>
      </c>
      <c r="B39" s="611" t="s">
        <v>185</v>
      </c>
      <c r="C39" s="609">
        <v>2020</v>
      </c>
      <c r="D39" s="977">
        <v>0</v>
      </c>
      <c r="E39" s="977">
        <v>482716.26</v>
      </c>
      <c r="F39" s="1414">
        <v>74589472.019999996</v>
      </c>
      <c r="G39" s="1414">
        <v>22721075.100000001</v>
      </c>
      <c r="H39" s="1414">
        <v>107575316.81</v>
      </c>
      <c r="I39" s="1067">
        <v>0</v>
      </c>
      <c r="J39" s="1067"/>
      <c r="K39" s="1419"/>
    </row>
    <row r="40" spans="1:11" ht="13">
      <c r="A40" s="109">
        <f t="shared" si="3"/>
        <v>22</v>
      </c>
      <c r="B40" s="608" t="s">
        <v>186</v>
      </c>
      <c r="C40" s="609">
        <v>2020</v>
      </c>
      <c r="D40" s="977">
        <v>0</v>
      </c>
      <c r="E40" s="977">
        <v>2040898.35</v>
      </c>
      <c r="F40" s="1414">
        <v>83350309.900000006</v>
      </c>
      <c r="G40" s="1414">
        <v>23075589.440000001</v>
      </c>
      <c r="H40" s="1414">
        <v>108772749.16</v>
      </c>
      <c r="I40" s="1067">
        <v>0</v>
      </c>
      <c r="J40" s="1067"/>
      <c r="K40" s="1419"/>
    </row>
    <row r="41" spans="1:11" ht="13">
      <c r="A41" s="109">
        <f>A40+1</f>
        <v>23</v>
      </c>
      <c r="B41" s="611" t="s">
        <v>187</v>
      </c>
      <c r="C41" s="609">
        <v>2020</v>
      </c>
      <c r="D41" s="977">
        <v>0</v>
      </c>
      <c r="E41" s="977">
        <v>2559044.91</v>
      </c>
      <c r="F41" s="1414">
        <v>90752927.450000003</v>
      </c>
      <c r="G41" s="1414">
        <v>23141985.949999999</v>
      </c>
      <c r="H41" s="1414">
        <v>109742181.34999999</v>
      </c>
      <c r="I41" s="1067">
        <v>0</v>
      </c>
      <c r="J41" s="1067"/>
      <c r="K41" s="1419"/>
    </row>
    <row r="42" spans="1:11" ht="13">
      <c r="A42" s="109">
        <f t="shared" si="3"/>
        <v>24</v>
      </c>
      <c r="B42" s="611" t="s">
        <v>188</v>
      </c>
      <c r="C42" s="609">
        <v>2020</v>
      </c>
      <c r="D42" s="977">
        <v>0</v>
      </c>
      <c r="E42" s="977">
        <v>2712680.34</v>
      </c>
      <c r="F42" s="1414">
        <v>98713183.930000007</v>
      </c>
      <c r="G42" s="1414">
        <v>23227270.989999998</v>
      </c>
      <c r="H42" s="1414">
        <v>113606156.06</v>
      </c>
      <c r="I42" s="1067">
        <v>0</v>
      </c>
      <c r="J42" s="1067"/>
      <c r="K42" s="1419"/>
    </row>
    <row r="43" spans="1:11" ht="13">
      <c r="A43" s="109">
        <f t="shared" si="3"/>
        <v>25</v>
      </c>
      <c r="B43" s="608" t="s">
        <v>189</v>
      </c>
      <c r="C43" s="609">
        <v>2020</v>
      </c>
      <c r="D43" s="977">
        <v>0</v>
      </c>
      <c r="E43" s="977">
        <v>4219773.9400000004</v>
      </c>
      <c r="F43" s="1414">
        <v>107780542.37</v>
      </c>
      <c r="G43" s="1414">
        <v>23404470.07</v>
      </c>
      <c r="H43" s="1414">
        <v>122055717.27</v>
      </c>
      <c r="I43" s="1067">
        <v>23007960.440000001</v>
      </c>
      <c r="J43" s="1067"/>
      <c r="K43" s="1419"/>
    </row>
    <row r="44" spans="1:11" ht="13">
      <c r="A44" s="109">
        <f t="shared" si="3"/>
        <v>26</v>
      </c>
      <c r="B44" s="608" t="s">
        <v>190</v>
      </c>
      <c r="C44" s="609">
        <v>2020</v>
      </c>
      <c r="D44" s="977">
        <v>0</v>
      </c>
      <c r="E44" s="977">
        <v>4913048.93</v>
      </c>
      <c r="F44" s="1428">
        <v>117426140.42</v>
      </c>
      <c r="G44" s="1428">
        <v>23468082.98</v>
      </c>
      <c r="H44" s="988">
        <v>127566107.83</v>
      </c>
      <c r="I44" s="1067">
        <v>23105520.48</v>
      </c>
      <c r="J44" s="1067"/>
      <c r="K44" s="1419"/>
    </row>
    <row r="45" spans="1:11" ht="13">
      <c r="A45" s="109">
        <f t="shared" si="3"/>
        <v>27</v>
      </c>
      <c r="B45" s="608" t="s">
        <v>180</v>
      </c>
      <c r="C45" s="609">
        <v>2020</v>
      </c>
      <c r="D45" s="115">
        <v>0</v>
      </c>
      <c r="E45" s="115">
        <v>5327831.78</v>
      </c>
      <c r="F45" s="1429">
        <v>130044184.2</v>
      </c>
      <c r="G45" s="1429">
        <v>23818399.359999999</v>
      </c>
      <c r="H45" s="1430">
        <v>134608216.12</v>
      </c>
      <c r="I45" s="1418">
        <v>23607954.079999998</v>
      </c>
      <c r="J45" s="1418"/>
      <c r="K45" s="1420"/>
    </row>
    <row r="46" spans="1:11" ht="13">
      <c r="A46" s="109">
        <f t="shared" si="3"/>
        <v>28</v>
      </c>
      <c r="B46" s="1143"/>
      <c r="C46" s="612" t="s">
        <v>536</v>
      </c>
      <c r="D46" s="508">
        <f t="shared" ref="D46:I46" si="4">SUM(D33:D45)/13</f>
        <v>0</v>
      </c>
      <c r="E46" s="508">
        <f t="shared" si="4"/>
        <v>1882516.0330769231</v>
      </c>
      <c r="F46" s="508">
        <f t="shared" si="4"/>
        <v>82731749.68923077</v>
      </c>
      <c r="G46" s="508">
        <f t="shared" si="4"/>
        <v>22821065.029999997</v>
      </c>
      <c r="H46" s="508">
        <f t="shared" si="4"/>
        <v>111791646.83615384</v>
      </c>
      <c r="I46" s="508">
        <f t="shared" si="4"/>
        <v>5363187.307692308</v>
      </c>
      <c r="J46" s="1029" t="s">
        <v>76</v>
      </c>
      <c r="K46" s="613"/>
    </row>
    <row r="48" spans="1:11" ht="13">
      <c r="B48" s="614" t="s">
        <v>1913</v>
      </c>
    </row>
    <row r="49" spans="1:13" ht="13">
      <c r="B49" s="614"/>
      <c r="D49" s="640" t="s">
        <v>358</v>
      </c>
      <c r="E49" s="640" t="s">
        <v>342</v>
      </c>
      <c r="F49" s="640" t="s">
        <v>343</v>
      </c>
      <c r="G49" s="640" t="s">
        <v>344</v>
      </c>
      <c r="H49" s="640" t="s">
        <v>345</v>
      </c>
      <c r="I49" s="640" t="s">
        <v>346</v>
      </c>
      <c r="J49" s="640" t="s">
        <v>347</v>
      </c>
      <c r="K49" s="640" t="s">
        <v>534</v>
      </c>
    </row>
    <row r="50" spans="1:13" s="641" customFormat="1">
      <c r="A50" s="778"/>
      <c r="D50" s="464" t="s">
        <v>211</v>
      </c>
      <c r="E50" s="464" t="s">
        <v>211</v>
      </c>
      <c r="F50" s="464" t="s">
        <v>211</v>
      </c>
      <c r="G50" s="464" t="s">
        <v>211</v>
      </c>
      <c r="H50" s="464" t="s">
        <v>211</v>
      </c>
      <c r="I50" s="464" t="s">
        <v>211</v>
      </c>
      <c r="J50" s="464" t="s">
        <v>211</v>
      </c>
      <c r="K50" s="464" t="s">
        <v>211</v>
      </c>
      <c r="L50" s="778"/>
    </row>
    <row r="51" spans="1:13" ht="13">
      <c r="G51" s="549" t="s">
        <v>1914</v>
      </c>
      <c r="K51" s="642"/>
    </row>
    <row r="52" spans="1:13" ht="13">
      <c r="A52" s="642"/>
      <c r="B52" s="642"/>
      <c r="C52" s="642"/>
      <c r="D52" s="642" t="s">
        <v>198</v>
      </c>
      <c r="E52" s="642" t="s">
        <v>1897</v>
      </c>
      <c r="F52" s="642" t="s">
        <v>1915</v>
      </c>
      <c r="G52" s="642" t="s">
        <v>196</v>
      </c>
      <c r="H52" s="642" t="s">
        <v>1916</v>
      </c>
      <c r="I52" s="643" t="s">
        <v>1917</v>
      </c>
      <c r="J52" s="642" t="s">
        <v>198</v>
      </c>
      <c r="K52" s="642" t="s">
        <v>18</v>
      </c>
    </row>
    <row r="53" spans="1:13" ht="13">
      <c r="A53" s="833" t="s">
        <v>329</v>
      </c>
      <c r="B53" s="607" t="s">
        <v>192</v>
      </c>
      <c r="C53" s="607" t="s">
        <v>193</v>
      </c>
      <c r="D53" s="640" t="s">
        <v>1918</v>
      </c>
      <c r="E53" s="640" t="s">
        <v>1898</v>
      </c>
      <c r="F53" s="640" t="s">
        <v>1919</v>
      </c>
      <c r="G53" s="640" t="s">
        <v>1920</v>
      </c>
      <c r="H53" s="640" t="s">
        <v>1921</v>
      </c>
      <c r="I53" s="640" t="s">
        <v>1922</v>
      </c>
      <c r="J53" s="640" t="s">
        <v>1923</v>
      </c>
      <c r="K53" s="3" t="s">
        <v>1924</v>
      </c>
    </row>
    <row r="54" spans="1:13" ht="13">
      <c r="A54" s="109">
        <f>A46+1</f>
        <v>29</v>
      </c>
      <c r="B54" s="608" t="s">
        <v>180</v>
      </c>
      <c r="C54" s="609">
        <v>2020</v>
      </c>
      <c r="D54" s="649" t="s">
        <v>76</v>
      </c>
      <c r="E54" s="649" t="s">
        <v>76</v>
      </c>
      <c r="F54" s="649" t="s">
        <v>76</v>
      </c>
      <c r="G54" s="649" t="s">
        <v>76</v>
      </c>
      <c r="H54" s="649" t="s">
        <v>76</v>
      </c>
      <c r="I54" s="649" t="s">
        <v>76</v>
      </c>
      <c r="J54" s="7">
        <f>D25</f>
        <v>974174702.11999989</v>
      </c>
      <c r="K54" s="649" t="s">
        <v>76</v>
      </c>
    </row>
    <row r="55" spans="1:13" ht="13">
      <c r="A55" s="109">
        <f>A54+1</f>
        <v>30</v>
      </c>
      <c r="B55" s="608" t="s">
        <v>181</v>
      </c>
      <c r="C55" s="609">
        <v>2021</v>
      </c>
      <c r="D55" s="7">
        <f t="shared" ref="D55:K55" si="5">D89+D122+D155+D188+D221+D254+D287+D320+D353+D386+D419</f>
        <v>13419719.819800001</v>
      </c>
      <c r="E55" s="7">
        <f t="shared" si="5"/>
        <v>1006478.986485</v>
      </c>
      <c r="F55" s="7">
        <f t="shared" si="5"/>
        <v>14426198.806284998</v>
      </c>
      <c r="G55" s="7">
        <f t="shared" si="5"/>
        <v>13625514.4318</v>
      </c>
      <c r="H55" s="7">
        <f t="shared" si="5"/>
        <v>13498671.640000001</v>
      </c>
      <c r="I55" s="7">
        <f t="shared" si="5"/>
        <v>9513.2093850000529</v>
      </c>
      <c r="J55" s="7">
        <f t="shared" si="5"/>
        <v>974965873.28509998</v>
      </c>
      <c r="K55" s="7">
        <f t="shared" si="5"/>
        <v>791171.16510002315</v>
      </c>
      <c r="L55" s="775"/>
      <c r="M55" s="7"/>
    </row>
    <row r="56" spans="1:13" ht="13">
      <c r="A56" s="109">
        <f t="shared" ref="A56:A79" si="6">A55+1</f>
        <v>31</v>
      </c>
      <c r="B56" s="611" t="s">
        <v>182</v>
      </c>
      <c r="C56" s="609">
        <v>2021</v>
      </c>
      <c r="D56" s="7">
        <f t="shared" ref="D56:K56" si="7">D90+D123+D156+D189+D222+D255+D288+D321+D354+D387+D420</f>
        <v>16488367.842399999</v>
      </c>
      <c r="E56" s="7">
        <f t="shared" si="7"/>
        <v>1236627.5881799997</v>
      </c>
      <c r="F56" s="7">
        <f t="shared" si="7"/>
        <v>17724995.430579998</v>
      </c>
      <c r="G56" s="7">
        <f t="shared" si="7"/>
        <v>-380130.16160000011</v>
      </c>
      <c r="H56" s="7">
        <f t="shared" si="7"/>
        <v>0</v>
      </c>
      <c r="I56" s="7">
        <f t="shared" si="7"/>
        <v>-28509.762120000007</v>
      </c>
      <c r="J56" s="7">
        <f t="shared" si="7"/>
        <v>993099508.63939989</v>
      </c>
      <c r="K56" s="7">
        <f t="shared" si="7"/>
        <v>18924806.519399974</v>
      </c>
      <c r="L56" s="775"/>
      <c r="M56" s="7"/>
    </row>
    <row r="57" spans="1:13" ht="13">
      <c r="A57" s="109">
        <f t="shared" si="6"/>
        <v>32</v>
      </c>
      <c r="B57" s="611" t="s">
        <v>195</v>
      </c>
      <c r="C57" s="609">
        <v>2021</v>
      </c>
      <c r="D57" s="7">
        <f t="shared" ref="D57:K57" si="8">D91+D124+D157+D190+D223+D256+D289+D322+D355+D388+D421</f>
        <v>13325996.853399999</v>
      </c>
      <c r="E57" s="7">
        <f t="shared" si="8"/>
        <v>999449.764005</v>
      </c>
      <c r="F57" s="7">
        <f t="shared" si="8"/>
        <v>14325446.617404999</v>
      </c>
      <c r="G57" s="7">
        <f t="shared" si="8"/>
        <v>173982.38939999999</v>
      </c>
      <c r="H57" s="7">
        <f t="shared" si="8"/>
        <v>0</v>
      </c>
      <c r="I57" s="7">
        <f t="shared" si="8"/>
        <v>13048.679204999999</v>
      </c>
      <c r="J57" s="7">
        <f t="shared" si="8"/>
        <v>1007237924.1881999</v>
      </c>
      <c r="K57" s="7">
        <f t="shared" si="8"/>
        <v>33063222.068199947</v>
      </c>
      <c r="L57" s="775"/>
      <c r="M57" s="7"/>
    </row>
    <row r="58" spans="1:13" ht="13">
      <c r="A58" s="109">
        <f t="shared" si="6"/>
        <v>33</v>
      </c>
      <c r="B58" s="608" t="s">
        <v>183</v>
      </c>
      <c r="C58" s="609">
        <v>2021</v>
      </c>
      <c r="D58" s="7">
        <f t="shared" ref="D58:K58" si="9">D92+D125+D158+D191+D224+D257+D290+D323+D356+D389+D422</f>
        <v>20701972.908999998</v>
      </c>
      <c r="E58" s="7">
        <f t="shared" si="9"/>
        <v>1552647.9681749998</v>
      </c>
      <c r="F58" s="7">
        <f t="shared" si="9"/>
        <v>22254620.877175003</v>
      </c>
      <c r="G58" s="7">
        <f t="shared" si="9"/>
        <v>25406708.900000002</v>
      </c>
      <c r="H58" s="7">
        <f t="shared" si="9"/>
        <v>22566341.899999999</v>
      </c>
      <c r="I58" s="7">
        <f t="shared" si="9"/>
        <v>213027.52500000029</v>
      </c>
      <c r="J58" s="7">
        <f t="shared" si="9"/>
        <v>1003872808.640375</v>
      </c>
      <c r="K58" s="7">
        <f t="shared" si="9"/>
        <v>29698106.520374931</v>
      </c>
      <c r="L58" s="775"/>
      <c r="M58" s="7"/>
    </row>
    <row r="59" spans="1:13" ht="13">
      <c r="A59" s="109">
        <f t="shared" si="6"/>
        <v>34</v>
      </c>
      <c r="B59" s="611" t="s">
        <v>184</v>
      </c>
      <c r="C59" s="609">
        <v>2021</v>
      </c>
      <c r="D59" s="7">
        <f t="shared" ref="D59:K59" si="10">D93+D126+D159+D192+D225+D258+D291+D324+D357+D390+D423</f>
        <v>17590775.908999998</v>
      </c>
      <c r="E59" s="7">
        <f t="shared" si="10"/>
        <v>1319308.1931749999</v>
      </c>
      <c r="F59" s="7">
        <f t="shared" si="10"/>
        <v>18910084.102174997</v>
      </c>
      <c r="G59" s="7">
        <f t="shared" si="10"/>
        <v>653917789.59999979</v>
      </c>
      <c r="H59" s="7">
        <f t="shared" si="10"/>
        <v>628718265.59999979</v>
      </c>
      <c r="I59" s="7">
        <f t="shared" si="10"/>
        <v>1889964.2999999998</v>
      </c>
      <c r="J59" s="7">
        <f t="shared" si="10"/>
        <v>366975138.8425501</v>
      </c>
      <c r="K59" s="7">
        <f t="shared" si="10"/>
        <v>-607199563.27744985</v>
      </c>
      <c r="L59" s="775"/>
      <c r="M59" s="7"/>
    </row>
    <row r="60" spans="1:13" ht="13">
      <c r="A60" s="109">
        <f t="shared" si="6"/>
        <v>35</v>
      </c>
      <c r="B60" s="611" t="s">
        <v>1458</v>
      </c>
      <c r="C60" s="609">
        <v>2021</v>
      </c>
      <c r="D60" s="7">
        <f t="shared" ref="D60:K60" si="11">D94+D127+D160+D193+D226+D259+D292+D325+D358+D391+D424</f>
        <v>16461014.983999999</v>
      </c>
      <c r="E60" s="7">
        <f t="shared" si="11"/>
        <v>1234576.1237999999</v>
      </c>
      <c r="F60" s="7">
        <f t="shared" si="11"/>
        <v>17695591.107799999</v>
      </c>
      <c r="G60" s="7">
        <f t="shared" si="11"/>
        <v>6727999.9400000004</v>
      </c>
      <c r="H60" s="7">
        <f t="shared" si="11"/>
        <v>159289.94</v>
      </c>
      <c r="I60" s="7">
        <f t="shared" si="11"/>
        <v>492653.25</v>
      </c>
      <c r="J60" s="7">
        <f t="shared" si="11"/>
        <v>377450076.76035005</v>
      </c>
      <c r="K60" s="7">
        <f t="shared" si="11"/>
        <v>-596724625.3596499</v>
      </c>
      <c r="L60" s="775"/>
      <c r="M60" s="7"/>
    </row>
    <row r="61" spans="1:13" ht="13">
      <c r="A61" s="109">
        <f t="shared" si="6"/>
        <v>36</v>
      </c>
      <c r="B61" s="608" t="s">
        <v>186</v>
      </c>
      <c r="C61" s="609">
        <v>2021</v>
      </c>
      <c r="D61" s="7">
        <f t="shared" ref="D61:K61" si="12">D95+D128+D161+D194+D227+D260+D293+D326+D359+D392+D425</f>
        <v>13061783.333999999</v>
      </c>
      <c r="E61" s="7">
        <f t="shared" si="12"/>
        <v>979633.75005000015</v>
      </c>
      <c r="F61" s="7">
        <f t="shared" si="12"/>
        <v>14041417.084050002</v>
      </c>
      <c r="G61" s="7">
        <f t="shared" si="12"/>
        <v>9490707.7799999993</v>
      </c>
      <c r="H61" s="7">
        <f t="shared" si="12"/>
        <v>6279995.7800000003</v>
      </c>
      <c r="I61" s="7">
        <f t="shared" si="12"/>
        <v>240803.39999999991</v>
      </c>
      <c r="J61" s="7">
        <f t="shared" si="12"/>
        <v>381759982.66440004</v>
      </c>
      <c r="K61" s="7">
        <f t="shared" si="12"/>
        <v>-592414719.4555999</v>
      </c>
      <c r="L61" s="775"/>
      <c r="M61" s="7"/>
    </row>
    <row r="62" spans="1:13" ht="13">
      <c r="A62" s="109">
        <f t="shared" si="6"/>
        <v>37</v>
      </c>
      <c r="B62" s="611" t="s">
        <v>187</v>
      </c>
      <c r="C62" s="609">
        <v>2021</v>
      </c>
      <c r="D62" s="7">
        <f t="shared" ref="D62:K62" si="13">D96+D129+D162+D195+D228+D261+D294+D327+D360+D393+D426</f>
        <v>12027267.333999999</v>
      </c>
      <c r="E62" s="7">
        <f t="shared" si="13"/>
        <v>902045.05004999996</v>
      </c>
      <c r="F62" s="7">
        <f t="shared" si="13"/>
        <v>12929312.38405</v>
      </c>
      <c r="G62" s="7">
        <f t="shared" si="13"/>
        <v>2490180</v>
      </c>
      <c r="H62" s="7">
        <f t="shared" si="13"/>
        <v>0</v>
      </c>
      <c r="I62" s="7">
        <f t="shared" si="13"/>
        <v>186763.5</v>
      </c>
      <c r="J62" s="7">
        <f t="shared" si="13"/>
        <v>392012351.54845005</v>
      </c>
      <c r="K62" s="7">
        <f t="shared" si="13"/>
        <v>-582162350.57154989</v>
      </c>
      <c r="L62" s="775"/>
      <c r="M62" s="7"/>
    </row>
    <row r="63" spans="1:13" ht="13">
      <c r="A63" s="109">
        <f t="shared" si="6"/>
        <v>38</v>
      </c>
      <c r="B63" s="611" t="s">
        <v>188</v>
      </c>
      <c r="C63" s="609">
        <v>2021</v>
      </c>
      <c r="D63" s="7">
        <f t="shared" ref="D63:K63" si="14">D97+D130+D163+D196+D229+D262+D295+D328+D361+D394+D427</f>
        <v>12878666.689999999</v>
      </c>
      <c r="E63" s="7">
        <f t="shared" si="14"/>
        <v>965900.00174999994</v>
      </c>
      <c r="F63" s="7">
        <f t="shared" si="14"/>
        <v>13844566.691749999</v>
      </c>
      <c r="G63" s="7">
        <f t="shared" si="14"/>
        <v>175102967.69999999</v>
      </c>
      <c r="H63" s="7">
        <f t="shared" si="14"/>
        <v>122968413.7</v>
      </c>
      <c r="I63" s="7">
        <f t="shared" si="14"/>
        <v>3910091.5499999989</v>
      </c>
      <c r="J63" s="7">
        <f t="shared" si="14"/>
        <v>226843858.99020007</v>
      </c>
      <c r="K63" s="7">
        <f t="shared" si="14"/>
        <v>-747330843.12979984</v>
      </c>
      <c r="L63" s="775"/>
      <c r="M63" s="7"/>
    </row>
    <row r="64" spans="1:13" ht="13">
      <c r="A64" s="109">
        <f t="shared" si="6"/>
        <v>39</v>
      </c>
      <c r="B64" s="608" t="s">
        <v>191</v>
      </c>
      <c r="C64" s="609">
        <v>2021</v>
      </c>
      <c r="D64" s="7">
        <f t="shared" ref="D64:K64" si="15">D98+D131+D164+D197+D230+D263+D296+D329+D362+D395+D428</f>
        <v>11820866.733999999</v>
      </c>
      <c r="E64" s="7">
        <f t="shared" si="15"/>
        <v>886565.00505000004</v>
      </c>
      <c r="F64" s="7">
        <f t="shared" si="15"/>
        <v>12707431.739050001</v>
      </c>
      <c r="G64" s="7">
        <f t="shared" si="15"/>
        <v>8150882</v>
      </c>
      <c r="H64" s="7">
        <f t="shared" si="15"/>
        <v>0</v>
      </c>
      <c r="I64" s="7">
        <f t="shared" si="15"/>
        <v>611316.14999999991</v>
      </c>
      <c r="J64" s="7">
        <f t="shared" si="15"/>
        <v>230789092.5792501</v>
      </c>
      <c r="K64" s="7">
        <f t="shared" si="15"/>
        <v>-743385609.54074991</v>
      </c>
      <c r="L64" s="775"/>
      <c r="M64" s="7"/>
    </row>
    <row r="65" spans="1:13" ht="13">
      <c r="A65" s="109">
        <f t="shared" si="6"/>
        <v>40</v>
      </c>
      <c r="B65" s="608" t="s">
        <v>190</v>
      </c>
      <c r="C65" s="609">
        <v>2021</v>
      </c>
      <c r="D65" s="7">
        <f t="shared" ref="D65:K65" si="16">D99+D132+D165+D198+D231+D264+D297+D330+D363+D396+D429</f>
        <v>12961181.608999999</v>
      </c>
      <c r="E65" s="7">
        <f t="shared" si="16"/>
        <v>972088.62067500001</v>
      </c>
      <c r="F65" s="7">
        <f t="shared" si="16"/>
        <v>13933270.229675002</v>
      </c>
      <c r="G65" s="7">
        <f t="shared" si="16"/>
        <v>38661230.410000004</v>
      </c>
      <c r="H65" s="7">
        <f t="shared" si="16"/>
        <v>26135813.41</v>
      </c>
      <c r="I65" s="7">
        <f t="shared" si="16"/>
        <v>939406.27500000037</v>
      </c>
      <c r="J65" s="7">
        <f t="shared" si="16"/>
        <v>205121726.12392506</v>
      </c>
      <c r="K65" s="7">
        <f t="shared" si="16"/>
        <v>-769052975.99607491</v>
      </c>
      <c r="L65" s="775"/>
      <c r="M65" s="7"/>
    </row>
    <row r="66" spans="1:13" ht="13">
      <c r="A66" s="109">
        <f t="shared" si="6"/>
        <v>41</v>
      </c>
      <c r="B66" s="608" t="s">
        <v>180</v>
      </c>
      <c r="C66" s="609">
        <v>2021</v>
      </c>
      <c r="D66" s="7">
        <f t="shared" ref="D66:K66" si="17">D100+D133+D166+D199+D232+D265+D298+D331+D364+D397+D430</f>
        <v>21395642.476000004</v>
      </c>
      <c r="E66" s="7">
        <f t="shared" si="17"/>
        <v>1604673.1857000003</v>
      </c>
      <c r="F66" s="7">
        <f t="shared" si="17"/>
        <v>23000315.661700003</v>
      </c>
      <c r="G66" s="7">
        <f t="shared" si="17"/>
        <v>40311066.800000004</v>
      </c>
      <c r="H66" s="7">
        <f t="shared" si="17"/>
        <v>13866924.800000001</v>
      </c>
      <c r="I66" s="7">
        <f t="shared" si="17"/>
        <v>1983310.6500000004</v>
      </c>
      <c r="J66" s="7">
        <f t="shared" si="17"/>
        <v>185827664.33562508</v>
      </c>
      <c r="K66" s="7">
        <f t="shared" si="17"/>
        <v>-788347037.78437483</v>
      </c>
      <c r="L66" s="775"/>
      <c r="M66" s="7"/>
    </row>
    <row r="67" spans="1:13" ht="13">
      <c r="A67" s="109">
        <f t="shared" si="6"/>
        <v>42</v>
      </c>
      <c r="B67" s="608" t="s">
        <v>181</v>
      </c>
      <c r="C67" s="609">
        <v>2022</v>
      </c>
      <c r="D67" s="7">
        <f t="shared" ref="D67:K67" si="18">D101+D134+D167+D200+D233+D266+D299+D332+D365+D398+D431</f>
        <v>12921481.101</v>
      </c>
      <c r="E67" s="7">
        <f t="shared" si="18"/>
        <v>969111.08257500001</v>
      </c>
      <c r="F67" s="7">
        <f t="shared" si="18"/>
        <v>13890592.183575001</v>
      </c>
      <c r="G67" s="7">
        <f t="shared" si="18"/>
        <v>33222809.440000001</v>
      </c>
      <c r="H67" s="7">
        <f t="shared" si="18"/>
        <v>21197379.440000001</v>
      </c>
      <c r="I67" s="7">
        <f t="shared" si="18"/>
        <v>901907.25</v>
      </c>
      <c r="J67" s="7">
        <f t="shared" si="18"/>
        <v>165593539.82920006</v>
      </c>
      <c r="K67" s="7">
        <f t="shared" si="18"/>
        <v>-808581162.29079998</v>
      </c>
      <c r="L67" s="775"/>
      <c r="M67" s="7"/>
    </row>
    <row r="68" spans="1:13" ht="13">
      <c r="A68" s="109">
        <f t="shared" si="6"/>
        <v>43</v>
      </c>
      <c r="B68" s="611" t="s">
        <v>182</v>
      </c>
      <c r="C68" s="609">
        <v>2022</v>
      </c>
      <c r="D68" s="7">
        <f t="shared" ref="D68:K68" si="19">D102+D135+D168+D201+D234+D267+D300+D333+D366+D399+D432</f>
        <v>14063481.101</v>
      </c>
      <c r="E68" s="7">
        <f t="shared" si="19"/>
        <v>1054761.0825749999</v>
      </c>
      <c r="F68" s="7">
        <f t="shared" si="19"/>
        <v>15118242.183575001</v>
      </c>
      <c r="G68" s="7">
        <f t="shared" si="19"/>
        <v>6667430</v>
      </c>
      <c r="H68" s="7">
        <f t="shared" si="19"/>
        <v>0</v>
      </c>
      <c r="I68" s="7">
        <f t="shared" si="19"/>
        <v>500057.25</v>
      </c>
      <c r="J68" s="7">
        <f t="shared" si="19"/>
        <v>173544294.76277506</v>
      </c>
      <c r="K68" s="7">
        <f t="shared" si="19"/>
        <v>-800630407.35722494</v>
      </c>
      <c r="L68" s="775"/>
      <c r="M68" s="7"/>
    </row>
    <row r="69" spans="1:13" ht="13">
      <c r="A69" s="109">
        <f t="shared" si="6"/>
        <v>44</v>
      </c>
      <c r="B69" s="611" t="s">
        <v>195</v>
      </c>
      <c r="C69" s="609">
        <v>2022</v>
      </c>
      <c r="D69" s="7">
        <f t="shared" ref="D69:K69" si="20">D103+D136+D169+D202+D235+D268+D301+D334+D367+D400+D433</f>
        <v>12956778.101</v>
      </c>
      <c r="E69" s="7">
        <f t="shared" si="20"/>
        <v>971758.35757500003</v>
      </c>
      <c r="F69" s="7">
        <f t="shared" si="20"/>
        <v>13928536.458575001</v>
      </c>
      <c r="G69" s="7">
        <f t="shared" si="20"/>
        <v>4942727</v>
      </c>
      <c r="H69" s="7">
        <f t="shared" si="20"/>
        <v>0</v>
      </c>
      <c r="I69" s="7">
        <f t="shared" si="20"/>
        <v>370704.52500000002</v>
      </c>
      <c r="J69" s="7">
        <f t="shared" si="20"/>
        <v>182159399.69635007</v>
      </c>
      <c r="K69" s="7">
        <f t="shared" si="20"/>
        <v>-792015302.42364991</v>
      </c>
      <c r="L69" s="775"/>
      <c r="M69" s="7"/>
    </row>
    <row r="70" spans="1:13" ht="13">
      <c r="A70" s="109">
        <f t="shared" si="6"/>
        <v>45</v>
      </c>
      <c r="B70" s="608" t="s">
        <v>183</v>
      </c>
      <c r="C70" s="609">
        <v>2022</v>
      </c>
      <c r="D70" s="7">
        <f t="shared" ref="D70:K70" si="21">D104+D137+D170+D203+D236+D269+D302+D335+D368+D401+D434</f>
        <v>13974981.101</v>
      </c>
      <c r="E70" s="7">
        <f t="shared" si="21"/>
        <v>1048123.582575</v>
      </c>
      <c r="F70" s="7">
        <f t="shared" si="21"/>
        <v>15023104.683575001</v>
      </c>
      <c r="G70" s="7">
        <f t="shared" si="21"/>
        <v>5059930</v>
      </c>
      <c r="H70" s="7">
        <f t="shared" si="21"/>
        <v>0</v>
      </c>
      <c r="I70" s="7">
        <f t="shared" si="21"/>
        <v>379494.75</v>
      </c>
      <c r="J70" s="7">
        <f t="shared" si="21"/>
        <v>191743079.62992507</v>
      </c>
      <c r="K70" s="7">
        <f t="shared" si="21"/>
        <v>-782431622.49007487</v>
      </c>
      <c r="L70" s="775"/>
      <c r="M70" s="7"/>
    </row>
    <row r="71" spans="1:13" ht="13">
      <c r="A71" s="109">
        <f t="shared" si="6"/>
        <v>46</v>
      </c>
      <c r="B71" s="611" t="s">
        <v>184</v>
      </c>
      <c r="C71" s="609">
        <v>2022</v>
      </c>
      <c r="D71" s="7">
        <f t="shared" ref="D71:K71" si="22">D105+D138+D171+D204+D237+D270+D303+D336+D369+D402+D435</f>
        <v>13938981.101</v>
      </c>
      <c r="E71" s="7">
        <f t="shared" si="22"/>
        <v>1045423.582575</v>
      </c>
      <c r="F71" s="7">
        <f t="shared" si="22"/>
        <v>14984404.683575001</v>
      </c>
      <c r="G71" s="7">
        <f t="shared" si="22"/>
        <v>33376207.760000002</v>
      </c>
      <c r="H71" s="7">
        <f t="shared" si="22"/>
        <v>22955277.760000002</v>
      </c>
      <c r="I71" s="7">
        <f t="shared" si="22"/>
        <v>781569.75</v>
      </c>
      <c r="J71" s="7">
        <f t="shared" si="22"/>
        <v>172569706.80350009</v>
      </c>
      <c r="K71" s="7">
        <f t="shared" si="22"/>
        <v>-801604995.31649995</v>
      </c>
      <c r="L71" s="775"/>
      <c r="M71" s="7"/>
    </row>
    <row r="72" spans="1:13" ht="13">
      <c r="A72" s="109">
        <f t="shared" si="6"/>
        <v>47</v>
      </c>
      <c r="B72" s="611" t="s">
        <v>1458</v>
      </c>
      <c r="C72" s="609">
        <v>2022</v>
      </c>
      <c r="D72" s="7">
        <f t="shared" ref="D72:K72" si="23">D106+D139+D172+D205+D238+D271+D304+D337+D370+D403+D436</f>
        <v>16125981.101</v>
      </c>
      <c r="E72" s="7">
        <f t="shared" si="23"/>
        <v>1209448.5825749999</v>
      </c>
      <c r="F72" s="7">
        <f t="shared" si="23"/>
        <v>17335429.683575001</v>
      </c>
      <c r="G72" s="7">
        <f t="shared" si="23"/>
        <v>36967385.069999993</v>
      </c>
      <c r="H72" s="7">
        <f t="shared" si="23"/>
        <v>20878455.07</v>
      </c>
      <c r="I72" s="7">
        <f t="shared" si="23"/>
        <v>1206669.7499999995</v>
      </c>
      <c r="J72" s="7">
        <f t="shared" si="23"/>
        <v>151731081.6670751</v>
      </c>
      <c r="K72" s="7">
        <f t="shared" si="23"/>
        <v>-822443620.45292485</v>
      </c>
      <c r="L72" s="775"/>
      <c r="M72" s="7"/>
    </row>
    <row r="73" spans="1:13" ht="13">
      <c r="A73" s="109">
        <f t="shared" si="6"/>
        <v>48</v>
      </c>
      <c r="B73" s="608" t="s">
        <v>186</v>
      </c>
      <c r="C73" s="609">
        <v>2022</v>
      </c>
      <c r="D73" s="7">
        <f t="shared" ref="D73:K73" si="24">D107+D140+D173+D206+D239+D272+D305+D338+D371+D404+D437</f>
        <v>13134981.101</v>
      </c>
      <c r="E73" s="7">
        <f t="shared" si="24"/>
        <v>985123.58257500001</v>
      </c>
      <c r="F73" s="7">
        <f t="shared" si="24"/>
        <v>14120104.683575001</v>
      </c>
      <c r="G73" s="7">
        <f t="shared" si="24"/>
        <v>46258652.660000004</v>
      </c>
      <c r="H73" s="7">
        <f t="shared" si="24"/>
        <v>21750009.66</v>
      </c>
      <c r="I73" s="7">
        <f t="shared" si="24"/>
        <v>1838148.2250000001</v>
      </c>
      <c r="J73" s="7">
        <f t="shared" si="24"/>
        <v>117754385.46565008</v>
      </c>
      <c r="K73" s="7">
        <f t="shared" si="24"/>
        <v>-856420316.6543498</v>
      </c>
      <c r="L73" s="775"/>
      <c r="M73" s="7"/>
    </row>
    <row r="74" spans="1:13" ht="13">
      <c r="A74" s="109">
        <f t="shared" si="6"/>
        <v>49</v>
      </c>
      <c r="B74" s="611" t="s">
        <v>187</v>
      </c>
      <c r="C74" s="609">
        <v>2022</v>
      </c>
      <c r="D74" s="7">
        <f>D108+D141+D174+D207+D240+D273+D306+D339+D372+D405+D438</f>
        <v>12833010.101</v>
      </c>
      <c r="E74" s="7">
        <f t="shared" ref="E74:K74" si="25">E108+E141+E174+E207+E240+E273+E306+E339+E372+E405+E438</f>
        <v>962475.75757499994</v>
      </c>
      <c r="F74" s="7">
        <f t="shared" si="25"/>
        <v>13795485.858575001</v>
      </c>
      <c r="G74" s="7">
        <f t="shared" si="25"/>
        <v>5258959</v>
      </c>
      <c r="H74" s="7">
        <f t="shared" si="25"/>
        <v>0</v>
      </c>
      <c r="I74" s="7">
        <f t="shared" si="25"/>
        <v>394421.92499999999</v>
      </c>
      <c r="J74" s="7">
        <f t="shared" si="25"/>
        <v>125896490.39922509</v>
      </c>
      <c r="K74" s="7">
        <f t="shared" si="25"/>
        <v>-848278211.72077489</v>
      </c>
      <c r="L74" s="775"/>
      <c r="M74" s="7"/>
    </row>
    <row r="75" spans="1:13" ht="13">
      <c r="A75" s="109">
        <f t="shared" si="6"/>
        <v>50</v>
      </c>
      <c r="B75" s="611" t="s">
        <v>188</v>
      </c>
      <c r="C75" s="609">
        <v>2022</v>
      </c>
      <c r="D75" s="7">
        <f t="shared" ref="D75:K75" si="26">D109+D142+D175+D208+D241+D274+D307+D340+D373+D406+D439</f>
        <v>11903445.101</v>
      </c>
      <c r="E75" s="7">
        <f t="shared" si="26"/>
        <v>892758.38257499994</v>
      </c>
      <c r="F75" s="7">
        <f t="shared" si="26"/>
        <v>12796203.483575001</v>
      </c>
      <c r="G75" s="7">
        <f t="shared" si="26"/>
        <v>4239394</v>
      </c>
      <c r="H75" s="7">
        <f t="shared" si="26"/>
        <v>0</v>
      </c>
      <c r="I75" s="7">
        <f t="shared" si="26"/>
        <v>317954.55</v>
      </c>
      <c r="J75" s="7">
        <f t="shared" si="26"/>
        <v>134135345.33280009</v>
      </c>
      <c r="K75" s="7">
        <f t="shared" si="26"/>
        <v>-840039356.78719985</v>
      </c>
      <c r="L75" s="775"/>
      <c r="M75" s="7"/>
    </row>
    <row r="76" spans="1:13" ht="13">
      <c r="A76" s="109">
        <f t="shared" si="6"/>
        <v>51</v>
      </c>
      <c r="B76" s="611" t="s">
        <v>191</v>
      </c>
      <c r="C76" s="609">
        <v>2022</v>
      </c>
      <c r="D76" s="7">
        <f t="shared" ref="D76:K76" si="27">D110+D143+D176+D209+D242+D275+D308+D341+D374+D407+D440</f>
        <v>10650731.101</v>
      </c>
      <c r="E76" s="7">
        <f t="shared" si="27"/>
        <v>798804.83257500001</v>
      </c>
      <c r="F76" s="7">
        <f t="shared" si="27"/>
        <v>11449535.933575001</v>
      </c>
      <c r="G76" s="7">
        <f t="shared" si="27"/>
        <v>2981680</v>
      </c>
      <c r="H76" s="7">
        <f t="shared" si="27"/>
        <v>0</v>
      </c>
      <c r="I76" s="7">
        <f t="shared" si="27"/>
        <v>223626</v>
      </c>
      <c r="J76" s="7">
        <f t="shared" si="27"/>
        <v>142379575.26637509</v>
      </c>
      <c r="K76" s="7">
        <f t="shared" si="27"/>
        <v>-831795126.85362482</v>
      </c>
      <c r="L76" s="775"/>
      <c r="M76" s="7"/>
    </row>
    <row r="77" spans="1:13" ht="13">
      <c r="A77" s="109">
        <f t="shared" si="6"/>
        <v>52</v>
      </c>
      <c r="B77" s="611" t="s">
        <v>190</v>
      </c>
      <c r="C77" s="609">
        <v>2022</v>
      </c>
      <c r="D77" s="7">
        <f t="shared" ref="D77:K77" si="28">D111+D144+D177+D210+D243+D276+D309+D342+D375+D408+D441</f>
        <v>10510731.101</v>
      </c>
      <c r="E77" s="7">
        <f t="shared" si="28"/>
        <v>788304.83257500001</v>
      </c>
      <c r="F77" s="7">
        <f t="shared" si="28"/>
        <v>11299035.933575001</v>
      </c>
      <c r="G77" s="7">
        <f t="shared" si="28"/>
        <v>2846680</v>
      </c>
      <c r="H77" s="7">
        <f t="shared" si="28"/>
        <v>0</v>
      </c>
      <c r="I77" s="7">
        <f t="shared" si="28"/>
        <v>213501</v>
      </c>
      <c r="J77" s="7">
        <f t="shared" si="28"/>
        <v>150618430.1999501</v>
      </c>
      <c r="K77" s="7">
        <f t="shared" si="28"/>
        <v>-823556271.92004979</v>
      </c>
      <c r="L77" s="775"/>
      <c r="M77" s="7"/>
    </row>
    <row r="78" spans="1:13" ht="13">
      <c r="A78" s="109">
        <f t="shared" si="6"/>
        <v>53</v>
      </c>
      <c r="B78" s="611" t="s">
        <v>180</v>
      </c>
      <c r="C78" s="609">
        <v>2022</v>
      </c>
      <c r="D78" s="7">
        <f t="shared" ref="D78:K78" si="29">D112+D145+D178+D211+D244+D277+D310+D343+D376+D409+D442</f>
        <v>33034963.423999999</v>
      </c>
      <c r="E78" s="7">
        <f t="shared" si="29"/>
        <v>2477622.2567999996</v>
      </c>
      <c r="F78" s="7">
        <f t="shared" si="29"/>
        <v>35512585.680799998</v>
      </c>
      <c r="G78" s="7">
        <f t="shared" si="29"/>
        <v>71900026.010000005</v>
      </c>
      <c r="H78" s="7">
        <f t="shared" si="29"/>
        <v>0</v>
      </c>
      <c r="I78" s="7">
        <f t="shared" si="29"/>
        <v>5392501.9507499998</v>
      </c>
      <c r="J78" s="7">
        <f t="shared" si="29"/>
        <v>108838487.92000011</v>
      </c>
      <c r="K78" s="91">
        <f t="shared" si="29"/>
        <v>-865336214.19999981</v>
      </c>
      <c r="L78" s="776"/>
      <c r="M78" s="7"/>
    </row>
    <row r="79" spans="1:13" ht="13">
      <c r="A79" s="109">
        <f t="shared" si="6"/>
        <v>54</v>
      </c>
      <c r="C79" s="644" t="s">
        <v>1603</v>
      </c>
      <c r="K79" s="73">
        <f>AVERAGE(K66:K78)</f>
        <v>-820113818.9424268</v>
      </c>
      <c r="L79" s="779"/>
    </row>
    <row r="81" spans="1:11" ht="13">
      <c r="B81" s="614" t="s">
        <v>1925</v>
      </c>
      <c r="F81" s="68" t="s">
        <v>2531</v>
      </c>
      <c r="G81" s="1488" t="s">
        <v>2729</v>
      </c>
      <c r="H81" s="96"/>
    </row>
    <row r="82" spans="1:11" s="645" customFormat="1" ht="13">
      <c r="B82" s="646" t="s">
        <v>1926</v>
      </c>
      <c r="D82" s="1508" t="s">
        <v>223</v>
      </c>
      <c r="E82" s="1508"/>
    </row>
    <row r="83" spans="1:11" s="640" customFormat="1" ht="13">
      <c r="D83" s="640" t="s">
        <v>358</v>
      </c>
      <c r="E83" s="640" t="s">
        <v>342</v>
      </c>
      <c r="F83" s="640" t="s">
        <v>343</v>
      </c>
      <c r="G83" s="640" t="s">
        <v>344</v>
      </c>
      <c r="H83" s="640" t="s">
        <v>345</v>
      </c>
      <c r="I83" s="640" t="s">
        <v>346</v>
      </c>
      <c r="J83" s="640" t="s">
        <v>347</v>
      </c>
      <c r="K83" s="640" t="s">
        <v>534</v>
      </c>
    </row>
    <row r="84" spans="1:11" s="645" customFormat="1" ht="26.15" customHeight="1">
      <c r="D84" s="647"/>
      <c r="E84" s="648" t="s">
        <v>2061</v>
      </c>
      <c r="F84" s="649" t="s">
        <v>1927</v>
      </c>
      <c r="G84" s="525"/>
      <c r="H84" s="647"/>
      <c r="I84" s="648" t="s">
        <v>2062</v>
      </c>
      <c r="J84" s="648" t="s">
        <v>1928</v>
      </c>
      <c r="K84" s="648" t="s">
        <v>1929</v>
      </c>
    </row>
    <row r="85" spans="1:11" s="645" customFormat="1" ht="13">
      <c r="D85" s="647"/>
      <c r="E85" s="650"/>
      <c r="F85" s="650"/>
      <c r="G85" s="549" t="str">
        <f>G51</f>
        <v>Unloaded</v>
      </c>
      <c r="H85" s="647"/>
      <c r="I85" s="650"/>
      <c r="J85" s="650"/>
      <c r="K85" s="549"/>
    </row>
    <row r="86" spans="1:11" s="642" customFormat="1" ht="13">
      <c r="D86" s="642" t="str">
        <f>D$52</f>
        <v>Forecast</v>
      </c>
      <c r="E86" s="642" t="str">
        <f t="shared" ref="E86:J86" si="30">E$52</f>
        <v>Corporate</v>
      </c>
      <c r="F86" s="642" t="str">
        <f t="shared" si="30"/>
        <v xml:space="preserve">Total </v>
      </c>
      <c r="G86" s="549" t="str">
        <f>G52</f>
        <v>Total</v>
      </c>
      <c r="H86" s="642" t="str">
        <f t="shared" si="30"/>
        <v>Prior Period</v>
      </c>
      <c r="I86" s="642" t="str">
        <f t="shared" si="30"/>
        <v>Over Heads</v>
      </c>
      <c r="J86" s="642" t="str">
        <f t="shared" si="30"/>
        <v>Forecast</v>
      </c>
      <c r="K86" s="549" t="str">
        <f>K$52</f>
        <v>Forecast Period</v>
      </c>
    </row>
    <row r="87" spans="1:11" s="645" customFormat="1" ht="13">
      <c r="A87" s="833" t="s">
        <v>329</v>
      </c>
      <c r="B87" s="607" t="s">
        <v>192</v>
      </c>
      <c r="C87" s="607" t="s">
        <v>193</v>
      </c>
      <c r="D87" s="640" t="str">
        <f>D$53</f>
        <v>Expenditures</v>
      </c>
      <c r="E87" s="640" t="str">
        <f t="shared" ref="E87:J87" si="31">E$53</f>
        <v>Overheads</v>
      </c>
      <c r="F87" s="640" t="str">
        <f t="shared" si="31"/>
        <v>CWIP Exp</v>
      </c>
      <c r="G87" s="3" t="str">
        <f>G53</f>
        <v>Plant Adds</v>
      </c>
      <c r="H87" s="640" t="str">
        <f t="shared" si="31"/>
        <v>CWIP Closed</v>
      </c>
      <c r="I87" s="640" t="str">
        <f t="shared" si="31"/>
        <v>Closed to PIS</v>
      </c>
      <c r="J87" s="640" t="str">
        <f t="shared" si="31"/>
        <v>Period CWIP</v>
      </c>
      <c r="K87" s="640" t="str">
        <f>K$53</f>
        <v>Incremental CWIP</v>
      </c>
    </row>
    <row r="88" spans="1:11" s="645" customFormat="1" ht="13">
      <c r="A88" s="109">
        <f>A79+1</f>
        <v>55</v>
      </c>
      <c r="B88" s="608" t="s">
        <v>180</v>
      </c>
      <c r="C88" s="609">
        <v>2020</v>
      </c>
      <c r="D88" s="649" t="s">
        <v>76</v>
      </c>
      <c r="E88" s="649" t="s">
        <v>76</v>
      </c>
      <c r="F88" s="649" t="s">
        <v>76</v>
      </c>
      <c r="G88" s="649" t="s">
        <v>76</v>
      </c>
      <c r="H88" s="649" t="s">
        <v>76</v>
      </c>
      <c r="I88" s="649" t="s">
        <v>76</v>
      </c>
      <c r="J88" s="63">
        <f>E25</f>
        <v>160227</v>
      </c>
      <c r="K88" s="649" t="s">
        <v>76</v>
      </c>
    </row>
    <row r="89" spans="1:11" s="645" customFormat="1" ht="13">
      <c r="A89" s="109">
        <f>A88+1</f>
        <v>56</v>
      </c>
      <c r="B89" s="608" t="s">
        <v>181</v>
      </c>
      <c r="C89" s="609">
        <v>2021</v>
      </c>
      <c r="D89" s="977">
        <v>23682.000000000004</v>
      </c>
      <c r="E89" s="63">
        <f>D89*'16-PlantAdditions'!$E$103</f>
        <v>1776.1500000000003</v>
      </c>
      <c r="F89" s="63">
        <f>E89+D89</f>
        <v>25458.150000000005</v>
      </c>
      <c r="G89" s="977">
        <v>17945.999999999996</v>
      </c>
      <c r="H89" s="977">
        <v>0</v>
      </c>
      <c r="I89" s="63">
        <f>(G89-H89)*'16-PlantAdditions'!$E$103</f>
        <v>1345.9499999999996</v>
      </c>
      <c r="J89" s="63">
        <f>J88+F89-G89-I89</f>
        <v>166393.19999999998</v>
      </c>
      <c r="K89" s="63">
        <f>J89-$J$88</f>
        <v>6166.1999999999825</v>
      </c>
    </row>
    <row r="90" spans="1:11" s="645" customFormat="1" ht="13">
      <c r="A90" s="109">
        <f t="shared" ref="A90:A108" si="32">A89+1</f>
        <v>57</v>
      </c>
      <c r="B90" s="611" t="s">
        <v>182</v>
      </c>
      <c r="C90" s="609">
        <v>2021</v>
      </c>
      <c r="D90" s="977">
        <v>236474.99999999997</v>
      </c>
      <c r="E90" s="63">
        <f>D90*'16-PlantAdditions'!$E$103</f>
        <v>17735.624999999996</v>
      </c>
      <c r="F90" s="63">
        <f t="shared" ref="F90:F112" si="33">E90+D90</f>
        <v>254210.62499999997</v>
      </c>
      <c r="G90" s="977">
        <v>21459.000000000004</v>
      </c>
      <c r="H90" s="977">
        <v>0</v>
      </c>
      <c r="I90" s="63">
        <f>(G90-H90)*'16-PlantAdditions'!$E$103</f>
        <v>1609.4250000000002</v>
      </c>
      <c r="J90" s="63">
        <f t="shared" ref="J90:J108" si="34">J89+F90-G90-I90</f>
        <v>397535.39999999997</v>
      </c>
      <c r="K90" s="63">
        <f t="shared" ref="K90:K112" si="35">J90-$J$88</f>
        <v>237308.39999999997</v>
      </c>
    </row>
    <row r="91" spans="1:11" s="645" customFormat="1" ht="13">
      <c r="A91" s="109">
        <f t="shared" si="32"/>
        <v>58</v>
      </c>
      <c r="B91" s="611" t="s">
        <v>195</v>
      </c>
      <c r="C91" s="609">
        <v>2021</v>
      </c>
      <c r="D91" s="977">
        <v>384895</v>
      </c>
      <c r="E91" s="63">
        <f>D91*'16-PlantAdditions'!$E$103</f>
        <v>28867.125</v>
      </c>
      <c r="F91" s="63">
        <f t="shared" si="33"/>
        <v>413762.125</v>
      </c>
      <c r="G91" s="977">
        <v>11438.000000000002</v>
      </c>
      <c r="H91" s="977">
        <v>0</v>
      </c>
      <c r="I91" s="63">
        <f>(G91-H91)*'16-PlantAdditions'!$E$103</f>
        <v>857.85000000000014</v>
      </c>
      <c r="J91" s="63">
        <f t="shared" si="34"/>
        <v>799001.67499999993</v>
      </c>
      <c r="K91" s="63">
        <f>J91-$J$88</f>
        <v>638774.67499999993</v>
      </c>
    </row>
    <row r="92" spans="1:11" s="645" customFormat="1" ht="13">
      <c r="A92" s="109">
        <f t="shared" si="32"/>
        <v>59</v>
      </c>
      <c r="B92" s="608" t="s">
        <v>183</v>
      </c>
      <c r="C92" s="609">
        <v>2021</v>
      </c>
      <c r="D92" s="977">
        <v>420000</v>
      </c>
      <c r="E92" s="63">
        <f>D92*'16-PlantAdditions'!$E$103</f>
        <v>31500</v>
      </c>
      <c r="F92" s="63">
        <f t="shared" si="33"/>
        <v>451500</v>
      </c>
      <c r="G92" s="977">
        <v>0</v>
      </c>
      <c r="H92" s="977">
        <v>0</v>
      </c>
      <c r="I92" s="63">
        <f>(G92-H92)*'16-PlantAdditions'!$E$103</f>
        <v>0</v>
      </c>
      <c r="J92" s="63">
        <f>J91+F92-G92-I92</f>
        <v>1250501.6749999998</v>
      </c>
      <c r="K92" s="63">
        <f>J92-$J$88</f>
        <v>1090274.6749999998</v>
      </c>
    </row>
    <row r="93" spans="1:11" s="645" customFormat="1" ht="13">
      <c r="A93" s="109">
        <f t="shared" si="32"/>
        <v>60</v>
      </c>
      <c r="B93" s="611" t="s">
        <v>184</v>
      </c>
      <c r="C93" s="609">
        <v>2021</v>
      </c>
      <c r="D93" s="977">
        <v>470000</v>
      </c>
      <c r="E93" s="63">
        <f>D93*'16-PlantAdditions'!$E$103</f>
        <v>35250</v>
      </c>
      <c r="F93" s="63">
        <f t="shared" si="33"/>
        <v>505250</v>
      </c>
      <c r="G93" s="977">
        <v>0</v>
      </c>
      <c r="H93" s="977">
        <v>0</v>
      </c>
      <c r="I93" s="63">
        <f>(G93-H93)*'16-PlantAdditions'!$E$103</f>
        <v>0</v>
      </c>
      <c r="J93" s="63">
        <f t="shared" si="34"/>
        <v>1755751.6749999998</v>
      </c>
      <c r="K93" s="63">
        <f t="shared" si="35"/>
        <v>1595524.6749999998</v>
      </c>
    </row>
    <row r="94" spans="1:11" s="645" customFormat="1" ht="13">
      <c r="A94" s="109">
        <f t="shared" si="32"/>
        <v>61</v>
      </c>
      <c r="B94" s="611" t="s">
        <v>1458</v>
      </c>
      <c r="C94" s="609">
        <v>2021</v>
      </c>
      <c r="D94" s="977">
        <v>520000</v>
      </c>
      <c r="E94" s="63">
        <f>D94*'16-PlantAdditions'!$E$103</f>
        <v>39000</v>
      </c>
      <c r="F94" s="63">
        <f t="shared" si="33"/>
        <v>559000</v>
      </c>
      <c r="G94" s="977">
        <v>160011.94</v>
      </c>
      <c r="H94" s="977">
        <v>159289.94</v>
      </c>
      <c r="I94" s="63">
        <f>(G94-H94)*'16-PlantAdditions'!$E$103</f>
        <v>54.15</v>
      </c>
      <c r="J94" s="63">
        <f t="shared" si="34"/>
        <v>2154685.585</v>
      </c>
      <c r="K94" s="63">
        <f t="shared" si="35"/>
        <v>1994458.585</v>
      </c>
    </row>
    <row r="95" spans="1:11" s="645" customFormat="1" ht="13">
      <c r="A95" s="109">
        <f t="shared" si="32"/>
        <v>62</v>
      </c>
      <c r="B95" s="608" t="s">
        <v>186</v>
      </c>
      <c r="C95" s="609">
        <v>2021</v>
      </c>
      <c r="D95" s="977">
        <v>516212</v>
      </c>
      <c r="E95" s="63">
        <f>D95*'16-PlantAdditions'!$E$103</f>
        <v>38715.9</v>
      </c>
      <c r="F95" s="63">
        <f t="shared" si="33"/>
        <v>554927.9</v>
      </c>
      <c r="G95" s="977">
        <v>0</v>
      </c>
      <c r="H95" s="977">
        <v>0</v>
      </c>
      <c r="I95" s="63">
        <f>(G95-H95)*'16-PlantAdditions'!$E$103</f>
        <v>0</v>
      </c>
      <c r="J95" s="63">
        <f t="shared" si="34"/>
        <v>2709613.4849999999</v>
      </c>
      <c r="K95" s="63">
        <f t="shared" si="35"/>
        <v>2549386.4849999999</v>
      </c>
    </row>
    <row r="96" spans="1:11" s="645" customFormat="1" ht="13">
      <c r="A96" s="109">
        <f t="shared" si="32"/>
        <v>63</v>
      </c>
      <c r="B96" s="611" t="s">
        <v>187</v>
      </c>
      <c r="C96" s="609">
        <v>2021</v>
      </c>
      <c r="D96" s="977">
        <v>675000</v>
      </c>
      <c r="E96" s="63">
        <f>D96*'16-PlantAdditions'!$E$103</f>
        <v>50625</v>
      </c>
      <c r="F96" s="63">
        <f t="shared" si="33"/>
        <v>725625</v>
      </c>
      <c r="G96" s="977">
        <v>0</v>
      </c>
      <c r="H96" s="977">
        <v>0</v>
      </c>
      <c r="I96" s="63">
        <f>(G96-H96)*'16-PlantAdditions'!$E$103</f>
        <v>0</v>
      </c>
      <c r="J96" s="63">
        <f t="shared" si="34"/>
        <v>3435238.4849999999</v>
      </c>
      <c r="K96" s="63">
        <f t="shared" si="35"/>
        <v>3275011.4849999999</v>
      </c>
    </row>
    <row r="97" spans="1:11" s="645" customFormat="1" ht="13">
      <c r="A97" s="109">
        <f t="shared" si="32"/>
        <v>64</v>
      </c>
      <c r="B97" s="611" t="s">
        <v>188</v>
      </c>
      <c r="C97" s="609">
        <v>2021</v>
      </c>
      <c r="D97" s="977">
        <v>500000</v>
      </c>
      <c r="E97" s="63">
        <f>D97*'16-PlantAdditions'!$E$103</f>
        <v>37500</v>
      </c>
      <c r="F97" s="63">
        <f t="shared" si="33"/>
        <v>537500</v>
      </c>
      <c r="G97" s="977">
        <v>0</v>
      </c>
      <c r="H97" s="977">
        <v>0</v>
      </c>
      <c r="I97" s="63">
        <f>(G97-H97)*'16-PlantAdditions'!$E$103</f>
        <v>0</v>
      </c>
      <c r="J97" s="63">
        <f t="shared" si="34"/>
        <v>3972738.4849999999</v>
      </c>
      <c r="K97" s="63">
        <f t="shared" si="35"/>
        <v>3812511.4849999999</v>
      </c>
    </row>
    <row r="98" spans="1:11" s="645" customFormat="1" ht="13">
      <c r="A98" s="109">
        <f t="shared" si="32"/>
        <v>65</v>
      </c>
      <c r="B98" s="608" t="s">
        <v>191</v>
      </c>
      <c r="C98" s="609">
        <v>2021</v>
      </c>
      <c r="D98" s="977">
        <v>575000</v>
      </c>
      <c r="E98" s="63">
        <f>D98*'16-PlantAdditions'!$E$103</f>
        <v>43125</v>
      </c>
      <c r="F98" s="63">
        <f t="shared" si="33"/>
        <v>618125</v>
      </c>
      <c r="G98" s="977">
        <v>0</v>
      </c>
      <c r="H98" s="977">
        <v>0</v>
      </c>
      <c r="I98" s="63">
        <f>(G98-H98)*'16-PlantAdditions'!$E$103</f>
        <v>0</v>
      </c>
      <c r="J98" s="63">
        <f t="shared" si="34"/>
        <v>4590863.4849999994</v>
      </c>
      <c r="K98" s="63">
        <f t="shared" si="35"/>
        <v>4430636.4849999994</v>
      </c>
    </row>
    <row r="99" spans="1:11" s="645" customFormat="1" ht="13">
      <c r="A99" s="109">
        <f t="shared" si="32"/>
        <v>66</v>
      </c>
      <c r="B99" s="608" t="s">
        <v>190</v>
      </c>
      <c r="C99" s="609">
        <v>2021</v>
      </c>
      <c r="D99" s="977">
        <v>645824.00000000012</v>
      </c>
      <c r="E99" s="63">
        <f>D99*'16-PlantAdditions'!$E$103</f>
        <v>48436.80000000001</v>
      </c>
      <c r="F99" s="63">
        <f t="shared" si="33"/>
        <v>694260.80000000016</v>
      </c>
      <c r="G99" s="977">
        <v>0</v>
      </c>
      <c r="H99" s="977">
        <v>0</v>
      </c>
      <c r="I99" s="63">
        <f>(G99-H99)*'16-PlantAdditions'!$E$103</f>
        <v>0</v>
      </c>
      <c r="J99" s="63">
        <f t="shared" si="34"/>
        <v>5285124.2849999992</v>
      </c>
      <c r="K99" s="63">
        <f t="shared" si="35"/>
        <v>5124897.2849999992</v>
      </c>
    </row>
    <row r="100" spans="1:11" s="645" customFormat="1" ht="13">
      <c r="A100" s="109">
        <f t="shared" si="32"/>
        <v>67</v>
      </c>
      <c r="B100" s="608" t="s">
        <v>180</v>
      </c>
      <c r="C100" s="609">
        <v>2021</v>
      </c>
      <c r="D100" s="977">
        <v>901401</v>
      </c>
      <c r="E100" s="63">
        <f>D100*'16-PlantAdditions'!$E$103</f>
        <v>67605.074999999997</v>
      </c>
      <c r="F100" s="63">
        <f t="shared" si="33"/>
        <v>969006.07499999995</v>
      </c>
      <c r="G100" s="977">
        <v>150000</v>
      </c>
      <c r="H100" s="977">
        <v>0</v>
      </c>
      <c r="I100" s="63">
        <f>(G100-H100)*'16-PlantAdditions'!$E$103</f>
        <v>11250</v>
      </c>
      <c r="J100" s="63">
        <f t="shared" si="34"/>
        <v>6092880.3599999994</v>
      </c>
      <c r="K100" s="63">
        <f t="shared" si="35"/>
        <v>5932653.3599999994</v>
      </c>
    </row>
    <row r="101" spans="1:11" s="645" customFormat="1" ht="13">
      <c r="A101" s="109">
        <f t="shared" si="32"/>
        <v>68</v>
      </c>
      <c r="B101" s="608" t="s">
        <v>181</v>
      </c>
      <c r="C101" s="609">
        <v>2022</v>
      </c>
      <c r="D101" s="977">
        <v>0</v>
      </c>
      <c r="E101" s="63">
        <f>D101*'16-PlantAdditions'!$E$103</f>
        <v>0</v>
      </c>
      <c r="F101" s="63">
        <f t="shared" si="33"/>
        <v>0</v>
      </c>
      <c r="G101" s="977">
        <v>0</v>
      </c>
      <c r="H101" s="977">
        <v>0</v>
      </c>
      <c r="I101" s="63">
        <f>(G101-H101)*'16-PlantAdditions'!$E$103</f>
        <v>0</v>
      </c>
      <c r="J101" s="63">
        <f t="shared" si="34"/>
        <v>6092880.3599999994</v>
      </c>
      <c r="K101" s="63">
        <f t="shared" si="35"/>
        <v>5932653.3599999994</v>
      </c>
    </row>
    <row r="102" spans="1:11" s="645" customFormat="1" ht="13">
      <c r="A102" s="109">
        <f t="shared" si="32"/>
        <v>69</v>
      </c>
      <c r="B102" s="611" t="s">
        <v>182</v>
      </c>
      <c r="C102" s="609">
        <v>2022</v>
      </c>
      <c r="D102" s="977">
        <v>210000</v>
      </c>
      <c r="E102" s="63">
        <f>D102*'16-PlantAdditions'!$E$103</f>
        <v>15750</v>
      </c>
      <c r="F102" s="63">
        <f t="shared" si="33"/>
        <v>225750</v>
      </c>
      <c r="G102" s="977">
        <v>0</v>
      </c>
      <c r="H102" s="977">
        <v>0</v>
      </c>
      <c r="I102" s="63">
        <f>(G102-H102)*'16-PlantAdditions'!$E$103</f>
        <v>0</v>
      </c>
      <c r="J102" s="63">
        <f t="shared" si="34"/>
        <v>6318630.3599999994</v>
      </c>
      <c r="K102" s="63">
        <f t="shared" si="35"/>
        <v>6158403.3599999994</v>
      </c>
    </row>
    <row r="103" spans="1:11" s="645" customFormat="1" ht="13">
      <c r="A103" s="109">
        <f t="shared" si="32"/>
        <v>70</v>
      </c>
      <c r="B103" s="611" t="s">
        <v>195</v>
      </c>
      <c r="C103" s="609">
        <v>2022</v>
      </c>
      <c r="D103" s="977">
        <v>255000</v>
      </c>
      <c r="E103" s="63">
        <f>D103*'16-PlantAdditions'!$E$103</f>
        <v>19125</v>
      </c>
      <c r="F103" s="63">
        <f t="shared" si="33"/>
        <v>274125</v>
      </c>
      <c r="G103" s="977">
        <v>0</v>
      </c>
      <c r="H103" s="977">
        <v>0</v>
      </c>
      <c r="I103" s="63">
        <f>(G103-H103)*'16-PlantAdditions'!$E$103</f>
        <v>0</v>
      </c>
      <c r="J103" s="63">
        <f t="shared" si="34"/>
        <v>6592755.3599999994</v>
      </c>
      <c r="K103" s="63">
        <f t="shared" si="35"/>
        <v>6432528.3599999994</v>
      </c>
    </row>
    <row r="104" spans="1:11" s="645" customFormat="1" ht="13">
      <c r="A104" s="109">
        <f t="shared" si="32"/>
        <v>71</v>
      </c>
      <c r="B104" s="608" t="s">
        <v>183</v>
      </c>
      <c r="C104" s="609">
        <v>2022</v>
      </c>
      <c r="D104" s="977">
        <v>285000</v>
      </c>
      <c r="E104" s="63">
        <f>D104*'16-PlantAdditions'!$E$103</f>
        <v>21375</v>
      </c>
      <c r="F104" s="63">
        <f t="shared" si="33"/>
        <v>306375</v>
      </c>
      <c r="G104" s="977">
        <v>0</v>
      </c>
      <c r="H104" s="977">
        <v>0</v>
      </c>
      <c r="I104" s="63">
        <f>(G104-H104)*'16-PlantAdditions'!$E$103</f>
        <v>0</v>
      </c>
      <c r="J104" s="63">
        <f t="shared" si="34"/>
        <v>6899130.3599999994</v>
      </c>
      <c r="K104" s="63">
        <f t="shared" si="35"/>
        <v>6738903.3599999994</v>
      </c>
    </row>
    <row r="105" spans="1:11" s="645" customFormat="1" ht="13">
      <c r="A105" s="109">
        <f t="shared" si="32"/>
        <v>72</v>
      </c>
      <c r="B105" s="611" t="s">
        <v>184</v>
      </c>
      <c r="C105" s="609">
        <v>2022</v>
      </c>
      <c r="D105" s="977">
        <v>320000</v>
      </c>
      <c r="E105" s="63">
        <f>D105*'16-PlantAdditions'!$E$103</f>
        <v>24000</v>
      </c>
      <c r="F105" s="63">
        <f t="shared" si="33"/>
        <v>344000</v>
      </c>
      <c r="G105" s="977">
        <v>0</v>
      </c>
      <c r="H105" s="977">
        <v>0</v>
      </c>
      <c r="I105" s="63">
        <f>(G105-H105)*'16-PlantAdditions'!$E$103</f>
        <v>0</v>
      </c>
      <c r="J105" s="63">
        <f t="shared" si="34"/>
        <v>7243130.3599999994</v>
      </c>
      <c r="K105" s="63">
        <f t="shared" si="35"/>
        <v>7082903.3599999994</v>
      </c>
    </row>
    <row r="106" spans="1:11" s="645" customFormat="1" ht="13">
      <c r="A106" s="109">
        <f t="shared" si="32"/>
        <v>73</v>
      </c>
      <c r="B106" s="611" t="s">
        <v>1458</v>
      </c>
      <c r="C106" s="609">
        <v>2022</v>
      </c>
      <c r="D106" s="977">
        <v>340000</v>
      </c>
      <c r="E106" s="63">
        <f>D106*'16-PlantAdditions'!$E$103</f>
        <v>25500</v>
      </c>
      <c r="F106" s="63">
        <f t="shared" si="33"/>
        <v>365500</v>
      </c>
      <c r="G106" s="977">
        <v>0</v>
      </c>
      <c r="H106" s="977">
        <v>0</v>
      </c>
      <c r="I106" s="63">
        <f>(G106-H106)*'16-PlantAdditions'!$E$103</f>
        <v>0</v>
      </c>
      <c r="J106" s="63">
        <f t="shared" si="34"/>
        <v>7608630.3599999994</v>
      </c>
      <c r="K106" s="63">
        <f t="shared" si="35"/>
        <v>7448403.3599999994</v>
      </c>
    </row>
    <row r="107" spans="1:11" s="645" customFormat="1" ht="13">
      <c r="A107" s="109">
        <f t="shared" si="32"/>
        <v>74</v>
      </c>
      <c r="B107" s="608" t="s">
        <v>186</v>
      </c>
      <c r="C107" s="609">
        <v>2022</v>
      </c>
      <c r="D107" s="977">
        <v>320000</v>
      </c>
      <c r="E107" s="63">
        <f>D107*'16-PlantAdditions'!$E$103</f>
        <v>24000</v>
      </c>
      <c r="F107" s="63">
        <f t="shared" si="33"/>
        <v>344000</v>
      </c>
      <c r="G107" s="977">
        <v>0</v>
      </c>
      <c r="H107" s="977">
        <v>0</v>
      </c>
      <c r="I107" s="63">
        <f>(G107-H107)*'16-PlantAdditions'!$E$103</f>
        <v>0</v>
      </c>
      <c r="J107" s="63">
        <f t="shared" si="34"/>
        <v>7952630.3599999994</v>
      </c>
      <c r="K107" s="63">
        <f t="shared" si="35"/>
        <v>7792403.3599999994</v>
      </c>
    </row>
    <row r="108" spans="1:11" s="645" customFormat="1" ht="13">
      <c r="A108" s="109">
        <f t="shared" si="32"/>
        <v>75</v>
      </c>
      <c r="B108" s="611" t="s">
        <v>187</v>
      </c>
      <c r="C108" s="609">
        <v>2022</v>
      </c>
      <c r="D108" s="977">
        <v>345000</v>
      </c>
      <c r="E108" s="63">
        <f>D108*'16-PlantAdditions'!$E$103</f>
        <v>25875</v>
      </c>
      <c r="F108" s="63">
        <f t="shared" si="33"/>
        <v>370875</v>
      </c>
      <c r="G108" s="977">
        <v>0</v>
      </c>
      <c r="H108" s="977">
        <v>0</v>
      </c>
      <c r="I108" s="63">
        <f>(G108-H108)*'16-PlantAdditions'!$E$103</f>
        <v>0</v>
      </c>
      <c r="J108" s="63">
        <f t="shared" si="34"/>
        <v>8323505.3599999994</v>
      </c>
      <c r="K108" s="63">
        <f t="shared" si="35"/>
        <v>8163278.3599999994</v>
      </c>
    </row>
    <row r="109" spans="1:11" s="645" customFormat="1" ht="13">
      <c r="A109" s="109">
        <f>A108+1</f>
        <v>76</v>
      </c>
      <c r="B109" s="611" t="s">
        <v>188</v>
      </c>
      <c r="C109" s="609">
        <v>2022</v>
      </c>
      <c r="D109" s="977">
        <v>435000</v>
      </c>
      <c r="E109" s="63">
        <f>D109*'16-PlantAdditions'!$E$103</f>
        <v>32625</v>
      </c>
      <c r="F109" s="63">
        <f t="shared" si="33"/>
        <v>467625</v>
      </c>
      <c r="G109" s="977">
        <v>0</v>
      </c>
      <c r="H109" s="977">
        <v>0</v>
      </c>
      <c r="I109" s="63">
        <f>(G109-H109)*'16-PlantAdditions'!$E$103</f>
        <v>0</v>
      </c>
      <c r="J109" s="63">
        <f>J108+F109-G109-I109</f>
        <v>8791130.3599999994</v>
      </c>
      <c r="K109" s="63">
        <f t="shared" si="35"/>
        <v>8630903.3599999994</v>
      </c>
    </row>
    <row r="110" spans="1:11" s="645" customFormat="1" ht="13">
      <c r="A110" s="109">
        <f t="shared" ref="A110:A113" si="36">A109+1</f>
        <v>77</v>
      </c>
      <c r="B110" s="611" t="s">
        <v>191</v>
      </c>
      <c r="C110" s="609">
        <v>2022</v>
      </c>
      <c r="D110" s="977">
        <v>440000</v>
      </c>
      <c r="E110" s="63">
        <f>D110*'16-PlantAdditions'!$E$103</f>
        <v>33000</v>
      </c>
      <c r="F110" s="63">
        <f t="shared" si="33"/>
        <v>473000</v>
      </c>
      <c r="G110" s="977">
        <v>0</v>
      </c>
      <c r="H110" s="977">
        <v>0</v>
      </c>
      <c r="I110" s="63">
        <f>(G110-H110)*'16-PlantAdditions'!$E$103</f>
        <v>0</v>
      </c>
      <c r="J110" s="63">
        <f t="shared" ref="J110:J112" si="37">J109+F110-G110-I110</f>
        <v>9264130.3599999994</v>
      </c>
      <c r="K110" s="63">
        <f t="shared" si="35"/>
        <v>9103903.3599999994</v>
      </c>
    </row>
    <row r="111" spans="1:11" s="645" customFormat="1" ht="13">
      <c r="A111" s="109">
        <f t="shared" si="36"/>
        <v>78</v>
      </c>
      <c r="B111" s="611" t="s">
        <v>190</v>
      </c>
      <c r="C111" s="609">
        <v>2022</v>
      </c>
      <c r="D111" s="977">
        <v>435000</v>
      </c>
      <c r="E111" s="63">
        <f>D111*'16-PlantAdditions'!$E$103</f>
        <v>32625</v>
      </c>
      <c r="F111" s="63">
        <f t="shared" si="33"/>
        <v>467625</v>
      </c>
      <c r="G111" s="977">
        <v>0</v>
      </c>
      <c r="H111" s="977">
        <v>0</v>
      </c>
      <c r="I111" s="63">
        <f>(G111-H111)*'16-PlantAdditions'!$E$103</f>
        <v>0</v>
      </c>
      <c r="J111" s="63">
        <f t="shared" si="37"/>
        <v>9731755.3599999994</v>
      </c>
      <c r="K111" s="63">
        <f t="shared" si="35"/>
        <v>9571528.3599999994</v>
      </c>
    </row>
    <row r="112" spans="1:11" s="645" customFormat="1" ht="13">
      <c r="A112" s="109">
        <f t="shared" si="36"/>
        <v>79</v>
      </c>
      <c r="B112" s="611" t="s">
        <v>180</v>
      </c>
      <c r="C112" s="609">
        <v>2022</v>
      </c>
      <c r="D112" s="977">
        <v>520400.00000000012</v>
      </c>
      <c r="E112" s="63">
        <f>D112*'16-PlantAdditions'!$E$103</f>
        <v>39030.000000000007</v>
      </c>
      <c r="F112" s="63">
        <f t="shared" si="33"/>
        <v>559430.00000000012</v>
      </c>
      <c r="G112" s="977">
        <v>0</v>
      </c>
      <c r="H112" s="977">
        <v>0</v>
      </c>
      <c r="I112" s="63">
        <f>(G112-H112)*'16-PlantAdditions'!$E$103</f>
        <v>0</v>
      </c>
      <c r="J112" s="63">
        <f t="shared" si="37"/>
        <v>10291185.359999999</v>
      </c>
      <c r="K112" s="110">
        <f t="shared" si="35"/>
        <v>10130958.359999999</v>
      </c>
    </row>
    <row r="113" spans="1:11" s="645" customFormat="1" ht="13">
      <c r="A113" s="109">
        <f t="shared" si="36"/>
        <v>80</v>
      </c>
      <c r="B113"/>
      <c r="C113" s="644" t="s">
        <v>1603</v>
      </c>
      <c r="D113"/>
      <c r="E113"/>
      <c r="F113"/>
      <c r="G113"/>
      <c r="H113"/>
      <c r="I113"/>
      <c r="J113"/>
      <c r="K113" s="73">
        <f>AVERAGE(K100:K112)</f>
        <v>7624571.0523076914</v>
      </c>
    </row>
    <row r="114" spans="1:11" s="645" customFormat="1" ht="13">
      <c r="A114" s="109"/>
      <c r="B114"/>
      <c r="C114" s="644"/>
      <c r="D114"/>
      <c r="E114"/>
      <c r="F114"/>
      <c r="G114"/>
      <c r="H114"/>
      <c r="I114"/>
      <c r="J114"/>
      <c r="K114" s="73"/>
    </row>
    <row r="115" spans="1:11" s="645" customFormat="1" ht="13">
      <c r="B115" s="646" t="s">
        <v>1930</v>
      </c>
      <c r="D115" s="1508" t="s">
        <v>2730</v>
      </c>
      <c r="E115" s="1508"/>
    </row>
    <row r="116" spans="1:11" s="645" customFormat="1" ht="13">
      <c r="A116" s="640"/>
      <c r="B116" s="640"/>
      <c r="C116" s="640"/>
      <c r="D116" s="640" t="s">
        <v>358</v>
      </c>
      <c r="E116" s="640" t="s">
        <v>342</v>
      </c>
      <c r="F116" s="640" t="s">
        <v>343</v>
      </c>
      <c r="G116" s="640" t="s">
        <v>344</v>
      </c>
      <c r="H116" s="640" t="s">
        <v>345</v>
      </c>
      <c r="I116" s="640" t="s">
        <v>346</v>
      </c>
      <c r="J116" s="640" t="s">
        <v>347</v>
      </c>
      <c r="K116" s="640" t="s">
        <v>534</v>
      </c>
    </row>
    <row r="117" spans="1:11" s="645" customFormat="1" ht="38">
      <c r="D117" s="647"/>
      <c r="E117" s="648" t="s">
        <v>2061</v>
      </c>
      <c r="F117" s="649" t="s">
        <v>1927</v>
      </c>
      <c r="G117" s="525"/>
      <c r="H117" s="647"/>
      <c r="I117" s="648" t="s">
        <v>2062</v>
      </c>
      <c r="J117" s="648" t="s">
        <v>1928</v>
      </c>
      <c r="K117" s="648" t="s">
        <v>1929</v>
      </c>
    </row>
    <row r="118" spans="1:11" s="645" customFormat="1" ht="13">
      <c r="D118" s="647"/>
      <c r="E118" s="647"/>
      <c r="F118" s="647"/>
      <c r="G118" s="549" t="str">
        <f>G51</f>
        <v>Unloaded</v>
      </c>
      <c r="H118" s="647"/>
      <c r="I118" s="647"/>
    </row>
    <row r="119" spans="1:11" s="645" customFormat="1" ht="13">
      <c r="A119" s="642"/>
      <c r="B119" s="642"/>
      <c r="C119" s="642"/>
      <c r="D119" s="642" t="str">
        <f>D$52</f>
        <v>Forecast</v>
      </c>
      <c r="E119" s="642" t="str">
        <f t="shared" ref="E119:J119" si="38">E$52</f>
        <v>Corporate</v>
      </c>
      <c r="F119" s="642" t="str">
        <f t="shared" si="38"/>
        <v xml:space="preserve">Total </v>
      </c>
      <c r="G119" s="549" t="str">
        <f>G52</f>
        <v>Total</v>
      </c>
      <c r="H119" s="642" t="str">
        <f t="shared" si="38"/>
        <v>Prior Period</v>
      </c>
      <c r="I119" s="642" t="str">
        <f t="shared" si="38"/>
        <v>Over Heads</v>
      </c>
      <c r="J119" s="642" t="str">
        <f t="shared" si="38"/>
        <v>Forecast</v>
      </c>
      <c r="K119" s="549" t="str">
        <f>K$52</f>
        <v>Forecast Period</v>
      </c>
    </row>
    <row r="120" spans="1:11" s="645" customFormat="1" ht="13">
      <c r="A120" s="833" t="s">
        <v>329</v>
      </c>
      <c r="B120" s="607" t="s">
        <v>192</v>
      </c>
      <c r="C120" s="607" t="s">
        <v>193</v>
      </c>
      <c r="D120" s="640" t="str">
        <f>D$53</f>
        <v>Expenditures</v>
      </c>
      <c r="E120" s="640" t="str">
        <f t="shared" ref="E120:J120" si="39">E$53</f>
        <v>Overheads</v>
      </c>
      <c r="F120" s="640" t="str">
        <f t="shared" si="39"/>
        <v>CWIP Exp</v>
      </c>
      <c r="G120" s="3" t="str">
        <f>G53</f>
        <v>Plant Adds</v>
      </c>
      <c r="H120" s="640" t="str">
        <f t="shared" si="39"/>
        <v>CWIP Closed</v>
      </c>
      <c r="I120" s="640" t="str">
        <f t="shared" si="39"/>
        <v>Closed to PIS</v>
      </c>
      <c r="J120" s="640" t="str">
        <f t="shared" si="39"/>
        <v>Period CWIP</v>
      </c>
      <c r="K120" s="640" t="str">
        <f>K$53</f>
        <v>Incremental CWIP</v>
      </c>
    </row>
    <row r="121" spans="1:11" s="645" customFormat="1" ht="13">
      <c r="A121" s="109">
        <f>A113+1</f>
        <v>81</v>
      </c>
      <c r="B121" s="608" t="s">
        <v>180</v>
      </c>
      <c r="C121" s="609">
        <v>2020</v>
      </c>
      <c r="D121" s="649" t="s">
        <v>76</v>
      </c>
      <c r="E121" s="649" t="s">
        <v>76</v>
      </c>
      <c r="F121" s="649" t="s">
        <v>76</v>
      </c>
      <c r="G121" s="649" t="s">
        <v>76</v>
      </c>
      <c r="H121" s="649" t="s">
        <v>76</v>
      </c>
      <c r="I121" s="649" t="s">
        <v>76</v>
      </c>
      <c r="J121" s="63">
        <f>F25</f>
        <v>0</v>
      </c>
      <c r="K121" s="649" t="s">
        <v>76</v>
      </c>
    </row>
    <row r="122" spans="1:11" s="645" customFormat="1" ht="13">
      <c r="A122" s="109">
        <f>A121+1</f>
        <v>82</v>
      </c>
      <c r="B122" s="608" t="s">
        <v>181</v>
      </c>
      <c r="C122" s="609">
        <v>2021</v>
      </c>
      <c r="D122" s="977">
        <v>0</v>
      </c>
      <c r="E122" s="63">
        <f>D122*'16-PlantAdditions'!$E$103</f>
        <v>0</v>
      </c>
      <c r="F122" s="63">
        <f>E122+D122</f>
        <v>0</v>
      </c>
      <c r="G122" s="977">
        <v>0</v>
      </c>
      <c r="H122" s="977">
        <v>0</v>
      </c>
      <c r="I122" s="63">
        <f>(G122-H122)*'16-PlantAdditions'!$E$103</f>
        <v>0</v>
      </c>
      <c r="J122" s="63">
        <f>J121+F122-G122-I122</f>
        <v>0</v>
      </c>
      <c r="K122" s="477">
        <f>J122-$J$121</f>
        <v>0</v>
      </c>
    </row>
    <row r="123" spans="1:11" s="645" customFormat="1" ht="13">
      <c r="A123" s="109">
        <f t="shared" ref="A123:A146" si="40">A122+1</f>
        <v>83</v>
      </c>
      <c r="B123" s="611" t="s">
        <v>182</v>
      </c>
      <c r="C123" s="609">
        <v>2021</v>
      </c>
      <c r="D123" s="977">
        <v>0</v>
      </c>
      <c r="E123" s="63">
        <f>D123*'16-PlantAdditions'!$E$103</f>
        <v>0</v>
      </c>
      <c r="F123" s="63">
        <f t="shared" ref="F123:F145" si="41">E123+D123</f>
        <v>0</v>
      </c>
      <c r="G123" s="977">
        <v>0</v>
      </c>
      <c r="H123" s="977">
        <v>0</v>
      </c>
      <c r="I123" s="63">
        <f>(G123-H123)*'16-PlantAdditions'!$E$103</f>
        <v>0</v>
      </c>
      <c r="J123" s="63">
        <f t="shared" ref="J123:J145" si="42">J122+F123-G123-I123</f>
        <v>0</v>
      </c>
      <c r="K123" s="477">
        <f t="shared" ref="K123:K145" si="43">J123-$J$121</f>
        <v>0</v>
      </c>
    </row>
    <row r="124" spans="1:11" s="645" customFormat="1" ht="13">
      <c r="A124" s="109">
        <f t="shared" si="40"/>
        <v>84</v>
      </c>
      <c r="B124" s="611" t="s">
        <v>195</v>
      </c>
      <c r="C124" s="609">
        <v>2021</v>
      </c>
      <c r="D124" s="977">
        <v>0</v>
      </c>
      <c r="E124" s="63">
        <f>D124*'16-PlantAdditions'!$E$103</f>
        <v>0</v>
      </c>
      <c r="F124" s="63">
        <f t="shared" si="41"/>
        <v>0</v>
      </c>
      <c r="G124" s="977">
        <v>0</v>
      </c>
      <c r="H124" s="977">
        <v>0</v>
      </c>
      <c r="I124" s="63">
        <f>(G124-H124)*'16-PlantAdditions'!$E$103</f>
        <v>0</v>
      </c>
      <c r="J124" s="63">
        <f t="shared" si="42"/>
        <v>0</v>
      </c>
      <c r="K124" s="477">
        <f t="shared" si="43"/>
        <v>0</v>
      </c>
    </row>
    <row r="125" spans="1:11" s="645" customFormat="1" ht="13">
      <c r="A125" s="109">
        <f t="shared" si="40"/>
        <v>85</v>
      </c>
      <c r="B125" s="608" t="s">
        <v>183</v>
      </c>
      <c r="C125" s="609">
        <v>2021</v>
      </c>
      <c r="D125" s="977">
        <v>0</v>
      </c>
      <c r="E125" s="63">
        <f>D125*'16-PlantAdditions'!$E$103</f>
        <v>0</v>
      </c>
      <c r="F125" s="63">
        <f t="shared" si="41"/>
        <v>0</v>
      </c>
      <c r="G125" s="977">
        <v>0</v>
      </c>
      <c r="H125" s="977">
        <v>0</v>
      </c>
      <c r="I125" s="63">
        <f>(G125-H125)*'16-PlantAdditions'!$E$103</f>
        <v>0</v>
      </c>
      <c r="J125" s="63">
        <f t="shared" si="42"/>
        <v>0</v>
      </c>
      <c r="K125" s="477">
        <f t="shared" si="43"/>
        <v>0</v>
      </c>
    </row>
    <row r="126" spans="1:11" s="645" customFormat="1" ht="13">
      <c r="A126" s="109">
        <f t="shared" si="40"/>
        <v>86</v>
      </c>
      <c r="B126" s="611" t="s">
        <v>184</v>
      </c>
      <c r="C126" s="609">
        <v>2021</v>
      </c>
      <c r="D126" s="977">
        <v>0</v>
      </c>
      <c r="E126" s="63">
        <f>D126*'16-PlantAdditions'!$E$103</f>
        <v>0</v>
      </c>
      <c r="F126" s="63">
        <f t="shared" si="41"/>
        <v>0</v>
      </c>
      <c r="G126" s="977">
        <v>0</v>
      </c>
      <c r="H126" s="977">
        <v>0</v>
      </c>
      <c r="I126" s="63">
        <f>(G126-H126)*'16-PlantAdditions'!$E$103</f>
        <v>0</v>
      </c>
      <c r="J126" s="63">
        <f t="shared" si="42"/>
        <v>0</v>
      </c>
      <c r="K126" s="477">
        <f t="shared" si="43"/>
        <v>0</v>
      </c>
    </row>
    <row r="127" spans="1:11" s="645" customFormat="1" ht="13">
      <c r="A127" s="109">
        <f t="shared" si="40"/>
        <v>87</v>
      </c>
      <c r="B127" s="611" t="s">
        <v>1458</v>
      </c>
      <c r="C127" s="609">
        <v>2021</v>
      </c>
      <c r="D127" s="977">
        <v>0</v>
      </c>
      <c r="E127" s="63">
        <f>D127*'16-PlantAdditions'!$E$103</f>
        <v>0</v>
      </c>
      <c r="F127" s="63">
        <f t="shared" si="41"/>
        <v>0</v>
      </c>
      <c r="G127" s="977">
        <v>0</v>
      </c>
      <c r="H127" s="977">
        <v>0</v>
      </c>
      <c r="I127" s="63">
        <f>(G127-H127)*'16-PlantAdditions'!$E$103</f>
        <v>0</v>
      </c>
      <c r="J127" s="63">
        <f t="shared" si="42"/>
        <v>0</v>
      </c>
      <c r="K127" s="477">
        <f t="shared" si="43"/>
        <v>0</v>
      </c>
    </row>
    <row r="128" spans="1:11" s="645" customFormat="1" ht="13">
      <c r="A128" s="109">
        <f t="shared" si="40"/>
        <v>88</v>
      </c>
      <c r="B128" s="608" t="s">
        <v>186</v>
      </c>
      <c r="C128" s="609">
        <v>2021</v>
      </c>
      <c r="D128" s="977">
        <v>0</v>
      </c>
      <c r="E128" s="63">
        <f>D128*'16-PlantAdditions'!$E$103</f>
        <v>0</v>
      </c>
      <c r="F128" s="63">
        <f t="shared" si="41"/>
        <v>0</v>
      </c>
      <c r="G128" s="977">
        <v>0</v>
      </c>
      <c r="H128" s="977">
        <v>0</v>
      </c>
      <c r="I128" s="63">
        <f>(G128-H128)*'16-PlantAdditions'!$E$103</f>
        <v>0</v>
      </c>
      <c r="J128" s="63">
        <f t="shared" si="42"/>
        <v>0</v>
      </c>
      <c r="K128" s="477">
        <f t="shared" si="43"/>
        <v>0</v>
      </c>
    </row>
    <row r="129" spans="1:11" s="645" customFormat="1" ht="13">
      <c r="A129" s="109">
        <f t="shared" si="40"/>
        <v>89</v>
      </c>
      <c r="B129" s="611" t="s">
        <v>187</v>
      </c>
      <c r="C129" s="609">
        <v>2021</v>
      </c>
      <c r="D129" s="977">
        <v>0</v>
      </c>
      <c r="E129" s="63">
        <f>D129*'16-PlantAdditions'!$E$103</f>
        <v>0</v>
      </c>
      <c r="F129" s="63">
        <f t="shared" si="41"/>
        <v>0</v>
      </c>
      <c r="G129" s="977">
        <v>0</v>
      </c>
      <c r="H129" s="977">
        <v>0</v>
      </c>
      <c r="I129" s="63">
        <f>(G129-H129)*'16-PlantAdditions'!$E$103</f>
        <v>0</v>
      </c>
      <c r="J129" s="63">
        <f t="shared" si="42"/>
        <v>0</v>
      </c>
      <c r="K129" s="477">
        <f t="shared" si="43"/>
        <v>0</v>
      </c>
    </row>
    <row r="130" spans="1:11" s="645" customFormat="1" ht="13">
      <c r="A130" s="109">
        <f t="shared" si="40"/>
        <v>90</v>
      </c>
      <c r="B130" s="611" t="s">
        <v>188</v>
      </c>
      <c r="C130" s="609">
        <v>2021</v>
      </c>
      <c r="D130" s="977">
        <v>0</v>
      </c>
      <c r="E130" s="63">
        <f>D130*'16-PlantAdditions'!$E$103</f>
        <v>0</v>
      </c>
      <c r="F130" s="63">
        <f t="shared" si="41"/>
        <v>0</v>
      </c>
      <c r="G130" s="977">
        <v>0</v>
      </c>
      <c r="H130" s="977">
        <v>0</v>
      </c>
      <c r="I130" s="63">
        <f>(G130-H130)*'16-PlantAdditions'!$E$103</f>
        <v>0</v>
      </c>
      <c r="J130" s="63">
        <f t="shared" si="42"/>
        <v>0</v>
      </c>
      <c r="K130" s="477">
        <f t="shared" si="43"/>
        <v>0</v>
      </c>
    </row>
    <row r="131" spans="1:11" s="645" customFormat="1" ht="13">
      <c r="A131" s="109">
        <f t="shared" si="40"/>
        <v>91</v>
      </c>
      <c r="B131" s="608" t="s">
        <v>191</v>
      </c>
      <c r="C131" s="609">
        <v>2021</v>
      </c>
      <c r="D131" s="977">
        <v>0</v>
      </c>
      <c r="E131" s="63">
        <f>D131*'16-PlantAdditions'!$E$103</f>
        <v>0</v>
      </c>
      <c r="F131" s="63">
        <f t="shared" si="41"/>
        <v>0</v>
      </c>
      <c r="G131" s="977">
        <v>0</v>
      </c>
      <c r="H131" s="977">
        <v>0</v>
      </c>
      <c r="I131" s="63">
        <f>(G131-H131)*'16-PlantAdditions'!$E$103</f>
        <v>0</v>
      </c>
      <c r="J131" s="63">
        <f t="shared" si="42"/>
        <v>0</v>
      </c>
      <c r="K131" s="477">
        <f t="shared" si="43"/>
        <v>0</v>
      </c>
    </row>
    <row r="132" spans="1:11" s="645" customFormat="1" ht="13">
      <c r="A132" s="109">
        <f t="shared" si="40"/>
        <v>92</v>
      </c>
      <c r="B132" s="608" t="s">
        <v>190</v>
      </c>
      <c r="C132" s="609">
        <v>2021</v>
      </c>
      <c r="D132" s="977">
        <v>0</v>
      </c>
      <c r="E132" s="63">
        <f>D132*'16-PlantAdditions'!$E$103</f>
        <v>0</v>
      </c>
      <c r="F132" s="63">
        <f t="shared" si="41"/>
        <v>0</v>
      </c>
      <c r="G132" s="977">
        <v>0</v>
      </c>
      <c r="H132" s="977">
        <v>0</v>
      </c>
      <c r="I132" s="63">
        <f>(G132-H132)*'16-PlantAdditions'!$E$103</f>
        <v>0</v>
      </c>
      <c r="J132" s="63">
        <f t="shared" si="42"/>
        <v>0</v>
      </c>
      <c r="K132" s="477">
        <f t="shared" si="43"/>
        <v>0</v>
      </c>
    </row>
    <row r="133" spans="1:11" s="645" customFormat="1" ht="13">
      <c r="A133" s="109">
        <f t="shared" si="40"/>
        <v>93</v>
      </c>
      <c r="B133" s="608" t="s">
        <v>180</v>
      </c>
      <c r="C133" s="609">
        <v>2021</v>
      </c>
      <c r="D133" s="977">
        <v>0</v>
      </c>
      <c r="E133" s="63">
        <f>D133*'16-PlantAdditions'!$E$103</f>
        <v>0</v>
      </c>
      <c r="F133" s="63">
        <f t="shared" si="41"/>
        <v>0</v>
      </c>
      <c r="G133" s="977">
        <v>0</v>
      </c>
      <c r="H133" s="977">
        <v>0</v>
      </c>
      <c r="I133" s="63">
        <f>(G133-H133)*'16-PlantAdditions'!$E$103</f>
        <v>0</v>
      </c>
      <c r="J133" s="63">
        <f t="shared" si="42"/>
        <v>0</v>
      </c>
      <c r="K133" s="477">
        <f t="shared" si="43"/>
        <v>0</v>
      </c>
    </row>
    <row r="134" spans="1:11" s="645" customFormat="1" ht="13">
      <c r="A134" s="109">
        <f t="shared" si="40"/>
        <v>94</v>
      </c>
      <c r="B134" s="608" t="s">
        <v>181</v>
      </c>
      <c r="C134" s="609">
        <v>2022</v>
      </c>
      <c r="D134" s="977">
        <v>0</v>
      </c>
      <c r="E134" s="63">
        <f>D134*'16-PlantAdditions'!$E$103</f>
        <v>0</v>
      </c>
      <c r="F134" s="63">
        <f t="shared" si="41"/>
        <v>0</v>
      </c>
      <c r="G134" s="977">
        <v>0</v>
      </c>
      <c r="H134" s="977">
        <v>0</v>
      </c>
      <c r="I134" s="63">
        <f>(G134-H134)*'16-PlantAdditions'!$E$103</f>
        <v>0</v>
      </c>
      <c r="J134" s="63">
        <f t="shared" si="42"/>
        <v>0</v>
      </c>
      <c r="K134" s="477">
        <f t="shared" si="43"/>
        <v>0</v>
      </c>
    </row>
    <row r="135" spans="1:11" s="645" customFormat="1" ht="13">
      <c r="A135" s="109">
        <f t="shared" si="40"/>
        <v>95</v>
      </c>
      <c r="B135" s="611" t="s">
        <v>182</v>
      </c>
      <c r="C135" s="609">
        <v>2022</v>
      </c>
      <c r="D135" s="977">
        <v>0</v>
      </c>
      <c r="E135" s="63">
        <f>D135*'16-PlantAdditions'!$E$103</f>
        <v>0</v>
      </c>
      <c r="F135" s="63">
        <f t="shared" si="41"/>
        <v>0</v>
      </c>
      <c r="G135" s="977">
        <v>0</v>
      </c>
      <c r="H135" s="977">
        <v>0</v>
      </c>
      <c r="I135" s="63">
        <f>(G135-H135)*'16-PlantAdditions'!$E$103</f>
        <v>0</v>
      </c>
      <c r="J135" s="63">
        <f t="shared" si="42"/>
        <v>0</v>
      </c>
      <c r="K135" s="477">
        <f t="shared" si="43"/>
        <v>0</v>
      </c>
    </row>
    <row r="136" spans="1:11" s="645" customFormat="1" ht="13">
      <c r="A136" s="109">
        <f t="shared" si="40"/>
        <v>96</v>
      </c>
      <c r="B136" s="611" t="s">
        <v>195</v>
      </c>
      <c r="C136" s="609">
        <v>2022</v>
      </c>
      <c r="D136" s="977">
        <v>0</v>
      </c>
      <c r="E136" s="63">
        <f>D136*'16-PlantAdditions'!$E$103</f>
        <v>0</v>
      </c>
      <c r="F136" s="63">
        <f t="shared" si="41"/>
        <v>0</v>
      </c>
      <c r="G136" s="977">
        <v>0</v>
      </c>
      <c r="H136" s="977">
        <v>0</v>
      </c>
      <c r="I136" s="63">
        <f>(G136-H136)*'16-PlantAdditions'!$E$103</f>
        <v>0</v>
      </c>
      <c r="J136" s="63">
        <f t="shared" si="42"/>
        <v>0</v>
      </c>
      <c r="K136" s="477">
        <f t="shared" si="43"/>
        <v>0</v>
      </c>
    </row>
    <row r="137" spans="1:11" s="645" customFormat="1" ht="13">
      <c r="A137" s="109">
        <f t="shared" si="40"/>
        <v>97</v>
      </c>
      <c r="B137" s="608" t="s">
        <v>183</v>
      </c>
      <c r="C137" s="609">
        <v>2022</v>
      </c>
      <c r="D137" s="977">
        <v>0</v>
      </c>
      <c r="E137" s="63">
        <f>D137*'16-PlantAdditions'!$E$103</f>
        <v>0</v>
      </c>
      <c r="F137" s="63">
        <f t="shared" si="41"/>
        <v>0</v>
      </c>
      <c r="G137" s="977">
        <v>0</v>
      </c>
      <c r="H137" s="977">
        <v>0</v>
      </c>
      <c r="I137" s="63">
        <f>(G137-H137)*'16-PlantAdditions'!$E$103</f>
        <v>0</v>
      </c>
      <c r="J137" s="63">
        <f t="shared" si="42"/>
        <v>0</v>
      </c>
      <c r="K137" s="477">
        <f t="shared" si="43"/>
        <v>0</v>
      </c>
    </row>
    <row r="138" spans="1:11" s="645" customFormat="1" ht="13">
      <c r="A138" s="109">
        <f t="shared" si="40"/>
        <v>98</v>
      </c>
      <c r="B138" s="611" t="s">
        <v>184</v>
      </c>
      <c r="C138" s="609">
        <v>2022</v>
      </c>
      <c r="D138" s="977">
        <v>0</v>
      </c>
      <c r="E138" s="63">
        <f>D138*'16-PlantAdditions'!$E$103</f>
        <v>0</v>
      </c>
      <c r="F138" s="63">
        <f t="shared" si="41"/>
        <v>0</v>
      </c>
      <c r="G138" s="977">
        <v>0</v>
      </c>
      <c r="H138" s="977">
        <v>0</v>
      </c>
      <c r="I138" s="63">
        <f>(G138-H138)*'16-PlantAdditions'!$E$103</f>
        <v>0</v>
      </c>
      <c r="J138" s="63">
        <f t="shared" si="42"/>
        <v>0</v>
      </c>
      <c r="K138" s="477">
        <f t="shared" si="43"/>
        <v>0</v>
      </c>
    </row>
    <row r="139" spans="1:11" s="645" customFormat="1" ht="13">
      <c r="A139" s="109">
        <f t="shared" si="40"/>
        <v>99</v>
      </c>
      <c r="B139" s="611" t="s">
        <v>1458</v>
      </c>
      <c r="C139" s="609">
        <v>2022</v>
      </c>
      <c r="D139" s="977">
        <v>0</v>
      </c>
      <c r="E139" s="63">
        <f>D139*'16-PlantAdditions'!$E$103</f>
        <v>0</v>
      </c>
      <c r="F139" s="63">
        <f t="shared" si="41"/>
        <v>0</v>
      </c>
      <c r="G139" s="977">
        <v>0</v>
      </c>
      <c r="H139" s="977">
        <v>0</v>
      </c>
      <c r="I139" s="63">
        <f>(G139-H139)*'16-PlantAdditions'!$E$103</f>
        <v>0</v>
      </c>
      <c r="J139" s="63">
        <f t="shared" si="42"/>
        <v>0</v>
      </c>
      <c r="K139" s="477">
        <f t="shared" si="43"/>
        <v>0</v>
      </c>
    </row>
    <row r="140" spans="1:11" s="645" customFormat="1" ht="13">
      <c r="A140" s="109">
        <f t="shared" si="40"/>
        <v>100</v>
      </c>
      <c r="B140" s="608" t="s">
        <v>186</v>
      </c>
      <c r="C140" s="609">
        <v>2022</v>
      </c>
      <c r="D140" s="977">
        <v>0</v>
      </c>
      <c r="E140" s="63">
        <f>D140*'16-PlantAdditions'!$E$103</f>
        <v>0</v>
      </c>
      <c r="F140" s="63">
        <f t="shared" si="41"/>
        <v>0</v>
      </c>
      <c r="G140" s="977">
        <v>0</v>
      </c>
      <c r="H140" s="977">
        <v>0</v>
      </c>
      <c r="I140" s="63">
        <f>(G140-H140)*'16-PlantAdditions'!$E$103</f>
        <v>0</v>
      </c>
      <c r="J140" s="63">
        <f t="shared" si="42"/>
        <v>0</v>
      </c>
      <c r="K140" s="477">
        <f t="shared" si="43"/>
        <v>0</v>
      </c>
    </row>
    <row r="141" spans="1:11" s="645" customFormat="1" ht="13">
      <c r="A141" s="109">
        <f t="shared" si="40"/>
        <v>101</v>
      </c>
      <c r="B141" s="611" t="s">
        <v>187</v>
      </c>
      <c r="C141" s="609">
        <v>2022</v>
      </c>
      <c r="D141" s="977">
        <v>0</v>
      </c>
      <c r="E141" s="63">
        <f>D141*'16-PlantAdditions'!$E$103</f>
        <v>0</v>
      </c>
      <c r="F141" s="63">
        <f t="shared" si="41"/>
        <v>0</v>
      </c>
      <c r="G141" s="977">
        <v>0</v>
      </c>
      <c r="H141" s="977">
        <v>0</v>
      </c>
      <c r="I141" s="63">
        <f>(G141-H141)*'16-PlantAdditions'!$E$103</f>
        <v>0</v>
      </c>
      <c r="J141" s="63">
        <f t="shared" si="42"/>
        <v>0</v>
      </c>
      <c r="K141" s="477">
        <f t="shared" si="43"/>
        <v>0</v>
      </c>
    </row>
    <row r="142" spans="1:11" s="645" customFormat="1" ht="13">
      <c r="A142" s="109">
        <f t="shared" si="40"/>
        <v>102</v>
      </c>
      <c r="B142" s="611" t="s">
        <v>188</v>
      </c>
      <c r="C142" s="609">
        <v>2022</v>
      </c>
      <c r="D142" s="977">
        <v>0</v>
      </c>
      <c r="E142" s="63">
        <f>D142*'16-PlantAdditions'!$E$103</f>
        <v>0</v>
      </c>
      <c r="F142" s="63">
        <f t="shared" si="41"/>
        <v>0</v>
      </c>
      <c r="G142" s="977">
        <v>0</v>
      </c>
      <c r="H142" s="977">
        <v>0</v>
      </c>
      <c r="I142" s="63">
        <f>(G142-H142)*'16-PlantAdditions'!$E$103</f>
        <v>0</v>
      </c>
      <c r="J142" s="63">
        <f t="shared" si="42"/>
        <v>0</v>
      </c>
      <c r="K142" s="477">
        <f t="shared" si="43"/>
        <v>0</v>
      </c>
    </row>
    <row r="143" spans="1:11" s="645" customFormat="1" ht="13">
      <c r="A143" s="109">
        <f t="shared" si="40"/>
        <v>103</v>
      </c>
      <c r="B143" s="611" t="s">
        <v>191</v>
      </c>
      <c r="C143" s="609">
        <v>2022</v>
      </c>
      <c r="D143" s="977">
        <v>0</v>
      </c>
      <c r="E143" s="63">
        <f>D143*'16-PlantAdditions'!$E$103</f>
        <v>0</v>
      </c>
      <c r="F143" s="63">
        <f t="shared" si="41"/>
        <v>0</v>
      </c>
      <c r="G143" s="977">
        <v>0</v>
      </c>
      <c r="H143" s="977">
        <v>0</v>
      </c>
      <c r="I143" s="63">
        <f>(G143-H143)*'16-PlantAdditions'!$E$103</f>
        <v>0</v>
      </c>
      <c r="J143" s="63">
        <f t="shared" si="42"/>
        <v>0</v>
      </c>
      <c r="K143" s="477">
        <f t="shared" si="43"/>
        <v>0</v>
      </c>
    </row>
    <row r="144" spans="1:11" s="645" customFormat="1" ht="13">
      <c r="A144" s="109">
        <f t="shared" si="40"/>
        <v>104</v>
      </c>
      <c r="B144" s="611" t="s">
        <v>190</v>
      </c>
      <c r="C144" s="609">
        <v>2022</v>
      </c>
      <c r="D144" s="977">
        <v>0</v>
      </c>
      <c r="E144" s="63">
        <f>D144*'16-PlantAdditions'!$E$103</f>
        <v>0</v>
      </c>
      <c r="F144" s="63">
        <f t="shared" si="41"/>
        <v>0</v>
      </c>
      <c r="G144" s="977">
        <v>0</v>
      </c>
      <c r="H144" s="977">
        <v>0</v>
      </c>
      <c r="I144" s="63">
        <f>(G144-H144)*'16-PlantAdditions'!$E$103</f>
        <v>0</v>
      </c>
      <c r="J144" s="63">
        <f t="shared" si="42"/>
        <v>0</v>
      </c>
      <c r="K144" s="477">
        <f t="shared" si="43"/>
        <v>0</v>
      </c>
    </row>
    <row r="145" spans="1:11" s="645" customFormat="1" ht="13">
      <c r="A145" s="109">
        <f t="shared" si="40"/>
        <v>105</v>
      </c>
      <c r="B145" s="611" t="s">
        <v>180</v>
      </c>
      <c r="C145" s="609">
        <v>2022</v>
      </c>
      <c r="D145" s="977">
        <v>0</v>
      </c>
      <c r="E145" s="63">
        <f>D145*'16-PlantAdditions'!$E$103</f>
        <v>0</v>
      </c>
      <c r="F145" s="63">
        <f t="shared" si="41"/>
        <v>0</v>
      </c>
      <c r="G145" s="977">
        <v>0</v>
      </c>
      <c r="H145" s="977">
        <v>0</v>
      </c>
      <c r="I145" s="63">
        <f>(G145-H145)*'16-PlantAdditions'!$E$103</f>
        <v>0</v>
      </c>
      <c r="J145" s="63">
        <f t="shared" si="42"/>
        <v>0</v>
      </c>
      <c r="K145" s="110">
        <f t="shared" si="43"/>
        <v>0</v>
      </c>
    </row>
    <row r="146" spans="1:11" s="645" customFormat="1" ht="13">
      <c r="A146" s="109">
        <f t="shared" si="40"/>
        <v>106</v>
      </c>
      <c r="B146"/>
      <c r="C146" s="644" t="s">
        <v>1603</v>
      </c>
      <c r="D146"/>
      <c r="E146"/>
      <c r="F146"/>
      <c r="G146"/>
      <c r="H146"/>
      <c r="I146"/>
      <c r="J146"/>
      <c r="K146" s="73">
        <f>AVERAGE(K133:K145)</f>
        <v>0</v>
      </c>
    </row>
    <row r="147" spans="1:11" s="645" customFormat="1" ht="13">
      <c r="A147" s="109"/>
      <c r="B147"/>
      <c r="C147" s="644"/>
      <c r="D147"/>
      <c r="E147"/>
      <c r="F147"/>
      <c r="G147"/>
      <c r="H147"/>
      <c r="I147"/>
      <c r="J147"/>
      <c r="K147" s="73"/>
    </row>
    <row r="148" spans="1:11" s="645" customFormat="1" ht="13">
      <c r="B148" s="646" t="s">
        <v>1931</v>
      </c>
      <c r="D148" s="1508" t="s">
        <v>2731</v>
      </c>
      <c r="E148" s="1508"/>
    </row>
    <row r="149" spans="1:11" s="645" customFormat="1" ht="13">
      <c r="B149" s="646"/>
      <c r="D149" s="640" t="s">
        <v>358</v>
      </c>
      <c r="E149" s="640" t="s">
        <v>342</v>
      </c>
      <c r="F149" s="640" t="s">
        <v>343</v>
      </c>
      <c r="G149" s="640" t="s">
        <v>344</v>
      </c>
      <c r="H149" s="640" t="s">
        <v>345</v>
      </c>
      <c r="I149" s="640" t="s">
        <v>346</v>
      </c>
      <c r="J149" s="640" t="s">
        <v>347</v>
      </c>
      <c r="K149" s="640" t="s">
        <v>534</v>
      </c>
    </row>
    <row r="150" spans="1:11" s="645" customFormat="1" ht="38">
      <c r="B150" s="646"/>
      <c r="D150" s="647"/>
      <c r="E150" s="648" t="s">
        <v>2061</v>
      </c>
      <c r="F150" s="649" t="s">
        <v>1927</v>
      </c>
      <c r="G150" s="525"/>
      <c r="H150" s="647"/>
      <c r="I150" s="648" t="s">
        <v>2062</v>
      </c>
      <c r="J150" s="648" t="s">
        <v>1928</v>
      </c>
      <c r="K150" s="648" t="s">
        <v>1929</v>
      </c>
    </row>
    <row r="151" spans="1:11" s="645" customFormat="1" ht="13">
      <c r="D151" s="647"/>
      <c r="E151" s="647"/>
      <c r="F151" s="647"/>
      <c r="G151" s="549" t="str">
        <f>G51</f>
        <v>Unloaded</v>
      </c>
      <c r="H151" s="647"/>
      <c r="I151" s="647"/>
    </row>
    <row r="152" spans="1:11" s="645" customFormat="1" ht="13">
      <c r="A152" s="642"/>
      <c r="B152" s="642"/>
      <c r="C152" s="642"/>
      <c r="D152" s="642" t="str">
        <f>D$52</f>
        <v>Forecast</v>
      </c>
      <c r="E152" s="642" t="str">
        <f t="shared" ref="E152:J152" si="44">E$52</f>
        <v>Corporate</v>
      </c>
      <c r="F152" s="642" t="str">
        <f t="shared" si="44"/>
        <v xml:space="preserve">Total </v>
      </c>
      <c r="G152" s="549" t="str">
        <f>G52</f>
        <v>Total</v>
      </c>
      <c r="H152" s="642" t="str">
        <f t="shared" si="44"/>
        <v>Prior Period</v>
      </c>
      <c r="I152" s="642" t="str">
        <f t="shared" si="44"/>
        <v>Over Heads</v>
      </c>
      <c r="J152" s="642" t="str">
        <f t="shared" si="44"/>
        <v>Forecast</v>
      </c>
      <c r="K152" s="549" t="str">
        <f>K$52</f>
        <v>Forecast Period</v>
      </c>
    </row>
    <row r="153" spans="1:11" s="645" customFormat="1" ht="13">
      <c r="A153" s="833" t="s">
        <v>329</v>
      </c>
      <c r="B153" s="607" t="s">
        <v>192</v>
      </c>
      <c r="C153" s="607" t="s">
        <v>193</v>
      </c>
      <c r="D153" s="640" t="str">
        <f>D$53</f>
        <v>Expenditures</v>
      </c>
      <c r="E153" s="640" t="str">
        <f t="shared" ref="E153:J153" si="45">E$53</f>
        <v>Overheads</v>
      </c>
      <c r="F153" s="640" t="str">
        <f t="shared" si="45"/>
        <v>CWIP Exp</v>
      </c>
      <c r="G153" s="122" t="str">
        <f>G53</f>
        <v>Plant Adds</v>
      </c>
      <c r="H153" s="640" t="str">
        <f t="shared" si="45"/>
        <v>CWIP Closed</v>
      </c>
      <c r="I153" s="640" t="str">
        <f t="shared" si="45"/>
        <v>Closed to PIS</v>
      </c>
      <c r="J153" s="640" t="str">
        <f t="shared" si="45"/>
        <v>Period CWIP</v>
      </c>
      <c r="K153" s="640" t="str">
        <f>K$53</f>
        <v>Incremental CWIP</v>
      </c>
    </row>
    <row r="154" spans="1:11" s="645" customFormat="1" ht="13">
      <c r="A154" s="109">
        <f>A146+1</f>
        <v>107</v>
      </c>
      <c r="B154" s="608" t="s">
        <v>180</v>
      </c>
      <c r="C154" s="609">
        <v>2020</v>
      </c>
      <c r="D154" s="649" t="s">
        <v>76</v>
      </c>
      <c r="E154" s="649" t="s">
        <v>76</v>
      </c>
      <c r="F154" s="649" t="s">
        <v>76</v>
      </c>
      <c r="G154" s="649" t="s">
        <v>76</v>
      </c>
      <c r="H154" s="649" t="s">
        <v>76</v>
      </c>
      <c r="I154" s="649" t="s">
        <v>76</v>
      </c>
      <c r="J154" s="63">
        <f>G25</f>
        <v>5772572.9199999999</v>
      </c>
      <c r="K154" s="649" t="s">
        <v>76</v>
      </c>
    </row>
    <row r="155" spans="1:11" s="645" customFormat="1" ht="13">
      <c r="A155" s="109">
        <f>A154+1</f>
        <v>108</v>
      </c>
      <c r="B155" s="608" t="s">
        <v>181</v>
      </c>
      <c r="C155" s="609">
        <v>2021</v>
      </c>
      <c r="D155" s="977">
        <v>18952</v>
      </c>
      <c r="E155" s="63">
        <f>D155*'16-PlantAdditions'!$E$103</f>
        <v>1421.3999999999999</v>
      </c>
      <c r="F155" s="63">
        <f>E155+D155</f>
        <v>20373.400000000001</v>
      </c>
      <c r="G155" s="977">
        <v>0</v>
      </c>
      <c r="H155" s="977">
        <v>0</v>
      </c>
      <c r="I155" s="63">
        <f>(G155-H155)*'16-PlantAdditions'!$E$103</f>
        <v>0</v>
      </c>
      <c r="J155" s="63">
        <f>J154+F155-G155-I155</f>
        <v>5792946.3200000003</v>
      </c>
      <c r="K155" s="63">
        <f>J155-$J$154</f>
        <v>20373.400000000373</v>
      </c>
    </row>
    <row r="156" spans="1:11" s="645" customFormat="1" ht="13">
      <c r="A156" s="109">
        <f t="shared" ref="A156:A179" si="46">A155+1</f>
        <v>109</v>
      </c>
      <c r="B156" s="611" t="s">
        <v>182</v>
      </c>
      <c r="C156" s="609">
        <v>2021</v>
      </c>
      <c r="D156" s="977">
        <v>14837</v>
      </c>
      <c r="E156" s="63">
        <f>D156*'16-PlantAdditions'!$E$103</f>
        <v>1112.7749999999999</v>
      </c>
      <c r="F156" s="63">
        <f t="shared" ref="F156:F178" si="47">E156+D156</f>
        <v>15949.775</v>
      </c>
      <c r="G156" s="977">
        <v>0</v>
      </c>
      <c r="H156" s="977">
        <v>0</v>
      </c>
      <c r="I156" s="63">
        <f>(G156-H156)*'16-PlantAdditions'!$E$103</f>
        <v>0</v>
      </c>
      <c r="J156" s="63">
        <f t="shared" ref="J156:J175" si="48">J155+F156-G156-I156</f>
        <v>5808896.0950000007</v>
      </c>
      <c r="K156" s="63">
        <f t="shared" ref="K156:K178" si="49">J156-$J$154</f>
        <v>36323.175000000745</v>
      </c>
    </row>
    <row r="157" spans="1:11" s="645" customFormat="1" ht="13">
      <c r="A157" s="109">
        <f t="shared" si="46"/>
        <v>110</v>
      </c>
      <c r="B157" s="611" t="s">
        <v>195</v>
      </c>
      <c r="C157" s="609">
        <v>2021</v>
      </c>
      <c r="D157" s="977">
        <v>12669</v>
      </c>
      <c r="E157" s="63">
        <f>D157*'16-PlantAdditions'!$E$103</f>
        <v>950.17499999999995</v>
      </c>
      <c r="F157" s="63">
        <f t="shared" si="47"/>
        <v>13619.174999999999</v>
      </c>
      <c r="G157" s="977">
        <v>0</v>
      </c>
      <c r="H157" s="977">
        <v>0</v>
      </c>
      <c r="I157" s="63">
        <f>(G157-H157)*'16-PlantAdditions'!$E$103</f>
        <v>0</v>
      </c>
      <c r="J157" s="63">
        <f t="shared" si="48"/>
        <v>5822515.2700000005</v>
      </c>
      <c r="K157" s="63">
        <f t="shared" si="49"/>
        <v>49942.350000000559</v>
      </c>
    </row>
    <row r="158" spans="1:11" s="645" customFormat="1" ht="13">
      <c r="A158" s="109">
        <f t="shared" si="46"/>
        <v>111</v>
      </c>
      <c r="B158" s="608" t="s">
        <v>183</v>
      </c>
      <c r="C158" s="609">
        <v>2021</v>
      </c>
      <c r="D158" s="977">
        <v>20000</v>
      </c>
      <c r="E158" s="63">
        <f>D158*'16-PlantAdditions'!$E$103</f>
        <v>1500</v>
      </c>
      <c r="F158" s="63">
        <f t="shared" si="47"/>
        <v>21500</v>
      </c>
      <c r="G158" s="977">
        <v>0</v>
      </c>
      <c r="H158" s="977">
        <v>0</v>
      </c>
      <c r="I158" s="63">
        <f>(G158-H158)*'16-PlantAdditions'!$E$103</f>
        <v>0</v>
      </c>
      <c r="J158" s="63">
        <f t="shared" si="48"/>
        <v>5844015.2700000005</v>
      </c>
      <c r="K158" s="63">
        <f t="shared" si="49"/>
        <v>71442.350000000559</v>
      </c>
    </row>
    <row r="159" spans="1:11" s="645" customFormat="1" ht="13">
      <c r="A159" s="109">
        <f t="shared" si="46"/>
        <v>112</v>
      </c>
      <c r="B159" s="611" t="s">
        <v>184</v>
      </c>
      <c r="C159" s="609">
        <v>2021</v>
      </c>
      <c r="D159" s="977">
        <v>20000</v>
      </c>
      <c r="E159" s="63">
        <f>D159*'16-PlantAdditions'!$E$103</f>
        <v>1500</v>
      </c>
      <c r="F159" s="63">
        <f t="shared" si="47"/>
        <v>21500</v>
      </c>
      <c r="G159" s="977">
        <v>0</v>
      </c>
      <c r="H159" s="977">
        <v>0</v>
      </c>
      <c r="I159" s="63">
        <f>(G159-H159)*'16-PlantAdditions'!$E$103</f>
        <v>0</v>
      </c>
      <c r="J159" s="63">
        <f t="shared" si="48"/>
        <v>5865515.2700000005</v>
      </c>
      <c r="K159" s="63">
        <f t="shared" si="49"/>
        <v>92942.350000000559</v>
      </c>
    </row>
    <row r="160" spans="1:11" s="645" customFormat="1" ht="13">
      <c r="A160" s="109">
        <f t="shared" si="46"/>
        <v>113</v>
      </c>
      <c r="B160" s="611" t="s">
        <v>1458</v>
      </c>
      <c r="C160" s="609">
        <v>2021</v>
      </c>
      <c r="D160" s="977">
        <v>20000</v>
      </c>
      <c r="E160" s="63">
        <f>D160*'16-PlantAdditions'!$E$103</f>
        <v>1500</v>
      </c>
      <c r="F160" s="63">
        <f t="shared" si="47"/>
        <v>21500</v>
      </c>
      <c r="G160" s="977">
        <v>0</v>
      </c>
      <c r="H160" s="977">
        <v>0</v>
      </c>
      <c r="I160" s="63">
        <f>(G160-H160)*'16-PlantAdditions'!$E$103</f>
        <v>0</v>
      </c>
      <c r="J160" s="63">
        <f t="shared" si="48"/>
        <v>5887015.2700000005</v>
      </c>
      <c r="K160" s="63">
        <f t="shared" si="49"/>
        <v>114442.35000000056</v>
      </c>
    </row>
    <row r="161" spans="1:11" s="645" customFormat="1" ht="13">
      <c r="A161" s="109">
        <f t="shared" si="46"/>
        <v>114</v>
      </c>
      <c r="B161" s="608" t="s">
        <v>186</v>
      </c>
      <c r="C161" s="609">
        <v>2021</v>
      </c>
      <c r="D161" s="977">
        <v>36211</v>
      </c>
      <c r="E161" s="63">
        <f>D161*'16-PlantAdditions'!$E$103</f>
        <v>2715.8249999999998</v>
      </c>
      <c r="F161" s="63">
        <f t="shared" si="47"/>
        <v>38926.824999999997</v>
      </c>
      <c r="G161" s="977">
        <v>0</v>
      </c>
      <c r="H161" s="977">
        <v>0</v>
      </c>
      <c r="I161" s="63">
        <f>(G161-H161)*'16-PlantAdditions'!$E$103</f>
        <v>0</v>
      </c>
      <c r="J161" s="63">
        <f t="shared" si="48"/>
        <v>5925942.0950000007</v>
      </c>
      <c r="K161" s="63">
        <f t="shared" si="49"/>
        <v>153369.17500000075</v>
      </c>
    </row>
    <row r="162" spans="1:11" s="645" customFormat="1" ht="13">
      <c r="A162" s="109">
        <f t="shared" si="46"/>
        <v>115</v>
      </c>
      <c r="B162" s="611" t="s">
        <v>187</v>
      </c>
      <c r="C162" s="609">
        <v>2021</v>
      </c>
      <c r="D162" s="977">
        <v>50000</v>
      </c>
      <c r="E162" s="63">
        <f>D162*'16-PlantAdditions'!$E$103</f>
        <v>3750</v>
      </c>
      <c r="F162" s="63">
        <f t="shared" si="47"/>
        <v>53750</v>
      </c>
      <c r="G162" s="977">
        <v>0</v>
      </c>
      <c r="H162" s="977">
        <v>0</v>
      </c>
      <c r="I162" s="63">
        <f>(G162-H162)*'16-PlantAdditions'!$E$103</f>
        <v>0</v>
      </c>
      <c r="J162" s="63">
        <f t="shared" si="48"/>
        <v>5979692.0950000007</v>
      </c>
      <c r="K162" s="63">
        <f t="shared" si="49"/>
        <v>207119.17500000075</v>
      </c>
    </row>
    <row r="163" spans="1:11" s="645" customFormat="1" ht="13">
      <c r="A163" s="109">
        <f t="shared" si="46"/>
        <v>116</v>
      </c>
      <c r="B163" s="611" t="s">
        <v>188</v>
      </c>
      <c r="C163" s="609">
        <v>2021</v>
      </c>
      <c r="D163" s="977">
        <v>50000</v>
      </c>
      <c r="E163" s="63">
        <f>D163*'16-PlantAdditions'!$E$103</f>
        <v>3750</v>
      </c>
      <c r="F163" s="63">
        <f t="shared" si="47"/>
        <v>53750</v>
      </c>
      <c r="G163" s="977">
        <v>0</v>
      </c>
      <c r="H163" s="977">
        <v>0</v>
      </c>
      <c r="I163" s="63">
        <f>(G163-H163)*'16-PlantAdditions'!$E$103</f>
        <v>0</v>
      </c>
      <c r="J163" s="63">
        <f t="shared" si="48"/>
        <v>6033442.0950000007</v>
      </c>
      <c r="K163" s="63">
        <f t="shared" si="49"/>
        <v>260869.17500000075</v>
      </c>
    </row>
    <row r="164" spans="1:11" s="645" customFormat="1" ht="13">
      <c r="A164" s="109">
        <f t="shared" si="46"/>
        <v>117</v>
      </c>
      <c r="B164" s="608" t="s">
        <v>191</v>
      </c>
      <c r="C164" s="609">
        <v>2021</v>
      </c>
      <c r="D164" s="977">
        <v>50000</v>
      </c>
      <c r="E164" s="63">
        <f>D164*'16-PlantAdditions'!$E$103</f>
        <v>3750</v>
      </c>
      <c r="F164" s="63">
        <f t="shared" si="47"/>
        <v>53750</v>
      </c>
      <c r="G164" s="977">
        <v>0</v>
      </c>
      <c r="H164" s="977">
        <v>0</v>
      </c>
      <c r="I164" s="63">
        <f>(G164-H164)*'16-PlantAdditions'!$E$103</f>
        <v>0</v>
      </c>
      <c r="J164" s="63">
        <f t="shared" si="48"/>
        <v>6087192.0950000007</v>
      </c>
      <c r="K164" s="63">
        <f t="shared" si="49"/>
        <v>314619.17500000075</v>
      </c>
    </row>
    <row r="165" spans="1:11" s="645" customFormat="1" ht="13">
      <c r="A165" s="109">
        <f t="shared" si="46"/>
        <v>118</v>
      </c>
      <c r="B165" s="608" t="s">
        <v>190</v>
      </c>
      <c r="C165" s="609">
        <v>2021</v>
      </c>
      <c r="D165" s="977">
        <v>50000</v>
      </c>
      <c r="E165" s="63">
        <f>D165*'16-PlantAdditions'!$E$103</f>
        <v>3750</v>
      </c>
      <c r="F165" s="63">
        <f t="shared" si="47"/>
        <v>53750</v>
      </c>
      <c r="G165" s="977">
        <v>0</v>
      </c>
      <c r="H165" s="977">
        <v>0</v>
      </c>
      <c r="I165" s="63">
        <f>(G165-H165)*'16-PlantAdditions'!$E$103</f>
        <v>0</v>
      </c>
      <c r="J165" s="63">
        <f t="shared" si="48"/>
        <v>6140942.0950000007</v>
      </c>
      <c r="K165" s="63">
        <f t="shared" si="49"/>
        <v>368369.17500000075</v>
      </c>
    </row>
    <row r="166" spans="1:11" s="645" customFormat="1" ht="13">
      <c r="A166" s="109">
        <f t="shared" si="46"/>
        <v>119</v>
      </c>
      <c r="B166" s="608" t="s">
        <v>180</v>
      </c>
      <c r="C166" s="609">
        <v>2021</v>
      </c>
      <c r="D166" s="977">
        <v>57331</v>
      </c>
      <c r="E166" s="63">
        <f>D166*'16-PlantAdditions'!$E$103</f>
        <v>4299.8249999999998</v>
      </c>
      <c r="F166" s="63">
        <f t="shared" si="47"/>
        <v>61630.824999999997</v>
      </c>
      <c r="G166" s="977">
        <v>0</v>
      </c>
      <c r="H166" s="977">
        <v>0</v>
      </c>
      <c r="I166" s="63">
        <f>(G166-H166)*'16-PlantAdditions'!$E$103</f>
        <v>0</v>
      </c>
      <c r="J166" s="63">
        <f t="shared" si="48"/>
        <v>6202572.9200000009</v>
      </c>
      <c r="K166" s="63">
        <f t="shared" si="49"/>
        <v>430000.00000000093</v>
      </c>
    </row>
    <row r="167" spans="1:11" s="645" customFormat="1" ht="13">
      <c r="A167" s="109">
        <f t="shared" si="46"/>
        <v>120</v>
      </c>
      <c r="B167" s="608" t="s">
        <v>181</v>
      </c>
      <c r="C167" s="609">
        <v>2022</v>
      </c>
      <c r="D167" s="977">
        <v>80000</v>
      </c>
      <c r="E167" s="63">
        <f>D167*'16-PlantAdditions'!$E$103</f>
        <v>6000</v>
      </c>
      <c r="F167" s="63">
        <f t="shared" si="47"/>
        <v>86000</v>
      </c>
      <c r="G167" s="977">
        <v>0</v>
      </c>
      <c r="H167" s="977">
        <v>0</v>
      </c>
      <c r="I167" s="63">
        <f>(G167-H167)*'16-PlantAdditions'!$E$103</f>
        <v>0</v>
      </c>
      <c r="J167" s="63">
        <f t="shared" si="48"/>
        <v>6288572.9200000009</v>
      </c>
      <c r="K167" s="63">
        <f t="shared" si="49"/>
        <v>516000.00000000093</v>
      </c>
    </row>
    <row r="168" spans="1:11" s="645" customFormat="1" ht="13">
      <c r="A168" s="109">
        <f t="shared" si="46"/>
        <v>121</v>
      </c>
      <c r="B168" s="611" t="s">
        <v>182</v>
      </c>
      <c r="C168" s="609">
        <v>2022</v>
      </c>
      <c r="D168" s="977">
        <v>80000</v>
      </c>
      <c r="E168" s="63">
        <f>D168*'16-PlantAdditions'!$E$103</f>
        <v>6000</v>
      </c>
      <c r="F168" s="63">
        <f t="shared" si="47"/>
        <v>86000</v>
      </c>
      <c r="G168" s="977">
        <v>0</v>
      </c>
      <c r="H168" s="977">
        <v>0</v>
      </c>
      <c r="I168" s="63">
        <f>(G168-H168)*'16-PlantAdditions'!$E$103</f>
        <v>0</v>
      </c>
      <c r="J168" s="63">
        <f t="shared" si="48"/>
        <v>6374572.9200000009</v>
      </c>
      <c r="K168" s="63">
        <f t="shared" si="49"/>
        <v>602000.00000000093</v>
      </c>
    </row>
    <row r="169" spans="1:11" s="645" customFormat="1" ht="13">
      <c r="A169" s="109">
        <f t="shared" si="46"/>
        <v>122</v>
      </c>
      <c r="B169" s="611" t="s">
        <v>195</v>
      </c>
      <c r="C169" s="609">
        <v>2022</v>
      </c>
      <c r="D169" s="977">
        <v>180000</v>
      </c>
      <c r="E169" s="63">
        <f>D169*'16-PlantAdditions'!$E$103</f>
        <v>13500</v>
      </c>
      <c r="F169" s="63">
        <f t="shared" si="47"/>
        <v>193500</v>
      </c>
      <c r="G169" s="977">
        <v>0</v>
      </c>
      <c r="H169" s="977">
        <v>0</v>
      </c>
      <c r="I169" s="63">
        <f>(G169-H169)*'16-PlantAdditions'!$E$103</f>
        <v>0</v>
      </c>
      <c r="J169" s="63">
        <f t="shared" si="48"/>
        <v>6568072.9200000009</v>
      </c>
      <c r="K169" s="63">
        <f t="shared" si="49"/>
        <v>795500.00000000093</v>
      </c>
    </row>
    <row r="170" spans="1:11" s="645" customFormat="1" ht="13">
      <c r="A170" s="109">
        <f t="shared" si="46"/>
        <v>123</v>
      </c>
      <c r="B170" s="608" t="s">
        <v>183</v>
      </c>
      <c r="C170" s="609">
        <v>2022</v>
      </c>
      <c r="D170" s="977">
        <v>180000</v>
      </c>
      <c r="E170" s="63">
        <f>D170*'16-PlantAdditions'!$E$103</f>
        <v>13500</v>
      </c>
      <c r="F170" s="63">
        <f t="shared" si="47"/>
        <v>193500</v>
      </c>
      <c r="G170" s="977">
        <v>0</v>
      </c>
      <c r="H170" s="977">
        <v>0</v>
      </c>
      <c r="I170" s="63">
        <f>(G170-H170)*'16-PlantAdditions'!$E$103</f>
        <v>0</v>
      </c>
      <c r="J170" s="63">
        <f t="shared" si="48"/>
        <v>6761572.9200000009</v>
      </c>
      <c r="K170" s="63">
        <f t="shared" si="49"/>
        <v>989000.00000000093</v>
      </c>
    </row>
    <row r="171" spans="1:11" s="645" customFormat="1" ht="13">
      <c r="A171" s="109">
        <f t="shared" si="46"/>
        <v>124</v>
      </c>
      <c r="B171" s="611" t="s">
        <v>184</v>
      </c>
      <c r="C171" s="609">
        <v>2022</v>
      </c>
      <c r="D171" s="977">
        <v>180000</v>
      </c>
      <c r="E171" s="63">
        <f>D171*'16-PlantAdditions'!$E$103</f>
        <v>13500</v>
      </c>
      <c r="F171" s="63">
        <f t="shared" si="47"/>
        <v>193500</v>
      </c>
      <c r="G171" s="977">
        <v>0</v>
      </c>
      <c r="H171" s="977">
        <v>0</v>
      </c>
      <c r="I171" s="63">
        <f>(G171-H171)*'16-PlantAdditions'!$E$103</f>
        <v>0</v>
      </c>
      <c r="J171" s="63">
        <f t="shared" si="48"/>
        <v>6955072.9200000009</v>
      </c>
      <c r="K171" s="63">
        <f t="shared" si="49"/>
        <v>1182500.0000000009</v>
      </c>
    </row>
    <row r="172" spans="1:11" s="645" customFormat="1" ht="13">
      <c r="A172" s="109">
        <f t="shared" si="46"/>
        <v>125</v>
      </c>
      <c r="B172" s="611" t="s">
        <v>1458</v>
      </c>
      <c r="C172" s="609">
        <v>2022</v>
      </c>
      <c r="D172" s="977">
        <v>180000</v>
      </c>
      <c r="E172" s="63">
        <f>D172*'16-PlantAdditions'!$E$103</f>
        <v>13500</v>
      </c>
      <c r="F172" s="63">
        <f t="shared" si="47"/>
        <v>193500</v>
      </c>
      <c r="G172" s="977">
        <v>0</v>
      </c>
      <c r="H172" s="977">
        <v>0</v>
      </c>
      <c r="I172" s="63">
        <f>(G172-H172)*'16-PlantAdditions'!$E$103</f>
        <v>0</v>
      </c>
      <c r="J172" s="63">
        <f t="shared" si="48"/>
        <v>7148572.9200000009</v>
      </c>
      <c r="K172" s="63">
        <f t="shared" si="49"/>
        <v>1376000.0000000009</v>
      </c>
    </row>
    <row r="173" spans="1:11" s="645" customFormat="1" ht="13">
      <c r="A173" s="109">
        <f t="shared" si="46"/>
        <v>126</v>
      </c>
      <c r="B173" s="608" t="s">
        <v>186</v>
      </c>
      <c r="C173" s="609">
        <v>2022</v>
      </c>
      <c r="D173" s="977">
        <v>180000</v>
      </c>
      <c r="E173" s="63">
        <f>D173*'16-PlantAdditions'!$E$103</f>
        <v>13500</v>
      </c>
      <c r="F173" s="63">
        <f t="shared" si="47"/>
        <v>193500</v>
      </c>
      <c r="G173" s="977">
        <v>0</v>
      </c>
      <c r="H173" s="977">
        <v>0</v>
      </c>
      <c r="I173" s="63">
        <f>(G173-H173)*'16-PlantAdditions'!$E$103</f>
        <v>0</v>
      </c>
      <c r="J173" s="63">
        <f t="shared" si="48"/>
        <v>7342072.9200000009</v>
      </c>
      <c r="K173" s="63">
        <f t="shared" si="49"/>
        <v>1569500.0000000009</v>
      </c>
    </row>
    <row r="174" spans="1:11" s="645" customFormat="1" ht="13">
      <c r="A174" s="109">
        <f t="shared" si="46"/>
        <v>127</v>
      </c>
      <c r="B174" s="611" t="s">
        <v>187</v>
      </c>
      <c r="C174" s="609">
        <v>2022</v>
      </c>
      <c r="D174" s="977">
        <v>1080000</v>
      </c>
      <c r="E174" s="63">
        <f>D174*'16-PlantAdditions'!$E$103</f>
        <v>81000</v>
      </c>
      <c r="F174" s="63">
        <f t="shared" si="47"/>
        <v>1161000</v>
      </c>
      <c r="G174" s="977">
        <v>0</v>
      </c>
      <c r="H174" s="977">
        <v>0</v>
      </c>
      <c r="I174" s="63">
        <f>(G174-H174)*'16-PlantAdditions'!$E$103</f>
        <v>0</v>
      </c>
      <c r="J174" s="63">
        <f t="shared" si="48"/>
        <v>8503072.9200000018</v>
      </c>
      <c r="K174" s="63">
        <f t="shared" si="49"/>
        <v>2730500.0000000019</v>
      </c>
    </row>
    <row r="175" spans="1:11" s="645" customFormat="1" ht="13">
      <c r="A175" s="109">
        <f t="shared" si="46"/>
        <v>128</v>
      </c>
      <c r="B175" s="611" t="s">
        <v>188</v>
      </c>
      <c r="C175" s="609">
        <v>2022</v>
      </c>
      <c r="D175" s="977">
        <v>1080000</v>
      </c>
      <c r="E175" s="63">
        <f>D175*'16-PlantAdditions'!$E$103</f>
        <v>81000</v>
      </c>
      <c r="F175" s="63">
        <f t="shared" si="47"/>
        <v>1161000</v>
      </c>
      <c r="G175" s="977">
        <v>0</v>
      </c>
      <c r="H175" s="977">
        <v>0</v>
      </c>
      <c r="I175" s="63">
        <f>(G175-H175)*'16-PlantAdditions'!$E$103</f>
        <v>0</v>
      </c>
      <c r="J175" s="63">
        <f t="shared" si="48"/>
        <v>9664072.9200000018</v>
      </c>
      <c r="K175" s="63">
        <f t="shared" si="49"/>
        <v>3891500.0000000019</v>
      </c>
    </row>
    <row r="176" spans="1:11" s="645" customFormat="1" ht="13">
      <c r="A176" s="109">
        <f t="shared" si="46"/>
        <v>129</v>
      </c>
      <c r="B176" s="611" t="s">
        <v>191</v>
      </c>
      <c r="C176" s="609">
        <v>2022</v>
      </c>
      <c r="D176" s="977">
        <v>1080000</v>
      </c>
      <c r="E176" s="63">
        <f>D176*'16-PlantAdditions'!$E$103</f>
        <v>81000</v>
      </c>
      <c r="F176" s="63">
        <f t="shared" si="47"/>
        <v>1161000</v>
      </c>
      <c r="G176" s="977">
        <v>0</v>
      </c>
      <c r="H176" s="977">
        <v>0</v>
      </c>
      <c r="I176" s="63">
        <f>(G176-H176)*'16-PlantAdditions'!$E$103</f>
        <v>0</v>
      </c>
      <c r="J176" s="63">
        <f t="shared" ref="J176:J178" si="50">J175+F176-G176-I176</f>
        <v>10825072.920000002</v>
      </c>
      <c r="K176" s="63">
        <f t="shared" si="49"/>
        <v>5052500.0000000019</v>
      </c>
    </row>
    <row r="177" spans="1:11" s="645" customFormat="1" ht="13">
      <c r="A177" s="109">
        <f t="shared" si="46"/>
        <v>130</v>
      </c>
      <c r="B177" s="611" t="s">
        <v>190</v>
      </c>
      <c r="C177" s="609">
        <v>2022</v>
      </c>
      <c r="D177" s="977">
        <v>1080000</v>
      </c>
      <c r="E177" s="63">
        <f>D177*'16-PlantAdditions'!$E$103</f>
        <v>81000</v>
      </c>
      <c r="F177" s="63">
        <f t="shared" si="47"/>
        <v>1161000</v>
      </c>
      <c r="G177" s="977">
        <v>0</v>
      </c>
      <c r="H177" s="977">
        <v>0</v>
      </c>
      <c r="I177" s="63">
        <f>(G177-H177)*'16-PlantAdditions'!$E$103</f>
        <v>0</v>
      </c>
      <c r="J177" s="63">
        <f t="shared" si="50"/>
        <v>11986072.920000002</v>
      </c>
      <c r="K177" s="63">
        <f t="shared" si="49"/>
        <v>6213500.0000000019</v>
      </c>
    </row>
    <row r="178" spans="1:11" s="645" customFormat="1" ht="13">
      <c r="A178" s="109">
        <f t="shared" si="46"/>
        <v>131</v>
      </c>
      <c r="B178" s="611" t="s">
        <v>180</v>
      </c>
      <c r="C178" s="609">
        <v>2022</v>
      </c>
      <c r="D178" s="977">
        <v>120000</v>
      </c>
      <c r="E178" s="63">
        <f>D178*'16-PlantAdditions'!$E$103</f>
        <v>9000</v>
      </c>
      <c r="F178" s="63">
        <f t="shared" si="47"/>
        <v>129000</v>
      </c>
      <c r="G178" s="977">
        <v>0</v>
      </c>
      <c r="H178" s="977">
        <v>0</v>
      </c>
      <c r="I178" s="63">
        <f>(G178-H178)*'16-PlantAdditions'!$E$103</f>
        <v>0</v>
      </c>
      <c r="J178" s="63">
        <f t="shared" si="50"/>
        <v>12115072.920000002</v>
      </c>
      <c r="K178" s="110">
        <f t="shared" si="49"/>
        <v>6342500.0000000019</v>
      </c>
    </row>
    <row r="179" spans="1:11" s="645" customFormat="1" ht="13">
      <c r="A179" s="109">
        <f t="shared" si="46"/>
        <v>132</v>
      </c>
      <c r="B179"/>
      <c r="C179" s="644" t="s">
        <v>1603</v>
      </c>
      <c r="D179"/>
      <c r="E179"/>
      <c r="F179"/>
      <c r="G179"/>
      <c r="H179"/>
      <c r="I179"/>
      <c r="J179"/>
      <c r="K179" s="73">
        <f>AVERAGE(K166:K178)</f>
        <v>2437769.2307692319</v>
      </c>
    </row>
    <row r="180" spans="1:11" s="645" customFormat="1" ht="13">
      <c r="A180" s="109"/>
      <c r="B180"/>
      <c r="C180" s="644"/>
      <c r="D180"/>
      <c r="E180"/>
      <c r="F180"/>
      <c r="G180"/>
      <c r="H180"/>
      <c r="I180"/>
      <c r="J180"/>
      <c r="K180" s="73"/>
    </row>
    <row r="181" spans="1:11" s="645" customFormat="1" ht="13">
      <c r="B181" s="646" t="s">
        <v>1932</v>
      </c>
      <c r="D181" s="1508" t="s">
        <v>2732</v>
      </c>
      <c r="E181" s="1508"/>
    </row>
    <row r="182" spans="1:11" s="645" customFormat="1" ht="13">
      <c r="A182" s="640"/>
      <c r="B182" s="640"/>
      <c r="C182" s="640"/>
      <c r="D182" s="640" t="s">
        <v>358</v>
      </c>
      <c r="E182" s="640" t="s">
        <v>342</v>
      </c>
      <c r="F182" s="640" t="s">
        <v>343</v>
      </c>
      <c r="G182" s="640" t="s">
        <v>344</v>
      </c>
      <c r="H182" s="640" t="s">
        <v>345</v>
      </c>
      <c r="I182" s="640" t="s">
        <v>346</v>
      </c>
      <c r="J182" s="640" t="s">
        <v>347</v>
      </c>
      <c r="K182" s="640" t="s">
        <v>534</v>
      </c>
    </row>
    <row r="183" spans="1:11" s="645" customFormat="1" ht="38">
      <c r="D183" s="647"/>
      <c r="E183" s="648" t="s">
        <v>2061</v>
      </c>
      <c r="F183" s="649" t="s">
        <v>1927</v>
      </c>
      <c r="G183" s="525"/>
      <c r="H183" s="647"/>
      <c r="I183" s="648" t="s">
        <v>2062</v>
      </c>
      <c r="J183" s="648" t="s">
        <v>1928</v>
      </c>
      <c r="K183" s="648" t="s">
        <v>1929</v>
      </c>
    </row>
    <row r="184" spans="1:11" s="645" customFormat="1" ht="13">
      <c r="D184" s="647"/>
      <c r="E184" s="648"/>
      <c r="F184" s="649"/>
      <c r="G184" s="4" t="str">
        <f>G51</f>
        <v>Unloaded</v>
      </c>
      <c r="H184" s="647"/>
      <c r="I184" s="648"/>
      <c r="J184" s="648"/>
      <c r="K184" s="648"/>
    </row>
    <row r="185" spans="1:11" s="645" customFormat="1" ht="13">
      <c r="A185" s="642"/>
      <c r="B185" s="642"/>
      <c r="C185" s="642"/>
      <c r="D185" s="642" t="str">
        <f>D$52</f>
        <v>Forecast</v>
      </c>
      <c r="E185" s="642" t="str">
        <f t="shared" ref="E185:J185" si="51">E$52</f>
        <v>Corporate</v>
      </c>
      <c r="F185" s="642" t="str">
        <f t="shared" si="51"/>
        <v xml:space="preserve">Total </v>
      </c>
      <c r="G185" s="4" t="str">
        <f>G52</f>
        <v>Total</v>
      </c>
      <c r="H185" s="642" t="str">
        <f t="shared" si="51"/>
        <v>Prior Period</v>
      </c>
      <c r="I185" s="642" t="str">
        <f t="shared" si="51"/>
        <v>Over Heads</v>
      </c>
      <c r="J185" s="642" t="str">
        <f t="shared" si="51"/>
        <v>Forecast</v>
      </c>
      <c r="K185" s="549" t="str">
        <f>K$52</f>
        <v>Forecast Period</v>
      </c>
    </row>
    <row r="186" spans="1:11" s="645" customFormat="1" ht="13">
      <c r="A186" s="833" t="s">
        <v>329</v>
      </c>
      <c r="B186" s="607" t="s">
        <v>192</v>
      </c>
      <c r="C186" s="607" t="s">
        <v>193</v>
      </c>
      <c r="D186" s="640" t="str">
        <f>D$53</f>
        <v>Expenditures</v>
      </c>
      <c r="E186" s="640" t="str">
        <f t="shared" ref="E186:J186" si="52">E$53</f>
        <v>Overheads</v>
      </c>
      <c r="F186" s="640" t="str">
        <f t="shared" si="52"/>
        <v>CWIP Exp</v>
      </c>
      <c r="G186" s="84" t="str">
        <f>G53</f>
        <v>Plant Adds</v>
      </c>
      <c r="H186" s="640" t="str">
        <f t="shared" si="52"/>
        <v>CWIP Closed</v>
      </c>
      <c r="I186" s="640" t="str">
        <f t="shared" si="52"/>
        <v>Closed to PIS</v>
      </c>
      <c r="J186" s="640" t="str">
        <f t="shared" si="52"/>
        <v>Period CWIP</v>
      </c>
      <c r="K186" s="640" t="str">
        <f>K$53</f>
        <v>Incremental CWIP</v>
      </c>
    </row>
    <row r="187" spans="1:11" s="645" customFormat="1" ht="13">
      <c r="A187" s="109">
        <f>A179+1</f>
        <v>133</v>
      </c>
      <c r="B187" s="608" t="s">
        <v>180</v>
      </c>
      <c r="C187" s="609">
        <v>2020</v>
      </c>
      <c r="D187" s="649" t="s">
        <v>76</v>
      </c>
      <c r="E187" s="649" t="s">
        <v>76</v>
      </c>
      <c r="F187" s="649" t="s">
        <v>76</v>
      </c>
      <c r="G187" s="649" t="s">
        <v>76</v>
      </c>
      <c r="H187" s="649" t="s">
        <v>76</v>
      </c>
      <c r="I187" s="649" t="s">
        <v>76</v>
      </c>
      <c r="J187" s="63">
        <f>H25</f>
        <v>650835316.65999997</v>
      </c>
      <c r="K187" s="649" t="s">
        <v>76</v>
      </c>
    </row>
    <row r="188" spans="1:11" s="645" customFormat="1" ht="13">
      <c r="A188" s="109">
        <f>A187+1</f>
        <v>134</v>
      </c>
      <c r="B188" s="608" t="s">
        <v>181</v>
      </c>
      <c r="C188" s="609">
        <v>2021</v>
      </c>
      <c r="D188" s="977">
        <v>5671306</v>
      </c>
      <c r="E188" s="63">
        <f>D188*'16-PlantAdditions'!$E$103</f>
        <v>425347.95</v>
      </c>
      <c r="F188" s="63">
        <f>E188+D188</f>
        <v>6096653.9500000002</v>
      </c>
      <c r="G188" s="977">
        <v>8467157.3200000003</v>
      </c>
      <c r="H188" s="977">
        <v>8293380.3200000003</v>
      </c>
      <c r="I188" s="63">
        <f>(G188-H188)*'16-PlantAdditions'!$E$103</f>
        <v>13033.275</v>
      </c>
      <c r="J188" s="63">
        <f>J187+F188-G188-I188</f>
        <v>648451780.01499999</v>
      </c>
      <c r="K188" s="63">
        <f>J188-$J$187</f>
        <v>-2383536.6449999809</v>
      </c>
    </row>
    <row r="189" spans="1:11" s="645" customFormat="1" ht="13">
      <c r="A189" s="109">
        <f t="shared" ref="A189:A212" si="53">A188+1</f>
        <v>135</v>
      </c>
      <c r="B189" s="611" t="s">
        <v>182</v>
      </c>
      <c r="C189" s="609">
        <v>2021</v>
      </c>
      <c r="D189" s="977">
        <v>7116907.9999999991</v>
      </c>
      <c r="E189" s="63">
        <f>D189*'16-PlantAdditions'!$E$103</f>
        <v>533768.09999999986</v>
      </c>
      <c r="F189" s="63">
        <f t="shared" ref="F189:F208" si="54">E189+D189</f>
        <v>7650676.0999999987</v>
      </c>
      <c r="G189" s="977">
        <v>130291</v>
      </c>
      <c r="H189" s="977">
        <v>0</v>
      </c>
      <c r="I189" s="63">
        <f>(G189-H189)*'16-PlantAdditions'!$E$103</f>
        <v>9771.8249999999989</v>
      </c>
      <c r="J189" s="63">
        <f t="shared" ref="J189:J208" si="55">J188+F189-G189-I189</f>
        <v>655962393.28999996</v>
      </c>
      <c r="K189" s="63">
        <f t="shared" ref="K189:K211" si="56">J189-$J$187</f>
        <v>5127076.6299999952</v>
      </c>
    </row>
    <row r="190" spans="1:11" s="645" customFormat="1" ht="13">
      <c r="A190" s="109">
        <f t="shared" si="53"/>
        <v>136</v>
      </c>
      <c r="B190" s="611" t="s">
        <v>195</v>
      </c>
      <c r="C190" s="609">
        <v>2021</v>
      </c>
      <c r="D190" s="977">
        <v>2053685</v>
      </c>
      <c r="E190" s="63">
        <f>D190*'16-PlantAdditions'!$E$103</f>
        <v>154026.375</v>
      </c>
      <c r="F190" s="63">
        <f t="shared" si="54"/>
        <v>2207711.375</v>
      </c>
      <c r="G190" s="977">
        <v>65883</v>
      </c>
      <c r="H190" s="977">
        <v>0</v>
      </c>
      <c r="I190" s="63">
        <f>(G190-H190)*'16-PlantAdditions'!$E$103</f>
        <v>4941.2249999999995</v>
      </c>
      <c r="J190" s="63">
        <f t="shared" si="55"/>
        <v>658099280.43999994</v>
      </c>
      <c r="K190" s="63">
        <f t="shared" si="56"/>
        <v>7263963.7799999714</v>
      </c>
    </row>
    <row r="191" spans="1:11" s="645" customFormat="1" ht="13">
      <c r="A191" s="109">
        <f t="shared" si="53"/>
        <v>137</v>
      </c>
      <c r="B191" s="608" t="s">
        <v>183</v>
      </c>
      <c r="C191" s="609">
        <v>2021</v>
      </c>
      <c r="D191" s="977">
        <v>5265000</v>
      </c>
      <c r="E191" s="63">
        <f>D191*'16-PlantAdditions'!$E$103</f>
        <v>394875</v>
      </c>
      <c r="F191" s="63">
        <f t="shared" si="54"/>
        <v>5659875</v>
      </c>
      <c r="G191" s="977">
        <v>55000</v>
      </c>
      <c r="H191" s="977">
        <v>0</v>
      </c>
      <c r="I191" s="63">
        <f>(G191-H191)*'16-PlantAdditions'!$E$103</f>
        <v>4125</v>
      </c>
      <c r="J191" s="63">
        <f t="shared" si="55"/>
        <v>663700030.43999994</v>
      </c>
      <c r="K191" s="63">
        <f t="shared" si="56"/>
        <v>12864713.779999971</v>
      </c>
    </row>
    <row r="192" spans="1:11" s="645" customFormat="1" ht="13">
      <c r="A192" s="109">
        <f t="shared" si="53"/>
        <v>138</v>
      </c>
      <c r="B192" s="611" t="s">
        <v>184</v>
      </c>
      <c r="C192" s="609">
        <v>2021</v>
      </c>
      <c r="D192" s="977">
        <v>4995000</v>
      </c>
      <c r="E192" s="63">
        <f>D192*'16-PlantAdditions'!$E$103</f>
        <v>374625</v>
      </c>
      <c r="F192" s="63">
        <f t="shared" si="54"/>
        <v>5369625</v>
      </c>
      <c r="G192" s="977">
        <v>652660876.0799998</v>
      </c>
      <c r="H192" s="977">
        <v>628527124.0799998</v>
      </c>
      <c r="I192" s="63">
        <f>(G192-H192)*'16-PlantAdditions'!$E$103</f>
        <v>1810031.4</v>
      </c>
      <c r="J192" s="63">
        <f t="shared" si="55"/>
        <v>14598747.960000133</v>
      </c>
      <c r="K192" s="63">
        <f t="shared" si="56"/>
        <v>-636236568.69999981</v>
      </c>
    </row>
    <row r="193" spans="1:11" s="645" customFormat="1" ht="13">
      <c r="A193" s="109">
        <f t="shared" si="53"/>
        <v>139</v>
      </c>
      <c r="B193" s="611" t="s">
        <v>1458</v>
      </c>
      <c r="C193" s="609">
        <v>2021</v>
      </c>
      <c r="D193" s="977">
        <v>4979136</v>
      </c>
      <c r="E193" s="63">
        <f>D193*'16-PlantAdditions'!$E$103</f>
        <v>373435.2</v>
      </c>
      <c r="F193" s="63">
        <f t="shared" si="54"/>
        <v>5352571.2</v>
      </c>
      <c r="G193" s="977">
        <v>4774136</v>
      </c>
      <c r="H193" s="977">
        <v>0</v>
      </c>
      <c r="I193" s="63">
        <f>(G193-H193)*'16-PlantAdditions'!$E$103</f>
        <v>358060.2</v>
      </c>
      <c r="J193" s="63">
        <f t="shared" si="55"/>
        <v>14819122.960000135</v>
      </c>
      <c r="K193" s="63">
        <f t="shared" si="56"/>
        <v>-636016193.69999981</v>
      </c>
    </row>
    <row r="194" spans="1:11" s="645" customFormat="1" ht="13">
      <c r="A194" s="109">
        <f t="shared" si="53"/>
        <v>140</v>
      </c>
      <c r="B194" s="608" t="s">
        <v>186</v>
      </c>
      <c r="C194" s="609">
        <v>2021</v>
      </c>
      <c r="D194" s="977">
        <v>2471053</v>
      </c>
      <c r="E194" s="63">
        <f>D194*'16-PlantAdditions'!$E$103</f>
        <v>185328.97500000001</v>
      </c>
      <c r="F194" s="63">
        <f t="shared" si="54"/>
        <v>2656381.9750000001</v>
      </c>
      <c r="G194" s="977">
        <v>8875265.7799999993</v>
      </c>
      <c r="H194" s="977">
        <v>6279995.7800000003</v>
      </c>
      <c r="I194" s="63">
        <f>(G194-H194)*'16-PlantAdditions'!$E$103</f>
        <v>194645.24999999991</v>
      </c>
      <c r="J194" s="63">
        <f t="shared" si="55"/>
        <v>8405593.9050001372</v>
      </c>
      <c r="K194" s="63">
        <f t="shared" si="56"/>
        <v>-642429722.75499988</v>
      </c>
    </row>
    <row r="195" spans="1:11" s="645" customFormat="1" ht="13">
      <c r="A195" s="109">
        <f t="shared" si="53"/>
        <v>141</v>
      </c>
      <c r="B195" s="611" t="s">
        <v>187</v>
      </c>
      <c r="C195" s="609">
        <v>2021</v>
      </c>
      <c r="D195" s="977">
        <v>2255000</v>
      </c>
      <c r="E195" s="63">
        <f>D195*'16-PlantAdditions'!$E$103</f>
        <v>169125</v>
      </c>
      <c r="F195" s="63">
        <f t="shared" si="54"/>
        <v>2424125</v>
      </c>
      <c r="G195" s="977">
        <v>2055000</v>
      </c>
      <c r="H195" s="977">
        <v>0</v>
      </c>
      <c r="I195" s="63">
        <f>(G195-H195)*'16-PlantAdditions'!$E$103</f>
        <v>154125</v>
      </c>
      <c r="J195" s="63">
        <f t="shared" si="55"/>
        <v>8620593.9050001372</v>
      </c>
      <c r="K195" s="63">
        <f t="shared" si="56"/>
        <v>-642214722.75499988</v>
      </c>
    </row>
    <row r="196" spans="1:11" s="645" customFormat="1" ht="13">
      <c r="A196" s="109">
        <f t="shared" si="53"/>
        <v>142</v>
      </c>
      <c r="B196" s="611" t="s">
        <v>188</v>
      </c>
      <c r="C196" s="609">
        <v>2021</v>
      </c>
      <c r="D196" s="977">
        <v>2205000</v>
      </c>
      <c r="E196" s="63">
        <f>D196*'16-PlantAdditions'!$E$103</f>
        <v>165375</v>
      </c>
      <c r="F196" s="63">
        <f t="shared" si="54"/>
        <v>2370375</v>
      </c>
      <c r="G196" s="977">
        <v>1805000</v>
      </c>
      <c r="H196" s="977">
        <v>0</v>
      </c>
      <c r="I196" s="63">
        <f>(G196-H196)*'16-PlantAdditions'!$E$103</f>
        <v>135375</v>
      </c>
      <c r="J196" s="63">
        <f t="shared" si="55"/>
        <v>9050593.9050001372</v>
      </c>
      <c r="K196" s="63">
        <f t="shared" si="56"/>
        <v>-641784722.75499988</v>
      </c>
    </row>
    <row r="197" spans="1:11" s="645" customFormat="1" ht="13">
      <c r="A197" s="109">
        <f t="shared" si="53"/>
        <v>143</v>
      </c>
      <c r="B197" s="608" t="s">
        <v>191</v>
      </c>
      <c r="C197" s="609">
        <v>2021</v>
      </c>
      <c r="D197" s="977">
        <v>2205000</v>
      </c>
      <c r="E197" s="63">
        <f>D197*'16-PlantAdditions'!$E$103</f>
        <v>165375</v>
      </c>
      <c r="F197" s="63">
        <f t="shared" si="54"/>
        <v>2370375</v>
      </c>
      <c r="G197" s="977">
        <v>1805000</v>
      </c>
      <c r="H197" s="977">
        <v>0</v>
      </c>
      <c r="I197" s="63">
        <f>(G197-H197)*'16-PlantAdditions'!$E$103</f>
        <v>135375</v>
      </c>
      <c r="J197" s="63">
        <f t="shared" si="55"/>
        <v>9480593.9050001372</v>
      </c>
      <c r="K197" s="63">
        <f t="shared" si="56"/>
        <v>-641354722.75499988</v>
      </c>
    </row>
    <row r="198" spans="1:11" s="645" customFormat="1" ht="13">
      <c r="A198" s="109">
        <f t="shared" si="53"/>
        <v>144</v>
      </c>
      <c r="B198" s="608" t="s">
        <v>190</v>
      </c>
      <c r="C198" s="609">
        <v>2021</v>
      </c>
      <c r="D198" s="977">
        <v>2605783</v>
      </c>
      <c r="E198" s="63">
        <f>D198*'16-PlantAdditions'!$E$103</f>
        <v>195433.72500000001</v>
      </c>
      <c r="F198" s="63">
        <f t="shared" si="54"/>
        <v>2801216.7250000001</v>
      </c>
      <c r="G198" s="977">
        <v>2205783</v>
      </c>
      <c r="H198" s="977">
        <v>0</v>
      </c>
      <c r="I198" s="63">
        <f>(G198-H198)*'16-PlantAdditions'!$E$103</f>
        <v>165433.72500000001</v>
      </c>
      <c r="J198" s="63">
        <f t="shared" si="55"/>
        <v>9910593.9050001372</v>
      </c>
      <c r="K198" s="63">
        <f t="shared" si="56"/>
        <v>-640924722.75499988</v>
      </c>
    </row>
    <row r="199" spans="1:11" s="645" customFormat="1" ht="13">
      <c r="A199" s="109">
        <f t="shared" si="53"/>
        <v>145</v>
      </c>
      <c r="B199" s="608" t="s">
        <v>180</v>
      </c>
      <c r="C199" s="609">
        <v>2021</v>
      </c>
      <c r="D199" s="977">
        <v>2579911</v>
      </c>
      <c r="E199" s="63">
        <f>D199*'16-PlantAdditions'!$E$103</f>
        <v>193493.32499999998</v>
      </c>
      <c r="F199" s="63">
        <f t="shared" si="54"/>
        <v>2773404.3250000002</v>
      </c>
      <c r="G199" s="977">
        <v>12338706.48</v>
      </c>
      <c r="H199" s="977">
        <v>7734816.4800000004</v>
      </c>
      <c r="I199" s="63">
        <f>(G199-H199)*'16-PlantAdditions'!$E$103</f>
        <v>345291.75</v>
      </c>
      <c r="J199" s="63">
        <f t="shared" si="55"/>
        <v>1.3783574104309082E-7</v>
      </c>
      <c r="K199" s="63">
        <f t="shared" si="56"/>
        <v>-650835316.65999985</v>
      </c>
    </row>
    <row r="200" spans="1:11" s="645" customFormat="1" ht="13">
      <c r="A200" s="109">
        <f t="shared" si="53"/>
        <v>146</v>
      </c>
      <c r="B200" s="608" t="s">
        <v>181</v>
      </c>
      <c r="C200" s="609">
        <v>2022</v>
      </c>
      <c r="D200" s="977">
        <v>1000000</v>
      </c>
      <c r="E200" s="63">
        <f>D200*'16-PlantAdditions'!$E$103</f>
        <v>75000</v>
      </c>
      <c r="F200" s="63">
        <f t="shared" si="54"/>
        <v>1075000</v>
      </c>
      <c r="G200" s="977">
        <v>1000000</v>
      </c>
      <c r="H200" s="977">
        <v>0</v>
      </c>
      <c r="I200" s="63">
        <f>(G200-H200)*'16-PlantAdditions'!$E$103</f>
        <v>75000</v>
      </c>
      <c r="J200" s="63">
        <f t="shared" si="55"/>
        <v>1.3783574104309082E-7</v>
      </c>
      <c r="K200" s="63">
        <f t="shared" si="56"/>
        <v>-650835316.65999985</v>
      </c>
    </row>
    <row r="201" spans="1:11" s="645" customFormat="1" ht="13">
      <c r="A201" s="109">
        <f t="shared" si="53"/>
        <v>147</v>
      </c>
      <c r="B201" s="611" t="s">
        <v>182</v>
      </c>
      <c r="C201" s="609">
        <v>2022</v>
      </c>
      <c r="D201" s="977">
        <v>1000000</v>
      </c>
      <c r="E201" s="63">
        <f>D201*'16-PlantAdditions'!$E$103</f>
        <v>75000</v>
      </c>
      <c r="F201" s="63">
        <f t="shared" si="54"/>
        <v>1075000</v>
      </c>
      <c r="G201" s="977">
        <v>1000000</v>
      </c>
      <c r="H201" s="977">
        <v>0</v>
      </c>
      <c r="I201" s="63">
        <f>(G201-H201)*'16-PlantAdditions'!$E$103</f>
        <v>75000</v>
      </c>
      <c r="J201" s="63">
        <f t="shared" si="55"/>
        <v>1.3783574104309082E-7</v>
      </c>
      <c r="K201" s="63">
        <f t="shared" si="56"/>
        <v>-650835316.65999985</v>
      </c>
    </row>
    <row r="202" spans="1:11" s="645" customFormat="1" ht="13">
      <c r="A202" s="109">
        <f t="shared" si="53"/>
        <v>148</v>
      </c>
      <c r="B202" s="611" t="s">
        <v>195</v>
      </c>
      <c r="C202" s="609">
        <v>2022</v>
      </c>
      <c r="D202" s="977">
        <v>1000000</v>
      </c>
      <c r="E202" s="63">
        <f>D202*'16-PlantAdditions'!$E$103</f>
        <v>75000</v>
      </c>
      <c r="F202" s="63">
        <f t="shared" si="54"/>
        <v>1075000</v>
      </c>
      <c r="G202" s="977">
        <v>1000000</v>
      </c>
      <c r="H202" s="977">
        <v>0</v>
      </c>
      <c r="I202" s="63">
        <f>(G202-H202)*'16-PlantAdditions'!$E$103</f>
        <v>75000</v>
      </c>
      <c r="J202" s="63">
        <f t="shared" si="55"/>
        <v>1.3783574104309082E-7</v>
      </c>
      <c r="K202" s="63">
        <f t="shared" si="56"/>
        <v>-650835316.65999985</v>
      </c>
    </row>
    <row r="203" spans="1:11" s="645" customFormat="1" ht="13">
      <c r="A203" s="109">
        <f t="shared" si="53"/>
        <v>149</v>
      </c>
      <c r="B203" s="608" t="s">
        <v>183</v>
      </c>
      <c r="C203" s="609">
        <v>2022</v>
      </c>
      <c r="D203" s="977">
        <v>1000000</v>
      </c>
      <c r="E203" s="63">
        <f>D203*'16-PlantAdditions'!$E$103</f>
        <v>75000</v>
      </c>
      <c r="F203" s="63">
        <f t="shared" si="54"/>
        <v>1075000</v>
      </c>
      <c r="G203" s="977">
        <v>1000000</v>
      </c>
      <c r="H203" s="977">
        <v>0</v>
      </c>
      <c r="I203" s="63">
        <f>(G203-H203)*'16-PlantAdditions'!$E$103</f>
        <v>75000</v>
      </c>
      <c r="J203" s="63">
        <f t="shared" si="55"/>
        <v>1.3783574104309082E-7</v>
      </c>
      <c r="K203" s="63">
        <f t="shared" si="56"/>
        <v>-650835316.65999985</v>
      </c>
    </row>
    <row r="204" spans="1:11" s="645" customFormat="1" ht="13">
      <c r="A204" s="109">
        <f t="shared" si="53"/>
        <v>150</v>
      </c>
      <c r="B204" s="611" t="s">
        <v>184</v>
      </c>
      <c r="C204" s="609">
        <v>2022</v>
      </c>
      <c r="D204" s="977">
        <v>1000000</v>
      </c>
      <c r="E204" s="63">
        <f>D204*'16-PlantAdditions'!$E$103</f>
        <v>75000</v>
      </c>
      <c r="F204" s="63">
        <f t="shared" si="54"/>
        <v>1075000</v>
      </c>
      <c r="G204" s="977">
        <v>1000000</v>
      </c>
      <c r="H204" s="977">
        <v>0</v>
      </c>
      <c r="I204" s="63">
        <f>(G204-H204)*'16-PlantAdditions'!$E$103</f>
        <v>75000</v>
      </c>
      <c r="J204" s="63">
        <f t="shared" si="55"/>
        <v>1.3783574104309082E-7</v>
      </c>
      <c r="K204" s="63">
        <f t="shared" si="56"/>
        <v>-650835316.65999985</v>
      </c>
    </row>
    <row r="205" spans="1:11" s="645" customFormat="1" ht="13">
      <c r="A205" s="109">
        <f t="shared" si="53"/>
        <v>151</v>
      </c>
      <c r="B205" s="611" t="s">
        <v>1458</v>
      </c>
      <c r="C205" s="609">
        <v>2022</v>
      </c>
      <c r="D205" s="977">
        <v>1000000</v>
      </c>
      <c r="E205" s="63">
        <f>D205*'16-PlantAdditions'!$E$103</f>
        <v>75000</v>
      </c>
      <c r="F205" s="63">
        <f t="shared" si="54"/>
        <v>1075000</v>
      </c>
      <c r="G205" s="977">
        <v>1000000</v>
      </c>
      <c r="H205" s="977">
        <v>0</v>
      </c>
      <c r="I205" s="63">
        <f>(G205-H205)*'16-PlantAdditions'!$E$103</f>
        <v>75000</v>
      </c>
      <c r="J205" s="63">
        <f t="shared" si="55"/>
        <v>1.3783574104309082E-7</v>
      </c>
      <c r="K205" s="63">
        <f t="shared" si="56"/>
        <v>-650835316.65999985</v>
      </c>
    </row>
    <row r="206" spans="1:11" s="645" customFormat="1" ht="13">
      <c r="A206" s="109">
        <f t="shared" si="53"/>
        <v>152</v>
      </c>
      <c r="B206" s="608" t="s">
        <v>186</v>
      </c>
      <c r="C206" s="609">
        <v>2022</v>
      </c>
      <c r="D206" s="977">
        <v>1000000</v>
      </c>
      <c r="E206" s="63">
        <f>D206*'16-PlantAdditions'!$E$103</f>
        <v>75000</v>
      </c>
      <c r="F206" s="63">
        <f t="shared" si="54"/>
        <v>1075000</v>
      </c>
      <c r="G206" s="977">
        <v>1000000</v>
      </c>
      <c r="H206" s="977">
        <v>0</v>
      </c>
      <c r="I206" s="63">
        <f>(G206-H206)*'16-PlantAdditions'!$E$103</f>
        <v>75000</v>
      </c>
      <c r="J206" s="63">
        <f t="shared" si="55"/>
        <v>1.3783574104309082E-7</v>
      </c>
      <c r="K206" s="63">
        <f t="shared" si="56"/>
        <v>-650835316.65999985</v>
      </c>
    </row>
    <row r="207" spans="1:11" s="645" customFormat="1" ht="13">
      <c r="A207" s="109">
        <f t="shared" si="53"/>
        <v>153</v>
      </c>
      <c r="B207" s="611" t="s">
        <v>187</v>
      </c>
      <c r="C207" s="609">
        <v>2022</v>
      </c>
      <c r="D207" s="977">
        <v>1000000</v>
      </c>
      <c r="E207" s="63">
        <f>D207*'16-PlantAdditions'!$E$103</f>
        <v>75000</v>
      </c>
      <c r="F207" s="63">
        <f t="shared" si="54"/>
        <v>1075000</v>
      </c>
      <c r="G207" s="977">
        <v>1000000</v>
      </c>
      <c r="H207" s="977">
        <v>0</v>
      </c>
      <c r="I207" s="63">
        <f>(G207-H207)*'16-PlantAdditions'!$E$103</f>
        <v>75000</v>
      </c>
      <c r="J207" s="63">
        <f t="shared" si="55"/>
        <v>1.3783574104309082E-7</v>
      </c>
      <c r="K207" s="63">
        <f t="shared" si="56"/>
        <v>-650835316.65999985</v>
      </c>
    </row>
    <row r="208" spans="1:11" s="645" customFormat="1" ht="13">
      <c r="A208" s="109">
        <f t="shared" si="53"/>
        <v>154</v>
      </c>
      <c r="B208" s="611" t="s">
        <v>188</v>
      </c>
      <c r="C208" s="609">
        <v>2022</v>
      </c>
      <c r="D208" s="977">
        <v>1000000</v>
      </c>
      <c r="E208" s="63">
        <f>D208*'16-PlantAdditions'!$E$103</f>
        <v>75000</v>
      </c>
      <c r="F208" s="63">
        <f t="shared" si="54"/>
        <v>1075000</v>
      </c>
      <c r="G208" s="977">
        <v>1000000</v>
      </c>
      <c r="H208" s="977">
        <v>0</v>
      </c>
      <c r="I208" s="63">
        <f>(G208-H208)*'16-PlantAdditions'!$E$103</f>
        <v>75000</v>
      </c>
      <c r="J208" s="63">
        <f t="shared" si="55"/>
        <v>1.3783574104309082E-7</v>
      </c>
      <c r="K208" s="63">
        <f t="shared" si="56"/>
        <v>-650835316.65999985</v>
      </c>
    </row>
    <row r="209" spans="1:11" s="645" customFormat="1" ht="13">
      <c r="A209" s="109">
        <f t="shared" si="53"/>
        <v>155</v>
      </c>
      <c r="B209" s="611" t="s">
        <v>191</v>
      </c>
      <c r="C209" s="609">
        <v>2022</v>
      </c>
      <c r="D209" s="977">
        <v>900000</v>
      </c>
      <c r="E209" s="63">
        <f>D209*'16-PlantAdditions'!$E$103</f>
        <v>67500</v>
      </c>
      <c r="F209" s="63">
        <f t="shared" ref="F209:F211" si="57">E209+D209</f>
        <v>967500</v>
      </c>
      <c r="G209" s="977">
        <v>900000</v>
      </c>
      <c r="H209" s="977">
        <v>0</v>
      </c>
      <c r="I209" s="63">
        <f>(G209-H209)*'16-PlantAdditions'!$E$103</f>
        <v>67500</v>
      </c>
      <c r="J209" s="63">
        <f t="shared" ref="J209:J211" si="58">J208+F209-G209-I209</f>
        <v>1.3783574104309082E-7</v>
      </c>
      <c r="K209" s="63">
        <f t="shared" si="56"/>
        <v>-650835316.65999985</v>
      </c>
    </row>
    <row r="210" spans="1:11" s="645" customFormat="1" ht="13">
      <c r="A210" s="109">
        <f t="shared" si="53"/>
        <v>156</v>
      </c>
      <c r="B210" s="611" t="s">
        <v>190</v>
      </c>
      <c r="C210" s="609">
        <v>2022</v>
      </c>
      <c r="D210" s="977">
        <v>850000</v>
      </c>
      <c r="E210" s="63">
        <f>D210*'16-PlantAdditions'!$E$103</f>
        <v>63750</v>
      </c>
      <c r="F210" s="63">
        <f t="shared" si="57"/>
        <v>913750</v>
      </c>
      <c r="G210" s="977">
        <v>850000</v>
      </c>
      <c r="H210" s="977">
        <v>0</v>
      </c>
      <c r="I210" s="63">
        <f>(G210-H210)*'16-PlantAdditions'!$E$103</f>
        <v>63750</v>
      </c>
      <c r="J210" s="63">
        <f t="shared" si="58"/>
        <v>1.3783574104309082E-7</v>
      </c>
      <c r="K210" s="63">
        <f t="shared" si="56"/>
        <v>-650835316.65999985</v>
      </c>
    </row>
    <row r="211" spans="1:11" s="645" customFormat="1" ht="13">
      <c r="A211" s="109">
        <f t="shared" si="53"/>
        <v>157</v>
      </c>
      <c r="B211" s="611" t="s">
        <v>180</v>
      </c>
      <c r="C211" s="609">
        <v>2022</v>
      </c>
      <c r="D211" s="977">
        <v>967430</v>
      </c>
      <c r="E211" s="63">
        <f>D211*'16-PlantAdditions'!$E$103</f>
        <v>72557.25</v>
      </c>
      <c r="F211" s="63">
        <f t="shared" si="57"/>
        <v>1039987.25</v>
      </c>
      <c r="G211" s="977">
        <v>967430</v>
      </c>
      <c r="H211" s="977">
        <v>0</v>
      </c>
      <c r="I211" s="63">
        <f>(G211-H211)*'16-PlantAdditions'!$E$103</f>
        <v>72557.25</v>
      </c>
      <c r="J211" s="63">
        <f t="shared" si="58"/>
        <v>1.3783574104309082E-7</v>
      </c>
      <c r="K211" s="110">
        <f t="shared" si="56"/>
        <v>-650835316.65999985</v>
      </c>
    </row>
    <row r="212" spans="1:11" s="645" customFormat="1" ht="13">
      <c r="A212" s="109">
        <f t="shared" si="53"/>
        <v>158</v>
      </c>
      <c r="B212"/>
      <c r="C212" s="644" t="s">
        <v>1603</v>
      </c>
      <c r="D212"/>
      <c r="E212"/>
      <c r="F212"/>
      <c r="G212"/>
      <c r="H212"/>
      <c r="I212"/>
      <c r="J212"/>
      <c r="K212" s="73">
        <f>AVERAGE(K199:K211)</f>
        <v>-650835316.65999985</v>
      </c>
    </row>
    <row r="213" spans="1:11" s="645" customFormat="1" ht="13">
      <c r="A213" s="109"/>
      <c r="B213"/>
      <c r="C213" s="644"/>
      <c r="D213"/>
      <c r="E213"/>
      <c r="F213"/>
      <c r="G213"/>
      <c r="H213"/>
      <c r="I213"/>
      <c r="J213"/>
      <c r="K213" s="73"/>
    </row>
    <row r="214" spans="1:11" s="645" customFormat="1" ht="13">
      <c r="B214" s="646" t="s">
        <v>1933</v>
      </c>
      <c r="D214" s="1508" t="s">
        <v>538</v>
      </c>
      <c r="E214" s="1508"/>
    </row>
    <row r="215" spans="1:11" s="645" customFormat="1" ht="13">
      <c r="B215" s="646"/>
      <c r="D215" s="640" t="s">
        <v>358</v>
      </c>
      <c r="E215" s="640" t="s">
        <v>342</v>
      </c>
      <c r="F215" s="640" t="s">
        <v>343</v>
      </c>
      <c r="G215" s="640" t="s">
        <v>344</v>
      </c>
      <c r="H215" s="640" t="s">
        <v>345</v>
      </c>
      <c r="I215" s="640" t="s">
        <v>346</v>
      </c>
      <c r="J215" s="640" t="s">
        <v>347</v>
      </c>
      <c r="K215" s="640" t="s">
        <v>534</v>
      </c>
    </row>
    <row r="216" spans="1:11" s="645" customFormat="1" ht="38">
      <c r="B216" s="646"/>
      <c r="D216" s="647"/>
      <c r="E216" s="648" t="s">
        <v>2061</v>
      </c>
      <c r="F216" s="649" t="s">
        <v>1927</v>
      </c>
      <c r="G216" s="525"/>
      <c r="H216" s="647"/>
      <c r="I216" s="648" t="s">
        <v>2062</v>
      </c>
      <c r="J216" s="648" t="s">
        <v>1928</v>
      </c>
      <c r="K216" s="648" t="s">
        <v>1929</v>
      </c>
    </row>
    <row r="217" spans="1:11" s="645" customFormat="1" ht="13">
      <c r="D217" s="647"/>
      <c r="E217" s="647"/>
      <c r="F217" s="647"/>
      <c r="G217" s="549" t="str">
        <f>G51</f>
        <v>Unloaded</v>
      </c>
      <c r="H217" s="647"/>
      <c r="I217" s="647"/>
    </row>
    <row r="218" spans="1:11" s="645" customFormat="1" ht="13">
      <c r="A218" s="642"/>
      <c r="B218" s="642"/>
      <c r="C218" s="642"/>
      <c r="D218" s="642" t="str">
        <f>D$52</f>
        <v>Forecast</v>
      </c>
      <c r="E218" s="642" t="str">
        <f t="shared" ref="E218:J218" si="59">E$52</f>
        <v>Corporate</v>
      </c>
      <c r="F218" s="642" t="str">
        <f t="shared" si="59"/>
        <v xml:space="preserve">Total </v>
      </c>
      <c r="G218" s="549" t="str">
        <f>G52</f>
        <v>Total</v>
      </c>
      <c r="H218" s="642" t="str">
        <f t="shared" si="59"/>
        <v>Prior Period</v>
      </c>
      <c r="I218" s="642" t="str">
        <f t="shared" si="59"/>
        <v>Over Heads</v>
      </c>
      <c r="J218" s="642" t="str">
        <f t="shared" si="59"/>
        <v>Forecast</v>
      </c>
      <c r="K218" s="549" t="str">
        <f>K$52</f>
        <v>Forecast Period</v>
      </c>
    </row>
    <row r="219" spans="1:11" s="645" customFormat="1" ht="13">
      <c r="A219" s="833" t="s">
        <v>329</v>
      </c>
      <c r="B219" s="607" t="s">
        <v>192</v>
      </c>
      <c r="C219" s="607" t="s">
        <v>193</v>
      </c>
      <c r="D219" s="640" t="str">
        <f>D$53</f>
        <v>Expenditures</v>
      </c>
      <c r="E219" s="640" t="str">
        <f t="shared" ref="E219:J219" si="60">E$53</f>
        <v>Overheads</v>
      </c>
      <c r="F219" s="640" t="str">
        <f t="shared" si="60"/>
        <v>CWIP Exp</v>
      </c>
      <c r="G219" s="122" t="str">
        <f>G53</f>
        <v>Plant Adds</v>
      </c>
      <c r="H219" s="640" t="str">
        <f t="shared" si="60"/>
        <v>CWIP Closed</v>
      </c>
      <c r="I219" s="640" t="str">
        <f t="shared" si="60"/>
        <v>Closed to PIS</v>
      </c>
      <c r="J219" s="640" t="str">
        <f t="shared" si="60"/>
        <v>Period CWIP</v>
      </c>
      <c r="K219" s="640" t="str">
        <f>K$53</f>
        <v>Incremental CWIP</v>
      </c>
    </row>
    <row r="220" spans="1:11" s="645" customFormat="1" ht="13">
      <c r="A220" s="109">
        <f>A212+1</f>
        <v>159</v>
      </c>
      <c r="B220" s="608" t="s">
        <v>180</v>
      </c>
      <c r="C220" s="609">
        <v>2020</v>
      </c>
      <c r="D220" s="649" t="s">
        <v>76</v>
      </c>
      <c r="E220" s="649" t="s">
        <v>76</v>
      </c>
      <c r="F220" s="649" t="s">
        <v>76</v>
      </c>
      <c r="G220" s="649" t="s">
        <v>76</v>
      </c>
      <c r="H220" s="649" t="s">
        <v>76</v>
      </c>
      <c r="I220" s="649" t="s">
        <v>76</v>
      </c>
      <c r="J220" s="63">
        <f>I25</f>
        <v>0</v>
      </c>
      <c r="K220" s="649" t="s">
        <v>76</v>
      </c>
    </row>
    <row r="221" spans="1:11" s="645" customFormat="1" ht="13">
      <c r="A221" s="109">
        <f>A220+1</f>
        <v>160</v>
      </c>
      <c r="B221" s="608" t="s">
        <v>181</v>
      </c>
      <c r="C221" s="609">
        <v>2021</v>
      </c>
      <c r="D221" s="977">
        <v>0</v>
      </c>
      <c r="E221" s="63">
        <f>D221*'16-PlantAdditions'!$E$103</f>
        <v>0</v>
      </c>
      <c r="F221" s="63">
        <f>E221+D221</f>
        <v>0</v>
      </c>
      <c r="G221" s="977">
        <v>0</v>
      </c>
      <c r="H221" s="977">
        <v>0</v>
      </c>
      <c r="I221" s="63">
        <f>(G221-H221)*'16-PlantAdditions'!$E$103</f>
        <v>0</v>
      </c>
      <c r="J221" s="63">
        <f>J220+F221-G221-I221</f>
        <v>0</v>
      </c>
      <c r="K221" s="63">
        <f>J221-$J$220</f>
        <v>0</v>
      </c>
    </row>
    <row r="222" spans="1:11" s="645" customFormat="1" ht="13">
      <c r="A222" s="109">
        <f t="shared" ref="A222:A245" si="61">A221+1</f>
        <v>161</v>
      </c>
      <c r="B222" s="611" t="s">
        <v>182</v>
      </c>
      <c r="C222" s="609">
        <v>2021</v>
      </c>
      <c r="D222" s="977">
        <v>0</v>
      </c>
      <c r="E222" s="63">
        <f>D222*'16-PlantAdditions'!$E$103</f>
        <v>0</v>
      </c>
      <c r="F222" s="63">
        <f t="shared" ref="F222:F241" si="62">E222+D222</f>
        <v>0</v>
      </c>
      <c r="G222" s="977">
        <v>0</v>
      </c>
      <c r="H222" s="977">
        <v>0</v>
      </c>
      <c r="I222" s="63">
        <f>(G222-H222)*'16-PlantAdditions'!$E$103</f>
        <v>0</v>
      </c>
      <c r="J222" s="63">
        <f t="shared" ref="J222:J241" si="63">J221+F222-G222-I222</f>
        <v>0</v>
      </c>
      <c r="K222" s="63">
        <f t="shared" ref="K222:K244" si="64">J222-$J$220</f>
        <v>0</v>
      </c>
    </row>
    <row r="223" spans="1:11" s="645" customFormat="1" ht="13">
      <c r="A223" s="109">
        <f t="shared" si="61"/>
        <v>162</v>
      </c>
      <c r="B223" s="611" t="s">
        <v>195</v>
      </c>
      <c r="C223" s="609">
        <v>2021</v>
      </c>
      <c r="D223" s="977">
        <v>0</v>
      </c>
      <c r="E223" s="63">
        <f>D223*'16-PlantAdditions'!$E$103</f>
        <v>0</v>
      </c>
      <c r="F223" s="63">
        <f t="shared" si="62"/>
        <v>0</v>
      </c>
      <c r="G223" s="977">
        <v>0</v>
      </c>
      <c r="H223" s="977">
        <v>0</v>
      </c>
      <c r="I223" s="63">
        <f>(G223-H223)*'16-PlantAdditions'!$E$103</f>
        <v>0</v>
      </c>
      <c r="J223" s="63">
        <f t="shared" si="63"/>
        <v>0</v>
      </c>
      <c r="K223" s="63">
        <f t="shared" si="64"/>
        <v>0</v>
      </c>
    </row>
    <row r="224" spans="1:11" s="645" customFormat="1" ht="13">
      <c r="A224" s="109">
        <f t="shared" si="61"/>
        <v>163</v>
      </c>
      <c r="B224" s="608" t="s">
        <v>183</v>
      </c>
      <c r="C224" s="609">
        <v>2021</v>
      </c>
      <c r="D224" s="977">
        <v>0</v>
      </c>
      <c r="E224" s="63">
        <f>D224*'16-PlantAdditions'!$E$103</f>
        <v>0</v>
      </c>
      <c r="F224" s="63">
        <f t="shared" si="62"/>
        <v>0</v>
      </c>
      <c r="G224" s="977">
        <v>0</v>
      </c>
      <c r="H224" s="977">
        <v>0</v>
      </c>
      <c r="I224" s="63">
        <f>(G224-H224)*'16-PlantAdditions'!$E$103</f>
        <v>0</v>
      </c>
      <c r="J224" s="63">
        <f t="shared" si="63"/>
        <v>0</v>
      </c>
      <c r="K224" s="63">
        <f t="shared" si="64"/>
        <v>0</v>
      </c>
    </row>
    <row r="225" spans="1:11" s="645" customFormat="1" ht="13">
      <c r="A225" s="109">
        <f t="shared" si="61"/>
        <v>164</v>
      </c>
      <c r="B225" s="611" t="s">
        <v>184</v>
      </c>
      <c r="C225" s="609">
        <v>2021</v>
      </c>
      <c r="D225" s="977">
        <v>0</v>
      </c>
      <c r="E225" s="63">
        <f>D225*'16-PlantAdditions'!$E$103</f>
        <v>0</v>
      </c>
      <c r="F225" s="63">
        <f t="shared" si="62"/>
        <v>0</v>
      </c>
      <c r="G225" s="977">
        <v>0</v>
      </c>
      <c r="H225" s="977">
        <v>0</v>
      </c>
      <c r="I225" s="63">
        <f>(G225-H225)*'16-PlantAdditions'!$E$103</f>
        <v>0</v>
      </c>
      <c r="J225" s="63">
        <f t="shared" si="63"/>
        <v>0</v>
      </c>
      <c r="K225" s="63">
        <f t="shared" si="64"/>
        <v>0</v>
      </c>
    </row>
    <row r="226" spans="1:11" s="645" customFormat="1" ht="13">
      <c r="A226" s="109">
        <f t="shared" si="61"/>
        <v>165</v>
      </c>
      <c r="B226" s="611" t="s">
        <v>1458</v>
      </c>
      <c r="C226" s="609">
        <v>2021</v>
      </c>
      <c r="D226" s="977">
        <v>0</v>
      </c>
      <c r="E226" s="63">
        <f>D226*'16-PlantAdditions'!$E$103</f>
        <v>0</v>
      </c>
      <c r="F226" s="63">
        <f t="shared" si="62"/>
        <v>0</v>
      </c>
      <c r="G226" s="977">
        <v>0</v>
      </c>
      <c r="H226" s="977">
        <v>0</v>
      </c>
      <c r="I226" s="63">
        <f>(G226-H226)*'16-PlantAdditions'!$E$103</f>
        <v>0</v>
      </c>
      <c r="J226" s="63">
        <f t="shared" si="63"/>
        <v>0</v>
      </c>
      <c r="K226" s="63">
        <f t="shared" si="64"/>
        <v>0</v>
      </c>
    </row>
    <row r="227" spans="1:11" s="645" customFormat="1" ht="13">
      <c r="A227" s="109">
        <f t="shared" si="61"/>
        <v>166</v>
      </c>
      <c r="B227" s="608" t="s">
        <v>186</v>
      </c>
      <c r="C227" s="609">
        <v>2021</v>
      </c>
      <c r="D227" s="977">
        <v>0</v>
      </c>
      <c r="E227" s="63">
        <f>D227*'16-PlantAdditions'!$E$103</f>
        <v>0</v>
      </c>
      <c r="F227" s="63">
        <f t="shared" si="62"/>
        <v>0</v>
      </c>
      <c r="G227" s="977">
        <v>0</v>
      </c>
      <c r="H227" s="977">
        <v>0</v>
      </c>
      <c r="I227" s="63">
        <f>(G227-H227)*'16-PlantAdditions'!$E$103</f>
        <v>0</v>
      </c>
      <c r="J227" s="63">
        <f t="shared" si="63"/>
        <v>0</v>
      </c>
      <c r="K227" s="63">
        <f t="shared" si="64"/>
        <v>0</v>
      </c>
    </row>
    <row r="228" spans="1:11" s="645" customFormat="1" ht="13">
      <c r="A228" s="109">
        <f t="shared" si="61"/>
        <v>167</v>
      </c>
      <c r="B228" s="611" t="s">
        <v>187</v>
      </c>
      <c r="C228" s="609">
        <v>2021</v>
      </c>
      <c r="D228" s="977">
        <v>0</v>
      </c>
      <c r="E228" s="63">
        <f>D228*'16-PlantAdditions'!$E$103</f>
        <v>0</v>
      </c>
      <c r="F228" s="63">
        <f t="shared" si="62"/>
        <v>0</v>
      </c>
      <c r="G228" s="977">
        <v>0</v>
      </c>
      <c r="H228" s="977">
        <v>0</v>
      </c>
      <c r="I228" s="63">
        <f>(G228-H228)*'16-PlantAdditions'!$E$103</f>
        <v>0</v>
      </c>
      <c r="J228" s="63">
        <f t="shared" si="63"/>
        <v>0</v>
      </c>
      <c r="K228" s="63">
        <f t="shared" si="64"/>
        <v>0</v>
      </c>
    </row>
    <row r="229" spans="1:11" s="645" customFormat="1" ht="13">
      <c r="A229" s="109">
        <f t="shared" si="61"/>
        <v>168</v>
      </c>
      <c r="B229" s="611" t="s">
        <v>188</v>
      </c>
      <c r="C229" s="609">
        <v>2021</v>
      </c>
      <c r="D229" s="977">
        <v>0</v>
      </c>
      <c r="E229" s="63">
        <f>D229*'16-PlantAdditions'!$E$103</f>
        <v>0</v>
      </c>
      <c r="F229" s="63">
        <f t="shared" si="62"/>
        <v>0</v>
      </c>
      <c r="G229" s="977">
        <v>0</v>
      </c>
      <c r="H229" s="977">
        <v>0</v>
      </c>
      <c r="I229" s="63">
        <f>(G229-H229)*'16-PlantAdditions'!$E$103</f>
        <v>0</v>
      </c>
      <c r="J229" s="63">
        <f t="shared" si="63"/>
        <v>0</v>
      </c>
      <c r="K229" s="63">
        <f t="shared" si="64"/>
        <v>0</v>
      </c>
    </row>
    <row r="230" spans="1:11" s="645" customFormat="1" ht="13">
      <c r="A230" s="109">
        <f t="shared" si="61"/>
        <v>169</v>
      </c>
      <c r="B230" s="608" t="s">
        <v>191</v>
      </c>
      <c r="C230" s="609">
        <v>2021</v>
      </c>
      <c r="D230" s="977">
        <v>0</v>
      </c>
      <c r="E230" s="63">
        <f>D230*'16-PlantAdditions'!$E$103</f>
        <v>0</v>
      </c>
      <c r="F230" s="63">
        <f t="shared" si="62"/>
        <v>0</v>
      </c>
      <c r="G230" s="977">
        <v>0</v>
      </c>
      <c r="H230" s="977">
        <v>0</v>
      </c>
      <c r="I230" s="63">
        <f>(G230-H230)*'16-PlantAdditions'!$E$103</f>
        <v>0</v>
      </c>
      <c r="J230" s="63">
        <f t="shared" si="63"/>
        <v>0</v>
      </c>
      <c r="K230" s="63">
        <f t="shared" si="64"/>
        <v>0</v>
      </c>
    </row>
    <row r="231" spans="1:11" s="645" customFormat="1" ht="13">
      <c r="A231" s="109">
        <f t="shared" si="61"/>
        <v>170</v>
      </c>
      <c r="B231" s="608" t="s">
        <v>190</v>
      </c>
      <c r="C231" s="609">
        <v>2021</v>
      </c>
      <c r="D231" s="977">
        <v>0</v>
      </c>
      <c r="E231" s="63">
        <f>D231*'16-PlantAdditions'!$E$103</f>
        <v>0</v>
      </c>
      <c r="F231" s="63">
        <f t="shared" si="62"/>
        <v>0</v>
      </c>
      <c r="G231" s="977">
        <v>0</v>
      </c>
      <c r="H231" s="977">
        <v>0</v>
      </c>
      <c r="I231" s="63">
        <f>(G231-H231)*'16-PlantAdditions'!$E$103</f>
        <v>0</v>
      </c>
      <c r="J231" s="63">
        <f t="shared" si="63"/>
        <v>0</v>
      </c>
      <c r="K231" s="63">
        <f t="shared" si="64"/>
        <v>0</v>
      </c>
    </row>
    <row r="232" spans="1:11" s="645" customFormat="1" ht="13">
      <c r="A232" s="109">
        <f t="shared" si="61"/>
        <v>171</v>
      </c>
      <c r="B232" s="608" t="s">
        <v>180</v>
      </c>
      <c r="C232" s="609">
        <v>2021</v>
      </c>
      <c r="D232" s="977">
        <v>0</v>
      </c>
      <c r="E232" s="63">
        <f>D232*'16-PlantAdditions'!$E$103</f>
        <v>0</v>
      </c>
      <c r="F232" s="63">
        <f t="shared" si="62"/>
        <v>0</v>
      </c>
      <c r="G232" s="977">
        <v>0</v>
      </c>
      <c r="H232" s="977">
        <v>0</v>
      </c>
      <c r="I232" s="63">
        <f>(G232-H232)*'16-PlantAdditions'!$E$103</f>
        <v>0</v>
      </c>
      <c r="J232" s="63">
        <f t="shared" si="63"/>
        <v>0</v>
      </c>
      <c r="K232" s="63">
        <f t="shared" si="64"/>
        <v>0</v>
      </c>
    </row>
    <row r="233" spans="1:11" s="645" customFormat="1" ht="13">
      <c r="A233" s="109">
        <f t="shared" si="61"/>
        <v>172</v>
      </c>
      <c r="B233" s="608" t="s">
        <v>181</v>
      </c>
      <c r="C233" s="609">
        <v>2022</v>
      </c>
      <c r="D233" s="977">
        <v>0</v>
      </c>
      <c r="E233" s="63">
        <f>D233*'16-PlantAdditions'!$E$103</f>
        <v>0</v>
      </c>
      <c r="F233" s="63">
        <f t="shared" si="62"/>
        <v>0</v>
      </c>
      <c r="G233" s="977">
        <v>0</v>
      </c>
      <c r="H233" s="977">
        <v>0</v>
      </c>
      <c r="I233" s="63">
        <f>(G233-H233)*'16-PlantAdditions'!$E$103</f>
        <v>0</v>
      </c>
      <c r="J233" s="63">
        <f t="shared" si="63"/>
        <v>0</v>
      </c>
      <c r="K233" s="63">
        <f t="shared" si="64"/>
        <v>0</v>
      </c>
    </row>
    <row r="234" spans="1:11" s="645" customFormat="1" ht="13">
      <c r="A234" s="109">
        <f t="shared" si="61"/>
        <v>173</v>
      </c>
      <c r="B234" s="611" t="s">
        <v>182</v>
      </c>
      <c r="C234" s="609">
        <v>2022</v>
      </c>
      <c r="D234" s="977">
        <v>0</v>
      </c>
      <c r="E234" s="63">
        <f>D234*'16-PlantAdditions'!$E$103</f>
        <v>0</v>
      </c>
      <c r="F234" s="63">
        <f t="shared" si="62"/>
        <v>0</v>
      </c>
      <c r="G234" s="977">
        <v>0</v>
      </c>
      <c r="H234" s="977">
        <v>0</v>
      </c>
      <c r="I234" s="63">
        <f>(G234-H234)*'16-PlantAdditions'!$E$103</f>
        <v>0</v>
      </c>
      <c r="J234" s="63">
        <f t="shared" si="63"/>
        <v>0</v>
      </c>
      <c r="K234" s="63">
        <f t="shared" si="64"/>
        <v>0</v>
      </c>
    </row>
    <row r="235" spans="1:11" s="645" customFormat="1" ht="13">
      <c r="A235" s="109">
        <f t="shared" si="61"/>
        <v>174</v>
      </c>
      <c r="B235" s="611" t="s">
        <v>195</v>
      </c>
      <c r="C235" s="609">
        <v>2022</v>
      </c>
      <c r="D235" s="977">
        <v>0</v>
      </c>
      <c r="E235" s="63">
        <f>D235*'16-PlantAdditions'!$E$103</f>
        <v>0</v>
      </c>
      <c r="F235" s="63">
        <f t="shared" si="62"/>
        <v>0</v>
      </c>
      <c r="G235" s="977">
        <v>0</v>
      </c>
      <c r="H235" s="977">
        <v>0</v>
      </c>
      <c r="I235" s="63">
        <f>(G235-H235)*'16-PlantAdditions'!$E$103</f>
        <v>0</v>
      </c>
      <c r="J235" s="63">
        <f t="shared" si="63"/>
        <v>0</v>
      </c>
      <c r="K235" s="63">
        <f t="shared" si="64"/>
        <v>0</v>
      </c>
    </row>
    <row r="236" spans="1:11" s="645" customFormat="1" ht="13">
      <c r="A236" s="109">
        <f t="shared" si="61"/>
        <v>175</v>
      </c>
      <c r="B236" s="608" t="s">
        <v>183</v>
      </c>
      <c r="C236" s="609">
        <v>2022</v>
      </c>
      <c r="D236" s="977">
        <v>0</v>
      </c>
      <c r="E236" s="63">
        <f>D236*'16-PlantAdditions'!$E$103</f>
        <v>0</v>
      </c>
      <c r="F236" s="63">
        <f t="shared" si="62"/>
        <v>0</v>
      </c>
      <c r="G236" s="977">
        <v>0</v>
      </c>
      <c r="H236" s="977">
        <v>0</v>
      </c>
      <c r="I236" s="63">
        <f>(G236-H236)*'16-PlantAdditions'!$E$103</f>
        <v>0</v>
      </c>
      <c r="J236" s="63">
        <f t="shared" si="63"/>
        <v>0</v>
      </c>
      <c r="K236" s="63">
        <f t="shared" si="64"/>
        <v>0</v>
      </c>
    </row>
    <row r="237" spans="1:11" s="645" customFormat="1" ht="13">
      <c r="A237" s="109">
        <f t="shared" si="61"/>
        <v>176</v>
      </c>
      <c r="B237" s="611" t="s">
        <v>184</v>
      </c>
      <c r="C237" s="609">
        <v>2022</v>
      </c>
      <c r="D237" s="977">
        <v>0</v>
      </c>
      <c r="E237" s="63">
        <f>D237*'16-PlantAdditions'!$E$103</f>
        <v>0</v>
      </c>
      <c r="F237" s="63">
        <f t="shared" si="62"/>
        <v>0</v>
      </c>
      <c r="G237" s="977">
        <v>0</v>
      </c>
      <c r="H237" s="977">
        <v>0</v>
      </c>
      <c r="I237" s="63">
        <f>(G237-H237)*'16-PlantAdditions'!$E$103</f>
        <v>0</v>
      </c>
      <c r="J237" s="63">
        <f t="shared" si="63"/>
        <v>0</v>
      </c>
      <c r="K237" s="63">
        <f t="shared" si="64"/>
        <v>0</v>
      </c>
    </row>
    <row r="238" spans="1:11" s="645" customFormat="1" ht="13">
      <c r="A238" s="109">
        <f t="shared" si="61"/>
        <v>177</v>
      </c>
      <c r="B238" s="611" t="s">
        <v>1458</v>
      </c>
      <c r="C238" s="609">
        <v>2022</v>
      </c>
      <c r="D238" s="977">
        <v>0</v>
      </c>
      <c r="E238" s="63">
        <f>D238*'16-PlantAdditions'!$E$103</f>
        <v>0</v>
      </c>
      <c r="F238" s="63">
        <f t="shared" si="62"/>
        <v>0</v>
      </c>
      <c r="G238" s="977">
        <v>0</v>
      </c>
      <c r="H238" s="977">
        <v>0</v>
      </c>
      <c r="I238" s="63">
        <f>(G238-H238)*'16-PlantAdditions'!$E$103</f>
        <v>0</v>
      </c>
      <c r="J238" s="63">
        <f t="shared" si="63"/>
        <v>0</v>
      </c>
      <c r="K238" s="63">
        <f t="shared" si="64"/>
        <v>0</v>
      </c>
    </row>
    <row r="239" spans="1:11" s="645" customFormat="1" ht="13">
      <c r="A239" s="109">
        <f t="shared" si="61"/>
        <v>178</v>
      </c>
      <c r="B239" s="608" t="s">
        <v>186</v>
      </c>
      <c r="C239" s="609">
        <v>2022</v>
      </c>
      <c r="D239" s="977">
        <v>0</v>
      </c>
      <c r="E239" s="63">
        <f>D239*'16-PlantAdditions'!$E$103</f>
        <v>0</v>
      </c>
      <c r="F239" s="63">
        <f t="shared" si="62"/>
        <v>0</v>
      </c>
      <c r="G239" s="977">
        <v>0</v>
      </c>
      <c r="H239" s="977">
        <v>0</v>
      </c>
      <c r="I239" s="63">
        <f>(G239-H239)*'16-PlantAdditions'!$E$103</f>
        <v>0</v>
      </c>
      <c r="J239" s="63">
        <f t="shared" si="63"/>
        <v>0</v>
      </c>
      <c r="K239" s="63">
        <f t="shared" si="64"/>
        <v>0</v>
      </c>
    </row>
    <row r="240" spans="1:11" s="645" customFormat="1" ht="13">
      <c r="A240" s="109">
        <f t="shared" si="61"/>
        <v>179</v>
      </c>
      <c r="B240" s="611" t="s">
        <v>187</v>
      </c>
      <c r="C240" s="609">
        <v>2022</v>
      </c>
      <c r="D240" s="977">
        <v>0</v>
      </c>
      <c r="E240" s="63">
        <f>D240*'16-PlantAdditions'!$E$103</f>
        <v>0</v>
      </c>
      <c r="F240" s="63">
        <f t="shared" si="62"/>
        <v>0</v>
      </c>
      <c r="G240" s="977">
        <v>0</v>
      </c>
      <c r="H240" s="977">
        <v>0</v>
      </c>
      <c r="I240" s="63">
        <f>(G240-H240)*'16-PlantAdditions'!$E$103</f>
        <v>0</v>
      </c>
      <c r="J240" s="63">
        <f t="shared" si="63"/>
        <v>0</v>
      </c>
      <c r="K240" s="63">
        <f t="shared" si="64"/>
        <v>0</v>
      </c>
    </row>
    <row r="241" spans="1:11" s="645" customFormat="1" ht="13">
      <c r="A241" s="109">
        <f t="shared" si="61"/>
        <v>180</v>
      </c>
      <c r="B241" s="611" t="s">
        <v>188</v>
      </c>
      <c r="C241" s="609">
        <v>2022</v>
      </c>
      <c r="D241" s="977">
        <v>0</v>
      </c>
      <c r="E241" s="63">
        <f>D241*'16-PlantAdditions'!$E$103</f>
        <v>0</v>
      </c>
      <c r="F241" s="63">
        <f t="shared" si="62"/>
        <v>0</v>
      </c>
      <c r="G241" s="977">
        <v>0</v>
      </c>
      <c r="H241" s="977">
        <v>0</v>
      </c>
      <c r="I241" s="63">
        <f>(G241-H241)*'16-PlantAdditions'!$E$103</f>
        <v>0</v>
      </c>
      <c r="J241" s="63">
        <f t="shared" si="63"/>
        <v>0</v>
      </c>
      <c r="K241" s="63">
        <f t="shared" si="64"/>
        <v>0</v>
      </c>
    </row>
    <row r="242" spans="1:11" s="645" customFormat="1" ht="13">
      <c r="A242" s="109">
        <f t="shared" si="61"/>
        <v>181</v>
      </c>
      <c r="B242" s="611" t="s">
        <v>191</v>
      </c>
      <c r="C242" s="609">
        <v>2022</v>
      </c>
      <c r="D242" s="977">
        <v>0</v>
      </c>
      <c r="E242" s="63">
        <f>D242*'16-PlantAdditions'!$E$103</f>
        <v>0</v>
      </c>
      <c r="F242" s="63">
        <f t="shared" ref="F242:F244" si="65">E242+D242</f>
        <v>0</v>
      </c>
      <c r="G242" s="977">
        <v>0</v>
      </c>
      <c r="H242" s="977">
        <v>0</v>
      </c>
      <c r="I242" s="63">
        <f>(G242-H242)*'16-PlantAdditions'!$E$103</f>
        <v>0</v>
      </c>
      <c r="J242" s="63">
        <f t="shared" ref="J242:J244" si="66">J241+F242-G242-I242</f>
        <v>0</v>
      </c>
      <c r="K242" s="63">
        <f t="shared" si="64"/>
        <v>0</v>
      </c>
    </row>
    <row r="243" spans="1:11" s="645" customFormat="1" ht="13">
      <c r="A243" s="109">
        <f t="shared" si="61"/>
        <v>182</v>
      </c>
      <c r="B243" s="611" t="s">
        <v>190</v>
      </c>
      <c r="C243" s="609">
        <v>2022</v>
      </c>
      <c r="D243" s="977">
        <v>0</v>
      </c>
      <c r="E243" s="63">
        <f>D243*'16-PlantAdditions'!$E$103</f>
        <v>0</v>
      </c>
      <c r="F243" s="63">
        <f t="shared" si="65"/>
        <v>0</v>
      </c>
      <c r="G243" s="977">
        <v>0</v>
      </c>
      <c r="H243" s="977">
        <v>0</v>
      </c>
      <c r="I243" s="63">
        <f>(G243-H243)*'16-PlantAdditions'!$E$103</f>
        <v>0</v>
      </c>
      <c r="J243" s="63">
        <f t="shared" si="66"/>
        <v>0</v>
      </c>
      <c r="K243" s="63">
        <f t="shared" si="64"/>
        <v>0</v>
      </c>
    </row>
    <row r="244" spans="1:11" s="645" customFormat="1" ht="13">
      <c r="A244" s="109">
        <f t="shared" si="61"/>
        <v>183</v>
      </c>
      <c r="B244" s="611" t="s">
        <v>180</v>
      </c>
      <c r="C244" s="609">
        <v>2022</v>
      </c>
      <c r="D244" s="977">
        <v>0</v>
      </c>
      <c r="E244" s="63">
        <f>D244*'16-PlantAdditions'!$E$103</f>
        <v>0</v>
      </c>
      <c r="F244" s="63">
        <f t="shared" si="65"/>
        <v>0</v>
      </c>
      <c r="G244" s="977">
        <v>0</v>
      </c>
      <c r="H244" s="977">
        <v>0</v>
      </c>
      <c r="I244" s="63">
        <f>(G244-H244)*'16-PlantAdditions'!$E$103</f>
        <v>0</v>
      </c>
      <c r="J244" s="63">
        <f t="shared" si="66"/>
        <v>0</v>
      </c>
      <c r="K244" s="110">
        <f t="shared" si="64"/>
        <v>0</v>
      </c>
    </row>
    <row r="245" spans="1:11" s="645" customFormat="1" ht="13">
      <c r="A245" s="109">
        <f t="shared" si="61"/>
        <v>184</v>
      </c>
      <c r="B245"/>
      <c r="C245" s="644" t="s">
        <v>1603</v>
      </c>
      <c r="D245"/>
      <c r="E245"/>
      <c r="F245"/>
      <c r="G245"/>
      <c r="H245"/>
      <c r="I245"/>
      <c r="J245"/>
      <c r="K245" s="73">
        <f>AVERAGE(K232:K244)</f>
        <v>0</v>
      </c>
    </row>
    <row r="246" spans="1:11" s="645" customFormat="1" ht="13">
      <c r="A246" s="109"/>
      <c r="B246"/>
      <c r="C246" s="644"/>
      <c r="D246"/>
      <c r="E246"/>
      <c r="F246"/>
      <c r="G246"/>
      <c r="H246"/>
      <c r="I246"/>
      <c r="J246"/>
      <c r="K246" s="73"/>
    </row>
    <row r="247" spans="1:11" s="645" customFormat="1" ht="13">
      <c r="B247" s="646" t="s">
        <v>1934</v>
      </c>
      <c r="D247" s="1508" t="s">
        <v>2733</v>
      </c>
      <c r="E247" s="1508"/>
    </row>
    <row r="248" spans="1:11" s="645" customFormat="1" ht="13">
      <c r="A248" s="640"/>
      <c r="B248" s="640"/>
      <c r="C248" s="640"/>
      <c r="D248" s="640" t="s">
        <v>358</v>
      </c>
      <c r="E248" s="640" t="s">
        <v>342</v>
      </c>
      <c r="F248" s="640" t="s">
        <v>343</v>
      </c>
      <c r="G248" s="640" t="s">
        <v>344</v>
      </c>
      <c r="H248" s="640" t="s">
        <v>345</v>
      </c>
      <c r="I248" s="640" t="s">
        <v>346</v>
      </c>
      <c r="J248" s="640" t="s">
        <v>347</v>
      </c>
      <c r="K248" s="640" t="s">
        <v>534</v>
      </c>
    </row>
    <row r="249" spans="1:11" s="645" customFormat="1" ht="38">
      <c r="D249" s="647"/>
      <c r="E249" s="648" t="s">
        <v>2061</v>
      </c>
      <c r="F249" s="649" t="s">
        <v>1927</v>
      </c>
      <c r="G249" s="525"/>
      <c r="H249" s="647"/>
      <c r="I249" s="648" t="s">
        <v>2062</v>
      </c>
      <c r="J249" s="648" t="s">
        <v>1928</v>
      </c>
      <c r="K249" s="648" t="s">
        <v>1929</v>
      </c>
    </row>
    <row r="250" spans="1:11" s="645" customFormat="1" ht="13">
      <c r="D250" s="647"/>
      <c r="E250" s="647"/>
      <c r="F250" s="647"/>
      <c r="G250" s="549" t="s">
        <v>1935</v>
      </c>
      <c r="H250" s="647"/>
      <c r="I250" s="647"/>
    </row>
    <row r="251" spans="1:11" s="645" customFormat="1" ht="13">
      <c r="A251" s="642"/>
      <c r="B251" s="642"/>
      <c r="C251" s="642"/>
      <c r="D251" s="642" t="str">
        <f>D$52</f>
        <v>Forecast</v>
      </c>
      <c r="E251" s="642" t="str">
        <f t="shared" ref="E251:J251" si="67">E$52</f>
        <v>Corporate</v>
      </c>
      <c r="F251" s="642" t="str">
        <f t="shared" si="67"/>
        <v xml:space="preserve">Total </v>
      </c>
      <c r="G251" s="642" t="s">
        <v>196</v>
      </c>
      <c r="H251" s="642" t="str">
        <f t="shared" si="67"/>
        <v>Prior Period</v>
      </c>
      <c r="I251" s="642" t="str">
        <f t="shared" si="67"/>
        <v>Over Heads</v>
      </c>
      <c r="J251" s="642" t="str">
        <f t="shared" si="67"/>
        <v>Forecast</v>
      </c>
      <c r="K251" s="549" t="str">
        <f>K$52</f>
        <v>Forecast Period</v>
      </c>
    </row>
    <row r="252" spans="1:11" s="645" customFormat="1" ht="13">
      <c r="A252" s="833" t="s">
        <v>329</v>
      </c>
      <c r="B252" s="607" t="s">
        <v>192</v>
      </c>
      <c r="C252" s="607" t="s">
        <v>193</v>
      </c>
      <c r="D252" s="640" t="str">
        <f>D$53</f>
        <v>Expenditures</v>
      </c>
      <c r="E252" s="640" t="str">
        <f t="shared" ref="E252:J252" si="68">E$53</f>
        <v>Overheads</v>
      </c>
      <c r="F252" s="640" t="str">
        <f t="shared" si="68"/>
        <v>CWIP Exp</v>
      </c>
      <c r="G252" s="640" t="s">
        <v>1920</v>
      </c>
      <c r="H252" s="640" t="str">
        <f t="shared" si="68"/>
        <v>CWIP Closed</v>
      </c>
      <c r="I252" s="640" t="str">
        <f t="shared" si="68"/>
        <v>Closed to PIS</v>
      </c>
      <c r="J252" s="640" t="str">
        <f t="shared" si="68"/>
        <v>Period CWIP</v>
      </c>
      <c r="K252" s="640" t="str">
        <f>K$53</f>
        <v>Incremental CWIP</v>
      </c>
    </row>
    <row r="253" spans="1:11" s="645" customFormat="1" ht="13">
      <c r="A253" s="109">
        <f>A245+1</f>
        <v>185</v>
      </c>
      <c r="B253" s="608" t="s">
        <v>180</v>
      </c>
      <c r="C253" s="609">
        <v>2020</v>
      </c>
      <c r="D253" s="649" t="s">
        <v>76</v>
      </c>
      <c r="E253" s="649" t="s">
        <v>76</v>
      </c>
      <c r="F253" s="649" t="s">
        <v>76</v>
      </c>
      <c r="G253" s="649" t="s">
        <v>76</v>
      </c>
      <c r="H253" s="649" t="s">
        <v>76</v>
      </c>
      <c r="I253" s="649" t="s">
        <v>76</v>
      </c>
      <c r="J253" s="63">
        <f>D45</f>
        <v>0</v>
      </c>
      <c r="K253" s="649" t="s">
        <v>76</v>
      </c>
    </row>
    <row r="254" spans="1:11" s="645" customFormat="1" ht="13">
      <c r="A254" s="109">
        <f>A253+1</f>
        <v>186</v>
      </c>
      <c r="B254" s="608" t="s">
        <v>181</v>
      </c>
      <c r="C254" s="609">
        <v>2021</v>
      </c>
      <c r="D254" s="977">
        <v>0</v>
      </c>
      <c r="E254" s="63">
        <f>D254*'16-PlantAdditions'!$E$103</f>
        <v>0</v>
      </c>
      <c r="F254" s="63">
        <f>E254+D254</f>
        <v>0</v>
      </c>
      <c r="G254" s="977">
        <v>0</v>
      </c>
      <c r="H254" s="977">
        <v>0</v>
      </c>
      <c r="I254" s="63">
        <f>(G254-H254)*'16-PlantAdditions'!$E$103</f>
        <v>0</v>
      </c>
      <c r="J254" s="63">
        <f>J253+F254-G254-I254</f>
        <v>0</v>
      </c>
      <c r="K254" s="63">
        <f>J254-$J$253</f>
        <v>0</v>
      </c>
    </row>
    <row r="255" spans="1:11" s="645" customFormat="1" ht="13">
      <c r="A255" s="109">
        <f t="shared" ref="A255:A278" si="69">A254+1</f>
        <v>187</v>
      </c>
      <c r="B255" s="611" t="s">
        <v>182</v>
      </c>
      <c r="C255" s="609">
        <v>2021</v>
      </c>
      <c r="D255" s="977">
        <v>0</v>
      </c>
      <c r="E255" s="63">
        <f>D255*'16-PlantAdditions'!$E$103</f>
        <v>0</v>
      </c>
      <c r="F255" s="63">
        <f t="shared" ref="F255:F274" si="70">E255+D255</f>
        <v>0</v>
      </c>
      <c r="G255" s="977">
        <v>0</v>
      </c>
      <c r="H255" s="977">
        <v>0</v>
      </c>
      <c r="I255" s="63">
        <f>(G255-H255)*'16-PlantAdditions'!$E$103</f>
        <v>0</v>
      </c>
      <c r="J255" s="63">
        <f t="shared" ref="J255:J274" si="71">J254+F255-G255-I255</f>
        <v>0</v>
      </c>
      <c r="K255" s="63">
        <f t="shared" ref="K255:K277" si="72">J255-$J$253</f>
        <v>0</v>
      </c>
    </row>
    <row r="256" spans="1:11" s="645" customFormat="1" ht="13">
      <c r="A256" s="109">
        <f t="shared" si="69"/>
        <v>188</v>
      </c>
      <c r="B256" s="611" t="s">
        <v>195</v>
      </c>
      <c r="C256" s="609">
        <v>2021</v>
      </c>
      <c r="D256" s="977">
        <v>0</v>
      </c>
      <c r="E256" s="63">
        <f>D256*'16-PlantAdditions'!$E$103</f>
        <v>0</v>
      </c>
      <c r="F256" s="63">
        <f t="shared" si="70"/>
        <v>0</v>
      </c>
      <c r="G256" s="977">
        <v>0</v>
      </c>
      <c r="H256" s="977">
        <v>0</v>
      </c>
      <c r="I256" s="63">
        <f>(G256-H256)*'16-PlantAdditions'!$E$103</f>
        <v>0</v>
      </c>
      <c r="J256" s="63">
        <f t="shared" si="71"/>
        <v>0</v>
      </c>
      <c r="K256" s="63">
        <f t="shared" si="72"/>
        <v>0</v>
      </c>
    </row>
    <row r="257" spans="1:11" s="645" customFormat="1" ht="13">
      <c r="A257" s="109">
        <f t="shared" si="69"/>
        <v>189</v>
      </c>
      <c r="B257" s="608" t="s">
        <v>183</v>
      </c>
      <c r="C257" s="609">
        <v>2021</v>
      </c>
      <c r="D257" s="977">
        <v>0</v>
      </c>
      <c r="E257" s="63">
        <f>D257*'16-PlantAdditions'!$E$103</f>
        <v>0</v>
      </c>
      <c r="F257" s="63">
        <f t="shared" si="70"/>
        <v>0</v>
      </c>
      <c r="G257" s="977">
        <v>0</v>
      </c>
      <c r="H257" s="977">
        <v>0</v>
      </c>
      <c r="I257" s="63">
        <f>(G257-H257)*'16-PlantAdditions'!$E$103</f>
        <v>0</v>
      </c>
      <c r="J257" s="63">
        <f t="shared" si="71"/>
        <v>0</v>
      </c>
      <c r="K257" s="63">
        <f t="shared" si="72"/>
        <v>0</v>
      </c>
    </row>
    <row r="258" spans="1:11" s="645" customFormat="1" ht="13">
      <c r="A258" s="109">
        <f t="shared" si="69"/>
        <v>190</v>
      </c>
      <c r="B258" s="611" t="s">
        <v>184</v>
      </c>
      <c r="C258" s="609">
        <v>2021</v>
      </c>
      <c r="D258" s="977">
        <v>0</v>
      </c>
      <c r="E258" s="63">
        <f>D258*'16-PlantAdditions'!$E$103</f>
        <v>0</v>
      </c>
      <c r="F258" s="63">
        <f t="shared" si="70"/>
        <v>0</v>
      </c>
      <c r="G258" s="977">
        <v>0</v>
      </c>
      <c r="H258" s="977">
        <v>0</v>
      </c>
      <c r="I258" s="63">
        <f>(G258-H258)*'16-PlantAdditions'!$E$103</f>
        <v>0</v>
      </c>
      <c r="J258" s="63">
        <f t="shared" si="71"/>
        <v>0</v>
      </c>
      <c r="K258" s="63">
        <f t="shared" si="72"/>
        <v>0</v>
      </c>
    </row>
    <row r="259" spans="1:11" s="645" customFormat="1" ht="13">
      <c r="A259" s="109">
        <f t="shared" si="69"/>
        <v>191</v>
      </c>
      <c r="B259" s="611" t="s">
        <v>1458</v>
      </c>
      <c r="C259" s="609">
        <v>2021</v>
      </c>
      <c r="D259" s="977">
        <v>0</v>
      </c>
      <c r="E259" s="63">
        <f>D259*'16-PlantAdditions'!$E$103</f>
        <v>0</v>
      </c>
      <c r="F259" s="63">
        <f t="shared" si="70"/>
        <v>0</v>
      </c>
      <c r="G259" s="977">
        <v>0</v>
      </c>
      <c r="H259" s="977">
        <v>0</v>
      </c>
      <c r="I259" s="63">
        <f>(G259-H259)*'16-PlantAdditions'!$E$103</f>
        <v>0</v>
      </c>
      <c r="J259" s="63">
        <f>J258+F259-G259-I259</f>
        <v>0</v>
      </c>
      <c r="K259" s="63">
        <f t="shared" si="72"/>
        <v>0</v>
      </c>
    </row>
    <row r="260" spans="1:11" s="645" customFormat="1" ht="13">
      <c r="A260" s="109">
        <f t="shared" si="69"/>
        <v>192</v>
      </c>
      <c r="B260" s="608" t="s">
        <v>186</v>
      </c>
      <c r="C260" s="609">
        <v>2021</v>
      </c>
      <c r="D260" s="977">
        <v>0</v>
      </c>
      <c r="E260" s="63">
        <f>D260*'16-PlantAdditions'!$E$103</f>
        <v>0</v>
      </c>
      <c r="F260" s="63">
        <f t="shared" si="70"/>
        <v>0</v>
      </c>
      <c r="G260" s="977">
        <v>0</v>
      </c>
      <c r="H260" s="977">
        <v>0</v>
      </c>
      <c r="I260" s="63">
        <f>(G260-H260)*'16-PlantAdditions'!$E$103</f>
        <v>0</v>
      </c>
      <c r="J260" s="63">
        <f t="shared" si="71"/>
        <v>0</v>
      </c>
      <c r="K260" s="63">
        <f t="shared" si="72"/>
        <v>0</v>
      </c>
    </row>
    <row r="261" spans="1:11" s="645" customFormat="1" ht="13">
      <c r="A261" s="109">
        <f t="shared" si="69"/>
        <v>193</v>
      </c>
      <c r="B261" s="611" t="s">
        <v>187</v>
      </c>
      <c r="C261" s="609">
        <v>2021</v>
      </c>
      <c r="D261" s="977">
        <v>0</v>
      </c>
      <c r="E261" s="63">
        <f>D261*'16-PlantAdditions'!$E$103</f>
        <v>0</v>
      </c>
      <c r="F261" s="63">
        <f t="shared" si="70"/>
        <v>0</v>
      </c>
      <c r="G261" s="977">
        <v>0</v>
      </c>
      <c r="H261" s="977">
        <v>0</v>
      </c>
      <c r="I261" s="63">
        <f>(G261-H261)*'16-PlantAdditions'!$E$103</f>
        <v>0</v>
      </c>
      <c r="J261" s="63">
        <f t="shared" si="71"/>
        <v>0</v>
      </c>
      <c r="K261" s="63">
        <f t="shared" si="72"/>
        <v>0</v>
      </c>
    </row>
    <row r="262" spans="1:11" s="645" customFormat="1" ht="13">
      <c r="A262" s="109">
        <f t="shared" si="69"/>
        <v>194</v>
      </c>
      <c r="B262" s="611" t="s">
        <v>188</v>
      </c>
      <c r="C262" s="609">
        <v>2021</v>
      </c>
      <c r="D262" s="977">
        <v>0</v>
      </c>
      <c r="E262" s="63">
        <f>D262*'16-PlantAdditions'!$E$103</f>
        <v>0</v>
      </c>
      <c r="F262" s="63">
        <f t="shared" si="70"/>
        <v>0</v>
      </c>
      <c r="G262" s="977">
        <v>0</v>
      </c>
      <c r="H262" s="977">
        <v>0</v>
      </c>
      <c r="I262" s="63">
        <f>(G262-H262)*'16-PlantAdditions'!$E$103</f>
        <v>0</v>
      </c>
      <c r="J262" s="63">
        <f t="shared" si="71"/>
        <v>0</v>
      </c>
      <c r="K262" s="63">
        <f t="shared" si="72"/>
        <v>0</v>
      </c>
    </row>
    <row r="263" spans="1:11" s="645" customFormat="1" ht="13">
      <c r="A263" s="109">
        <f t="shared" si="69"/>
        <v>195</v>
      </c>
      <c r="B263" s="608" t="s">
        <v>191</v>
      </c>
      <c r="C263" s="609">
        <v>2021</v>
      </c>
      <c r="D263" s="977">
        <v>0</v>
      </c>
      <c r="E263" s="63">
        <f>D263*'16-PlantAdditions'!$E$103</f>
        <v>0</v>
      </c>
      <c r="F263" s="63">
        <f t="shared" si="70"/>
        <v>0</v>
      </c>
      <c r="G263" s="977">
        <v>0</v>
      </c>
      <c r="H263" s="977">
        <v>0</v>
      </c>
      <c r="I263" s="63">
        <f>(G263-H263)*'16-PlantAdditions'!$E$103</f>
        <v>0</v>
      </c>
      <c r="J263" s="63">
        <f t="shared" si="71"/>
        <v>0</v>
      </c>
      <c r="K263" s="63">
        <f t="shared" si="72"/>
        <v>0</v>
      </c>
    </row>
    <row r="264" spans="1:11" s="645" customFormat="1" ht="13">
      <c r="A264" s="109">
        <f t="shared" si="69"/>
        <v>196</v>
      </c>
      <c r="B264" s="608" t="s">
        <v>190</v>
      </c>
      <c r="C264" s="609">
        <v>2021</v>
      </c>
      <c r="D264" s="977">
        <v>0</v>
      </c>
      <c r="E264" s="63">
        <f>D264*'16-PlantAdditions'!$E$103</f>
        <v>0</v>
      </c>
      <c r="F264" s="63">
        <f t="shared" si="70"/>
        <v>0</v>
      </c>
      <c r="G264" s="977">
        <v>0</v>
      </c>
      <c r="H264" s="977">
        <v>0</v>
      </c>
      <c r="I264" s="63">
        <f>(G264-H264)*'16-PlantAdditions'!$E$103</f>
        <v>0</v>
      </c>
      <c r="J264" s="63">
        <f t="shared" si="71"/>
        <v>0</v>
      </c>
      <c r="K264" s="63">
        <f t="shared" si="72"/>
        <v>0</v>
      </c>
    </row>
    <row r="265" spans="1:11" s="645" customFormat="1" ht="13">
      <c r="A265" s="109">
        <f t="shared" si="69"/>
        <v>197</v>
      </c>
      <c r="B265" s="608" t="s">
        <v>180</v>
      </c>
      <c r="C265" s="609">
        <v>2021</v>
      </c>
      <c r="D265" s="977">
        <v>0</v>
      </c>
      <c r="E265" s="63">
        <f>D265*'16-PlantAdditions'!$E$103</f>
        <v>0</v>
      </c>
      <c r="F265" s="63">
        <f t="shared" si="70"/>
        <v>0</v>
      </c>
      <c r="G265" s="977">
        <v>0</v>
      </c>
      <c r="H265" s="977">
        <v>0</v>
      </c>
      <c r="I265" s="63">
        <f>(G265-H265)*'16-PlantAdditions'!$E$103</f>
        <v>0</v>
      </c>
      <c r="J265" s="63">
        <f t="shared" si="71"/>
        <v>0</v>
      </c>
      <c r="K265" s="63">
        <f t="shared" si="72"/>
        <v>0</v>
      </c>
    </row>
    <row r="266" spans="1:11" s="645" customFormat="1" ht="13">
      <c r="A266" s="109">
        <f t="shared" si="69"/>
        <v>198</v>
      </c>
      <c r="B266" s="608" t="s">
        <v>181</v>
      </c>
      <c r="C266" s="609">
        <v>2022</v>
      </c>
      <c r="D266" s="977">
        <v>0</v>
      </c>
      <c r="E266" s="63">
        <f>D266*'16-PlantAdditions'!$E$103</f>
        <v>0</v>
      </c>
      <c r="F266" s="63">
        <f t="shared" si="70"/>
        <v>0</v>
      </c>
      <c r="G266" s="977">
        <v>0</v>
      </c>
      <c r="H266" s="977">
        <v>0</v>
      </c>
      <c r="I266" s="63">
        <f>(G266-H266)*'16-PlantAdditions'!$E$103</f>
        <v>0</v>
      </c>
      <c r="J266" s="63">
        <f t="shared" si="71"/>
        <v>0</v>
      </c>
      <c r="K266" s="63">
        <f t="shared" si="72"/>
        <v>0</v>
      </c>
    </row>
    <row r="267" spans="1:11" s="645" customFormat="1" ht="13">
      <c r="A267" s="109">
        <f t="shared" si="69"/>
        <v>199</v>
      </c>
      <c r="B267" s="611" t="s">
        <v>182</v>
      </c>
      <c r="C267" s="609">
        <v>2022</v>
      </c>
      <c r="D267" s="977">
        <v>0</v>
      </c>
      <c r="E267" s="63">
        <f>D267*'16-PlantAdditions'!$E$103</f>
        <v>0</v>
      </c>
      <c r="F267" s="63">
        <f t="shared" si="70"/>
        <v>0</v>
      </c>
      <c r="G267" s="977">
        <v>0</v>
      </c>
      <c r="H267" s="977">
        <v>0</v>
      </c>
      <c r="I267" s="63">
        <f>(G267-H267)*'16-PlantAdditions'!$E$103</f>
        <v>0</v>
      </c>
      <c r="J267" s="63">
        <f t="shared" si="71"/>
        <v>0</v>
      </c>
      <c r="K267" s="63">
        <f t="shared" si="72"/>
        <v>0</v>
      </c>
    </row>
    <row r="268" spans="1:11" s="645" customFormat="1" ht="13">
      <c r="A268" s="109">
        <f t="shared" si="69"/>
        <v>200</v>
      </c>
      <c r="B268" s="611" t="s">
        <v>195</v>
      </c>
      <c r="C268" s="609">
        <v>2022</v>
      </c>
      <c r="D268" s="977">
        <v>0</v>
      </c>
      <c r="E268" s="63">
        <f>D268*'16-PlantAdditions'!$E$103</f>
        <v>0</v>
      </c>
      <c r="F268" s="63">
        <f t="shared" si="70"/>
        <v>0</v>
      </c>
      <c r="G268" s="977">
        <v>0</v>
      </c>
      <c r="H268" s="977">
        <v>0</v>
      </c>
      <c r="I268" s="63">
        <f>(G268-H268)*'16-PlantAdditions'!$E$103</f>
        <v>0</v>
      </c>
      <c r="J268" s="63">
        <f t="shared" si="71"/>
        <v>0</v>
      </c>
      <c r="K268" s="63">
        <f t="shared" si="72"/>
        <v>0</v>
      </c>
    </row>
    <row r="269" spans="1:11" s="645" customFormat="1" ht="13">
      <c r="A269" s="109">
        <f t="shared" si="69"/>
        <v>201</v>
      </c>
      <c r="B269" s="608" t="s">
        <v>183</v>
      </c>
      <c r="C269" s="609">
        <v>2022</v>
      </c>
      <c r="D269" s="977">
        <v>0</v>
      </c>
      <c r="E269" s="63">
        <f>D269*'16-PlantAdditions'!$E$103</f>
        <v>0</v>
      </c>
      <c r="F269" s="63">
        <f t="shared" si="70"/>
        <v>0</v>
      </c>
      <c r="G269" s="977">
        <v>0</v>
      </c>
      <c r="H269" s="977">
        <v>0</v>
      </c>
      <c r="I269" s="63">
        <f>(G269-H269)*'16-PlantAdditions'!$E$103</f>
        <v>0</v>
      </c>
      <c r="J269" s="63">
        <f t="shared" si="71"/>
        <v>0</v>
      </c>
      <c r="K269" s="63">
        <f t="shared" si="72"/>
        <v>0</v>
      </c>
    </row>
    <row r="270" spans="1:11" s="645" customFormat="1" ht="13">
      <c r="A270" s="109">
        <f t="shared" si="69"/>
        <v>202</v>
      </c>
      <c r="B270" s="611" t="s">
        <v>184</v>
      </c>
      <c r="C270" s="609">
        <v>2022</v>
      </c>
      <c r="D270" s="977">
        <v>0</v>
      </c>
      <c r="E270" s="63">
        <f>D270*'16-PlantAdditions'!$E$103</f>
        <v>0</v>
      </c>
      <c r="F270" s="63">
        <f t="shared" si="70"/>
        <v>0</v>
      </c>
      <c r="G270" s="977">
        <v>0</v>
      </c>
      <c r="H270" s="977">
        <v>0</v>
      </c>
      <c r="I270" s="63">
        <f>(G270-H270)*'16-PlantAdditions'!$E$103</f>
        <v>0</v>
      </c>
      <c r="J270" s="63">
        <f t="shared" si="71"/>
        <v>0</v>
      </c>
      <c r="K270" s="63">
        <f t="shared" si="72"/>
        <v>0</v>
      </c>
    </row>
    <row r="271" spans="1:11" s="645" customFormat="1" ht="13">
      <c r="A271" s="109">
        <f t="shared" si="69"/>
        <v>203</v>
      </c>
      <c r="B271" s="611" t="s">
        <v>1458</v>
      </c>
      <c r="C271" s="609">
        <v>2022</v>
      </c>
      <c r="D271" s="977">
        <v>0</v>
      </c>
      <c r="E271" s="63">
        <f>D271*'16-PlantAdditions'!$E$103</f>
        <v>0</v>
      </c>
      <c r="F271" s="63">
        <f t="shared" si="70"/>
        <v>0</v>
      </c>
      <c r="G271" s="977">
        <v>0</v>
      </c>
      <c r="H271" s="977">
        <v>0</v>
      </c>
      <c r="I271" s="63">
        <f>(G271-H271)*'16-PlantAdditions'!$E$103</f>
        <v>0</v>
      </c>
      <c r="J271" s="63">
        <f t="shared" si="71"/>
        <v>0</v>
      </c>
      <c r="K271" s="63">
        <f t="shared" si="72"/>
        <v>0</v>
      </c>
    </row>
    <row r="272" spans="1:11" s="645" customFormat="1" ht="13">
      <c r="A272" s="109">
        <f t="shared" si="69"/>
        <v>204</v>
      </c>
      <c r="B272" s="608" t="s">
        <v>186</v>
      </c>
      <c r="C272" s="609">
        <v>2022</v>
      </c>
      <c r="D272" s="977">
        <v>0</v>
      </c>
      <c r="E272" s="63">
        <f>D272*'16-PlantAdditions'!$E$103</f>
        <v>0</v>
      </c>
      <c r="F272" s="63">
        <f t="shared" si="70"/>
        <v>0</v>
      </c>
      <c r="G272" s="977">
        <v>0</v>
      </c>
      <c r="H272" s="977">
        <v>0</v>
      </c>
      <c r="I272" s="63">
        <f>(G272-H272)*'16-PlantAdditions'!$E$103</f>
        <v>0</v>
      </c>
      <c r="J272" s="63">
        <f t="shared" si="71"/>
        <v>0</v>
      </c>
      <c r="K272" s="63">
        <f t="shared" si="72"/>
        <v>0</v>
      </c>
    </row>
    <row r="273" spans="1:11" s="645" customFormat="1" ht="13">
      <c r="A273" s="109">
        <f t="shared" si="69"/>
        <v>205</v>
      </c>
      <c r="B273" s="611" t="s">
        <v>187</v>
      </c>
      <c r="C273" s="609">
        <v>2022</v>
      </c>
      <c r="D273" s="977">
        <v>0</v>
      </c>
      <c r="E273" s="63">
        <f>D273*'16-PlantAdditions'!$E$103</f>
        <v>0</v>
      </c>
      <c r="F273" s="63">
        <f t="shared" si="70"/>
        <v>0</v>
      </c>
      <c r="G273" s="977">
        <v>0</v>
      </c>
      <c r="H273" s="977">
        <v>0</v>
      </c>
      <c r="I273" s="63">
        <f>(G273-H273)*'16-PlantAdditions'!$E$103</f>
        <v>0</v>
      </c>
      <c r="J273" s="63">
        <f t="shared" si="71"/>
        <v>0</v>
      </c>
      <c r="K273" s="63">
        <f t="shared" si="72"/>
        <v>0</v>
      </c>
    </row>
    <row r="274" spans="1:11" s="645" customFormat="1" ht="13">
      <c r="A274" s="109">
        <f t="shared" si="69"/>
        <v>206</v>
      </c>
      <c r="B274" s="611" t="s">
        <v>188</v>
      </c>
      <c r="C274" s="609">
        <v>2022</v>
      </c>
      <c r="D274" s="977">
        <v>0</v>
      </c>
      <c r="E274" s="63">
        <f>D274*'16-PlantAdditions'!$E$103</f>
        <v>0</v>
      </c>
      <c r="F274" s="63">
        <f t="shared" si="70"/>
        <v>0</v>
      </c>
      <c r="G274" s="977">
        <v>0</v>
      </c>
      <c r="H274" s="977">
        <v>0</v>
      </c>
      <c r="I274" s="63">
        <f>(G274-H274)*'16-PlantAdditions'!$E$103</f>
        <v>0</v>
      </c>
      <c r="J274" s="63">
        <f t="shared" si="71"/>
        <v>0</v>
      </c>
      <c r="K274" s="63">
        <f t="shared" si="72"/>
        <v>0</v>
      </c>
    </row>
    <row r="275" spans="1:11" s="645" customFormat="1" ht="13">
      <c r="A275" s="109">
        <f t="shared" si="69"/>
        <v>207</v>
      </c>
      <c r="B275" s="611" t="s">
        <v>191</v>
      </c>
      <c r="C275" s="609">
        <v>2022</v>
      </c>
      <c r="D275" s="977">
        <v>0</v>
      </c>
      <c r="E275" s="63">
        <f>D275*'16-PlantAdditions'!$E$103</f>
        <v>0</v>
      </c>
      <c r="F275" s="63">
        <f t="shared" ref="F275:F277" si="73">E275+D275</f>
        <v>0</v>
      </c>
      <c r="G275" s="977">
        <v>0</v>
      </c>
      <c r="H275" s="977">
        <v>0</v>
      </c>
      <c r="I275" s="63">
        <f>(G275-H275)*'16-PlantAdditions'!$E$103</f>
        <v>0</v>
      </c>
      <c r="J275" s="63">
        <f t="shared" ref="J275:J277" si="74">J274+F275-G275-I275</f>
        <v>0</v>
      </c>
      <c r="K275" s="63">
        <f t="shared" si="72"/>
        <v>0</v>
      </c>
    </row>
    <row r="276" spans="1:11" s="645" customFormat="1" ht="13">
      <c r="A276" s="109">
        <f t="shared" si="69"/>
        <v>208</v>
      </c>
      <c r="B276" s="611" t="s">
        <v>190</v>
      </c>
      <c r="C276" s="609">
        <v>2022</v>
      </c>
      <c r="D276" s="977">
        <v>0</v>
      </c>
      <c r="E276" s="63">
        <f>D276*'16-PlantAdditions'!$E$103</f>
        <v>0</v>
      </c>
      <c r="F276" s="63">
        <f t="shared" si="73"/>
        <v>0</v>
      </c>
      <c r="G276" s="977">
        <v>0</v>
      </c>
      <c r="H276" s="977">
        <v>0</v>
      </c>
      <c r="I276" s="63">
        <f>(G276-H276)*'16-PlantAdditions'!$E$103</f>
        <v>0</v>
      </c>
      <c r="J276" s="63">
        <f t="shared" si="74"/>
        <v>0</v>
      </c>
      <c r="K276" s="63">
        <f t="shared" si="72"/>
        <v>0</v>
      </c>
    </row>
    <row r="277" spans="1:11" s="645" customFormat="1" ht="13">
      <c r="A277" s="109">
        <f t="shared" si="69"/>
        <v>209</v>
      </c>
      <c r="B277" s="611" t="s">
        <v>180</v>
      </c>
      <c r="C277" s="609">
        <v>2022</v>
      </c>
      <c r="D277" s="977">
        <v>0</v>
      </c>
      <c r="E277" s="63">
        <f>D277*'16-PlantAdditions'!$E$103</f>
        <v>0</v>
      </c>
      <c r="F277" s="63">
        <f t="shared" si="73"/>
        <v>0</v>
      </c>
      <c r="G277" s="977">
        <v>0</v>
      </c>
      <c r="H277" s="977">
        <v>0</v>
      </c>
      <c r="I277" s="63">
        <f>(G277-H277)*'16-PlantAdditions'!$E$103</f>
        <v>0</v>
      </c>
      <c r="J277" s="63">
        <f t="shared" si="74"/>
        <v>0</v>
      </c>
      <c r="K277" s="110">
        <f t="shared" si="72"/>
        <v>0</v>
      </c>
    </row>
    <row r="278" spans="1:11" s="645" customFormat="1" ht="13">
      <c r="A278" s="109">
        <f t="shared" si="69"/>
        <v>210</v>
      </c>
      <c r="B278"/>
      <c r="C278" s="644" t="s">
        <v>1603</v>
      </c>
      <c r="D278"/>
      <c r="E278"/>
      <c r="F278"/>
      <c r="G278"/>
      <c r="H278"/>
      <c r="I278"/>
      <c r="J278"/>
      <c r="K278" s="73">
        <f>AVERAGE(K265:K277)</f>
        <v>0</v>
      </c>
    </row>
    <row r="279" spans="1:11" s="645" customFormat="1" ht="12.75" customHeight="1">
      <c r="A279" s="109"/>
      <c r="B279"/>
      <c r="C279" s="644"/>
      <c r="D279"/>
      <c r="E279"/>
      <c r="F279"/>
      <c r="G279"/>
      <c r="H279"/>
      <c r="I279"/>
      <c r="J279"/>
      <c r="K279" s="73"/>
    </row>
    <row r="280" spans="1:11" s="645" customFormat="1" ht="13">
      <c r="B280" s="646" t="s">
        <v>1936</v>
      </c>
      <c r="D280" s="1508" t="s">
        <v>2734</v>
      </c>
      <c r="E280" s="1508"/>
    </row>
    <row r="281" spans="1:11" s="645" customFormat="1" ht="13">
      <c r="B281" s="646"/>
      <c r="D281" s="640" t="s">
        <v>358</v>
      </c>
      <c r="E281" s="640" t="s">
        <v>342</v>
      </c>
      <c r="F281" s="640" t="s">
        <v>343</v>
      </c>
      <c r="G281" s="640" t="s">
        <v>344</v>
      </c>
      <c r="H281" s="640" t="s">
        <v>345</v>
      </c>
      <c r="I281" s="640" t="s">
        <v>346</v>
      </c>
      <c r="J281" s="640" t="s">
        <v>347</v>
      </c>
      <c r="K281" s="640" t="s">
        <v>534</v>
      </c>
    </row>
    <row r="282" spans="1:11" s="645" customFormat="1" ht="38">
      <c r="B282" s="646"/>
      <c r="D282" s="647"/>
      <c r="E282" s="648" t="s">
        <v>2061</v>
      </c>
      <c r="F282" s="649" t="s">
        <v>1927</v>
      </c>
      <c r="G282" s="525"/>
      <c r="H282" s="647"/>
      <c r="I282" s="648" t="s">
        <v>2062</v>
      </c>
      <c r="J282" s="648" t="s">
        <v>1928</v>
      </c>
      <c r="K282" s="648" t="s">
        <v>1929</v>
      </c>
    </row>
    <row r="283" spans="1:11" s="645" customFormat="1" ht="13">
      <c r="D283" s="647"/>
      <c r="E283" s="648"/>
      <c r="F283" s="649"/>
      <c r="G283" s="642" t="str">
        <f>G51</f>
        <v>Unloaded</v>
      </c>
      <c r="H283" s="647"/>
      <c r="I283" s="648"/>
      <c r="J283" s="648"/>
      <c r="K283" s="648"/>
    </row>
    <row r="284" spans="1:11" s="645" customFormat="1" ht="13">
      <c r="A284" s="642"/>
      <c r="B284" s="642"/>
      <c r="C284" s="642"/>
      <c r="D284" s="642" t="str">
        <f>D$52</f>
        <v>Forecast</v>
      </c>
      <c r="E284" s="642" t="str">
        <f t="shared" ref="E284:J284" si="75">E$52</f>
        <v>Corporate</v>
      </c>
      <c r="F284" s="642" t="str">
        <f t="shared" si="75"/>
        <v xml:space="preserve">Total </v>
      </c>
      <c r="G284" s="642" t="str">
        <f>G52</f>
        <v>Total</v>
      </c>
      <c r="H284" s="642" t="str">
        <f t="shared" si="75"/>
        <v>Prior Period</v>
      </c>
      <c r="I284" s="642" t="str">
        <f t="shared" si="75"/>
        <v>Over Heads</v>
      </c>
      <c r="J284" s="642" t="str">
        <f t="shared" si="75"/>
        <v>Forecast</v>
      </c>
      <c r="K284" s="549" t="str">
        <f>K$52</f>
        <v>Forecast Period</v>
      </c>
    </row>
    <row r="285" spans="1:11" s="645" customFormat="1" ht="13">
      <c r="A285" s="833" t="s">
        <v>329</v>
      </c>
      <c r="B285" s="607" t="s">
        <v>192</v>
      </c>
      <c r="C285" s="607" t="s">
        <v>193</v>
      </c>
      <c r="D285" s="640" t="str">
        <f>D$53</f>
        <v>Expenditures</v>
      </c>
      <c r="E285" s="640" t="str">
        <f t="shared" ref="E285:J285" si="76">E$53</f>
        <v>Overheads</v>
      </c>
      <c r="F285" s="640" t="str">
        <f t="shared" si="76"/>
        <v>CWIP Exp</v>
      </c>
      <c r="G285" s="640" t="str">
        <f>G53</f>
        <v>Plant Adds</v>
      </c>
      <c r="H285" s="640" t="str">
        <f t="shared" si="76"/>
        <v>CWIP Closed</v>
      </c>
      <c r="I285" s="640" t="str">
        <f t="shared" si="76"/>
        <v>Closed to PIS</v>
      </c>
      <c r="J285" s="640" t="str">
        <f t="shared" si="76"/>
        <v>Period CWIP</v>
      </c>
      <c r="K285" s="640" t="str">
        <f>K$53</f>
        <v>Incremental CWIP</v>
      </c>
    </row>
    <row r="286" spans="1:11" s="645" customFormat="1" ht="13">
      <c r="A286" s="109">
        <f>A278+1</f>
        <v>211</v>
      </c>
      <c r="B286" s="608" t="s">
        <v>180</v>
      </c>
      <c r="C286" s="609">
        <v>2020</v>
      </c>
      <c r="D286" s="649" t="s">
        <v>76</v>
      </c>
      <c r="E286" s="649" t="s">
        <v>76</v>
      </c>
      <c r="F286" s="649" t="s">
        <v>76</v>
      </c>
      <c r="G286" s="649" t="s">
        <v>76</v>
      </c>
      <c r="H286" s="649" t="s">
        <v>76</v>
      </c>
      <c r="I286" s="649" t="s">
        <v>76</v>
      </c>
      <c r="J286" s="63">
        <f>E45</f>
        <v>5327831.78</v>
      </c>
      <c r="K286" s="649" t="s">
        <v>76</v>
      </c>
    </row>
    <row r="287" spans="1:11" s="645" customFormat="1" ht="13">
      <c r="A287" s="109">
        <f>A286+1</f>
        <v>212</v>
      </c>
      <c r="B287" s="608" t="s">
        <v>181</v>
      </c>
      <c r="C287" s="609">
        <v>2021</v>
      </c>
      <c r="D287" s="977">
        <v>470656</v>
      </c>
      <c r="E287" s="63">
        <f>D287*'16-PlantAdditions'!$E$103</f>
        <v>35299.199999999997</v>
      </c>
      <c r="F287" s="63">
        <f>E287+D287</f>
        <v>505955.2</v>
      </c>
      <c r="G287" s="977">
        <v>0</v>
      </c>
      <c r="H287" s="977">
        <v>0</v>
      </c>
      <c r="I287" s="63">
        <f>(G287-H287)*'16-PlantAdditions'!$E$103</f>
        <v>0</v>
      </c>
      <c r="J287" s="63">
        <f>J286+F287-G287-I287</f>
        <v>5833786.9800000004</v>
      </c>
      <c r="K287" s="63">
        <f>J287-$J$286</f>
        <v>505955.20000000019</v>
      </c>
    </row>
    <row r="288" spans="1:11" s="645" customFormat="1" ht="13">
      <c r="A288" s="109">
        <f t="shared" ref="A288:A311" si="77">A287+1</f>
        <v>213</v>
      </c>
      <c r="B288" s="611" t="s">
        <v>182</v>
      </c>
      <c r="C288" s="609">
        <v>2021</v>
      </c>
      <c r="D288" s="977">
        <v>460619</v>
      </c>
      <c r="E288" s="63">
        <f>D288*'16-PlantAdditions'!$E$103</f>
        <v>34546.424999999996</v>
      </c>
      <c r="F288" s="63">
        <f t="shared" ref="F288:F307" si="78">E288+D288</f>
        <v>495165.42499999999</v>
      </c>
      <c r="G288" s="977">
        <v>0</v>
      </c>
      <c r="H288" s="977">
        <v>0</v>
      </c>
      <c r="I288" s="63">
        <f>(G288-H288)*'16-PlantAdditions'!$E$103</f>
        <v>0</v>
      </c>
      <c r="J288" s="63">
        <f t="shared" ref="J288:J307" si="79">J287+F288-G288-I288</f>
        <v>6328952.4050000003</v>
      </c>
      <c r="K288" s="63">
        <f t="shared" ref="K288:K310" si="80">J288-$J$286</f>
        <v>1001120.625</v>
      </c>
    </row>
    <row r="289" spans="1:13" s="645" customFormat="1" ht="13">
      <c r="A289" s="109">
        <f t="shared" si="77"/>
        <v>214</v>
      </c>
      <c r="B289" s="611" t="s">
        <v>195</v>
      </c>
      <c r="C289" s="609">
        <v>2021</v>
      </c>
      <c r="D289" s="977">
        <v>798388</v>
      </c>
      <c r="E289" s="63">
        <f>D289*'16-PlantAdditions'!$E$103</f>
        <v>59879.1</v>
      </c>
      <c r="F289" s="63">
        <f t="shared" si="78"/>
        <v>858267.1</v>
      </c>
      <c r="G289" s="977">
        <v>0</v>
      </c>
      <c r="H289" s="977">
        <v>0</v>
      </c>
      <c r="I289" s="63">
        <f>(G289-H289)*'16-PlantAdditions'!$E$103</f>
        <v>0</v>
      </c>
      <c r="J289" s="63">
        <f t="shared" si="79"/>
        <v>7187219.5049999999</v>
      </c>
      <c r="K289" s="63">
        <f t="shared" si="80"/>
        <v>1859387.7249999996</v>
      </c>
    </row>
    <row r="290" spans="1:13" s="645" customFormat="1" ht="13">
      <c r="A290" s="109">
        <f t="shared" si="77"/>
        <v>215</v>
      </c>
      <c r="B290" s="608" t="s">
        <v>183</v>
      </c>
      <c r="C290" s="609">
        <v>2021</v>
      </c>
      <c r="D290" s="977">
        <v>2217008</v>
      </c>
      <c r="E290" s="63">
        <f>D290*'16-PlantAdditions'!$E$103</f>
        <v>166275.6</v>
      </c>
      <c r="F290" s="63">
        <f t="shared" si="78"/>
        <v>2383283.6</v>
      </c>
      <c r="G290" s="977">
        <v>0</v>
      </c>
      <c r="H290" s="977">
        <v>0</v>
      </c>
      <c r="I290" s="63">
        <f>(G290-H290)*'16-PlantAdditions'!$E$103</f>
        <v>0</v>
      </c>
      <c r="J290" s="63">
        <f t="shared" si="79"/>
        <v>9570503.1050000004</v>
      </c>
      <c r="K290" s="63">
        <f t="shared" si="80"/>
        <v>4242671.3250000002</v>
      </c>
    </row>
    <row r="291" spans="1:13" s="645" customFormat="1" ht="13">
      <c r="A291" s="109">
        <f t="shared" si="77"/>
        <v>216</v>
      </c>
      <c r="B291" s="611" t="s">
        <v>184</v>
      </c>
      <c r="C291" s="609">
        <v>2021</v>
      </c>
      <c r="D291" s="977">
        <v>2034000</v>
      </c>
      <c r="E291" s="63">
        <f>D291*'16-PlantAdditions'!$E$103</f>
        <v>152550</v>
      </c>
      <c r="F291" s="63">
        <f t="shared" si="78"/>
        <v>2186550</v>
      </c>
      <c r="G291" s="977">
        <v>0</v>
      </c>
      <c r="H291" s="977">
        <v>0</v>
      </c>
      <c r="I291" s="63">
        <f>(G291-H291)*'16-PlantAdditions'!$E$103</f>
        <v>0</v>
      </c>
      <c r="J291" s="63">
        <f t="shared" si="79"/>
        <v>11757053.105</v>
      </c>
      <c r="K291" s="63">
        <f t="shared" si="80"/>
        <v>6429221.3250000002</v>
      </c>
      <c r="L291" s="642"/>
      <c r="M291" s="642"/>
    </row>
    <row r="292" spans="1:13" s="645" customFormat="1" ht="13">
      <c r="A292" s="109">
        <f t="shared" si="77"/>
        <v>217</v>
      </c>
      <c r="B292" s="611" t="s">
        <v>1458</v>
      </c>
      <c r="C292" s="609">
        <v>2021</v>
      </c>
      <c r="D292" s="977">
        <v>1198500</v>
      </c>
      <c r="E292" s="63">
        <f>D292*'16-PlantAdditions'!$E$103</f>
        <v>89887.5</v>
      </c>
      <c r="F292" s="63">
        <f t="shared" si="78"/>
        <v>1288387.5</v>
      </c>
      <c r="G292" s="977">
        <v>0</v>
      </c>
      <c r="H292" s="977">
        <v>0</v>
      </c>
      <c r="I292" s="63">
        <f>(G292-H292)*'16-PlantAdditions'!$E$103</f>
        <v>0</v>
      </c>
      <c r="J292" s="63">
        <f t="shared" si="79"/>
        <v>13045440.605</v>
      </c>
      <c r="K292" s="63">
        <f t="shared" si="80"/>
        <v>7717608.8250000002</v>
      </c>
      <c r="L292" s="640"/>
      <c r="M292" s="640"/>
    </row>
    <row r="293" spans="1:13" s="645" customFormat="1" ht="13">
      <c r="A293" s="109">
        <f t="shared" si="77"/>
        <v>218</v>
      </c>
      <c r="B293" s="608" t="s">
        <v>186</v>
      </c>
      <c r="C293" s="609">
        <v>2021</v>
      </c>
      <c r="D293" s="977">
        <v>485000</v>
      </c>
      <c r="E293" s="63">
        <f>D293*'16-PlantAdditions'!$E$103</f>
        <v>36375</v>
      </c>
      <c r="F293" s="63">
        <f t="shared" si="78"/>
        <v>521375</v>
      </c>
      <c r="G293" s="977">
        <v>0</v>
      </c>
      <c r="H293" s="977">
        <v>0</v>
      </c>
      <c r="I293" s="63">
        <f>(G293-H293)*'16-PlantAdditions'!$E$103</f>
        <v>0</v>
      </c>
      <c r="J293" s="63">
        <f t="shared" si="79"/>
        <v>13566815.605</v>
      </c>
      <c r="K293" s="63">
        <f t="shared" si="80"/>
        <v>8238983.8250000002</v>
      </c>
    </row>
    <row r="294" spans="1:13" s="645" customFormat="1" ht="13">
      <c r="A294" s="109">
        <f t="shared" si="77"/>
        <v>219</v>
      </c>
      <c r="B294" s="611" t="s">
        <v>187</v>
      </c>
      <c r="C294" s="609">
        <v>2021</v>
      </c>
      <c r="D294" s="977">
        <v>486500</v>
      </c>
      <c r="E294" s="63">
        <f>D294*'16-PlantAdditions'!$E$103</f>
        <v>36487.5</v>
      </c>
      <c r="F294" s="63">
        <f t="shared" si="78"/>
        <v>522987.5</v>
      </c>
      <c r="G294" s="977">
        <v>0</v>
      </c>
      <c r="H294" s="977">
        <v>0</v>
      </c>
      <c r="I294" s="63">
        <f>(G294-H294)*'16-PlantAdditions'!$E$103</f>
        <v>0</v>
      </c>
      <c r="J294" s="63">
        <f t="shared" si="79"/>
        <v>14089803.105</v>
      </c>
      <c r="K294" s="63">
        <f t="shared" si="80"/>
        <v>8761971.3249999993</v>
      </c>
    </row>
    <row r="295" spans="1:13" s="645" customFormat="1" ht="13">
      <c r="A295" s="109">
        <f t="shared" si="77"/>
        <v>220</v>
      </c>
      <c r="B295" s="611" t="s">
        <v>188</v>
      </c>
      <c r="C295" s="609">
        <v>2021</v>
      </c>
      <c r="D295" s="977">
        <v>463200</v>
      </c>
      <c r="E295" s="63">
        <f>D295*'16-PlantAdditions'!$E$103</f>
        <v>34740</v>
      </c>
      <c r="F295" s="63">
        <f t="shared" si="78"/>
        <v>497940</v>
      </c>
      <c r="G295" s="977">
        <v>0</v>
      </c>
      <c r="H295" s="977">
        <v>0</v>
      </c>
      <c r="I295" s="63">
        <f>(G295-H295)*'16-PlantAdditions'!$E$103</f>
        <v>0</v>
      </c>
      <c r="J295" s="63">
        <f t="shared" si="79"/>
        <v>14587743.105</v>
      </c>
      <c r="K295" s="63">
        <f t="shared" si="80"/>
        <v>9259911.3249999993</v>
      </c>
    </row>
    <row r="296" spans="1:13" s="645" customFormat="1" ht="13">
      <c r="A296" s="109">
        <f t="shared" si="77"/>
        <v>221</v>
      </c>
      <c r="B296" s="608" t="s">
        <v>191</v>
      </c>
      <c r="C296" s="609">
        <v>2021</v>
      </c>
      <c r="D296" s="977">
        <v>418350</v>
      </c>
      <c r="E296" s="63">
        <f>D296*'16-PlantAdditions'!$E$103</f>
        <v>31376.25</v>
      </c>
      <c r="F296" s="63">
        <f t="shared" si="78"/>
        <v>449726.25</v>
      </c>
      <c r="G296" s="977">
        <v>0</v>
      </c>
      <c r="H296" s="977">
        <v>0</v>
      </c>
      <c r="I296" s="63">
        <f>(G296-H296)*'16-PlantAdditions'!$E$103</f>
        <v>0</v>
      </c>
      <c r="J296" s="63">
        <f t="shared" si="79"/>
        <v>15037469.355</v>
      </c>
      <c r="K296" s="63">
        <f t="shared" si="80"/>
        <v>9709637.5749999993</v>
      </c>
    </row>
    <row r="297" spans="1:13" s="645" customFormat="1" ht="13">
      <c r="A297" s="109">
        <f t="shared" si="77"/>
        <v>222</v>
      </c>
      <c r="B297" s="608" t="s">
        <v>190</v>
      </c>
      <c r="C297" s="609">
        <v>2021</v>
      </c>
      <c r="D297" s="977">
        <v>433000</v>
      </c>
      <c r="E297" s="63">
        <f>D297*'16-PlantAdditions'!$E$103</f>
        <v>32475</v>
      </c>
      <c r="F297" s="63">
        <f t="shared" si="78"/>
        <v>465475</v>
      </c>
      <c r="G297" s="977">
        <v>0</v>
      </c>
      <c r="H297" s="977">
        <v>0</v>
      </c>
      <c r="I297" s="63">
        <f>(G297-H297)*'16-PlantAdditions'!$E$103</f>
        <v>0</v>
      </c>
      <c r="J297" s="63">
        <f t="shared" si="79"/>
        <v>15502944.355</v>
      </c>
      <c r="K297" s="63">
        <f t="shared" si="80"/>
        <v>10175112.574999999</v>
      </c>
    </row>
    <row r="298" spans="1:13" s="645" customFormat="1" ht="13">
      <c r="A298" s="109">
        <f t="shared" si="77"/>
        <v>223</v>
      </c>
      <c r="B298" s="608" t="s">
        <v>180</v>
      </c>
      <c r="C298" s="609">
        <v>2021</v>
      </c>
      <c r="D298" s="977">
        <v>534779</v>
      </c>
      <c r="E298" s="63">
        <f>D298*'16-PlantAdditions'!$E$103</f>
        <v>40108.424999999996</v>
      </c>
      <c r="F298" s="63">
        <f t="shared" si="78"/>
        <v>574887.42500000005</v>
      </c>
      <c r="G298" s="977">
        <v>15327831.780000003</v>
      </c>
      <c r="H298" s="977">
        <v>5327831.78</v>
      </c>
      <c r="I298" s="63">
        <f>(G298-H298)*'16-PlantAdditions'!$E$103</f>
        <v>750000.00000000023</v>
      </c>
      <c r="J298" s="63">
        <f t="shared" si="79"/>
        <v>-2.0954757928848267E-9</v>
      </c>
      <c r="K298" s="63">
        <f t="shared" si="80"/>
        <v>-5327831.7800000021</v>
      </c>
    </row>
    <row r="299" spans="1:13" s="645" customFormat="1" ht="13">
      <c r="A299" s="109">
        <f t="shared" si="77"/>
        <v>224</v>
      </c>
      <c r="B299" s="608" t="s">
        <v>181</v>
      </c>
      <c r="C299" s="609">
        <v>2022</v>
      </c>
      <c r="D299" s="977">
        <v>50000</v>
      </c>
      <c r="E299" s="63">
        <f>D299*'16-PlantAdditions'!$E$103</f>
        <v>3750</v>
      </c>
      <c r="F299" s="63">
        <f t="shared" si="78"/>
        <v>53750</v>
      </c>
      <c r="G299" s="977">
        <v>50000</v>
      </c>
      <c r="H299" s="977">
        <v>0</v>
      </c>
      <c r="I299" s="63">
        <f>(G299-H299)*'16-PlantAdditions'!$E$103</f>
        <v>3750</v>
      </c>
      <c r="J299" s="63">
        <f t="shared" si="79"/>
        <v>-2.0954757928848267E-9</v>
      </c>
      <c r="K299" s="63">
        <f t="shared" si="80"/>
        <v>-5327831.7800000021</v>
      </c>
    </row>
    <row r="300" spans="1:13" s="645" customFormat="1" ht="13">
      <c r="A300" s="109">
        <f t="shared" si="77"/>
        <v>225</v>
      </c>
      <c r="B300" s="611" t="s">
        <v>182</v>
      </c>
      <c r="C300" s="609">
        <v>2022</v>
      </c>
      <c r="D300" s="977">
        <v>30000</v>
      </c>
      <c r="E300" s="63">
        <f>D300*'16-PlantAdditions'!$E$103</f>
        <v>2250</v>
      </c>
      <c r="F300" s="63">
        <f t="shared" si="78"/>
        <v>32250</v>
      </c>
      <c r="G300" s="977">
        <v>30000</v>
      </c>
      <c r="H300" s="977">
        <v>0</v>
      </c>
      <c r="I300" s="63">
        <f>(G300-H300)*'16-PlantAdditions'!$E$103</f>
        <v>2250</v>
      </c>
      <c r="J300" s="63">
        <f t="shared" si="79"/>
        <v>-2.0954757928848267E-9</v>
      </c>
      <c r="K300" s="63">
        <f t="shared" si="80"/>
        <v>-5327831.7800000021</v>
      </c>
    </row>
    <row r="301" spans="1:13" s="645" customFormat="1" ht="13">
      <c r="A301" s="109">
        <f t="shared" si="77"/>
        <v>226</v>
      </c>
      <c r="B301" s="611" t="s">
        <v>195</v>
      </c>
      <c r="C301" s="609">
        <v>2022</v>
      </c>
      <c r="D301" s="977">
        <v>0</v>
      </c>
      <c r="E301" s="63">
        <f>D301*'16-PlantAdditions'!$E$103</f>
        <v>0</v>
      </c>
      <c r="F301" s="63">
        <f t="shared" si="78"/>
        <v>0</v>
      </c>
      <c r="G301" s="977">
        <v>0</v>
      </c>
      <c r="H301" s="977">
        <v>0</v>
      </c>
      <c r="I301" s="63">
        <f>(G301-H301)*'16-PlantAdditions'!$E$103</f>
        <v>0</v>
      </c>
      <c r="J301" s="63">
        <f t="shared" si="79"/>
        <v>-2.0954757928848267E-9</v>
      </c>
      <c r="K301" s="63">
        <f t="shared" si="80"/>
        <v>-5327831.7800000021</v>
      </c>
    </row>
    <row r="302" spans="1:13" s="645" customFormat="1" ht="13">
      <c r="A302" s="109">
        <f t="shared" si="77"/>
        <v>227</v>
      </c>
      <c r="B302" s="608" t="s">
        <v>183</v>
      </c>
      <c r="C302" s="609">
        <v>2022</v>
      </c>
      <c r="D302" s="977">
        <v>0</v>
      </c>
      <c r="E302" s="63">
        <f>D302*'16-PlantAdditions'!$E$103</f>
        <v>0</v>
      </c>
      <c r="F302" s="63">
        <f t="shared" si="78"/>
        <v>0</v>
      </c>
      <c r="G302" s="977">
        <v>0</v>
      </c>
      <c r="H302" s="977">
        <v>0</v>
      </c>
      <c r="I302" s="63">
        <f>(G302-H302)*'16-PlantAdditions'!$E$103</f>
        <v>0</v>
      </c>
      <c r="J302" s="63">
        <f t="shared" si="79"/>
        <v>-2.0954757928848267E-9</v>
      </c>
      <c r="K302" s="63">
        <f t="shared" si="80"/>
        <v>-5327831.7800000021</v>
      </c>
    </row>
    <row r="303" spans="1:13" s="645" customFormat="1" ht="13">
      <c r="A303" s="109">
        <f t="shared" si="77"/>
        <v>228</v>
      </c>
      <c r="B303" s="611" t="s">
        <v>184</v>
      </c>
      <c r="C303" s="609">
        <v>2022</v>
      </c>
      <c r="D303" s="977">
        <v>0</v>
      </c>
      <c r="E303" s="63">
        <f>D303*'16-PlantAdditions'!$E$103</f>
        <v>0</v>
      </c>
      <c r="F303" s="63">
        <f t="shared" si="78"/>
        <v>0</v>
      </c>
      <c r="G303" s="977">
        <v>0</v>
      </c>
      <c r="H303" s="977">
        <v>0</v>
      </c>
      <c r="I303" s="63">
        <f>(G303-H303)*'16-PlantAdditions'!$E$103</f>
        <v>0</v>
      </c>
      <c r="J303" s="63">
        <f t="shared" si="79"/>
        <v>-2.0954757928848267E-9</v>
      </c>
      <c r="K303" s="63">
        <f t="shared" si="80"/>
        <v>-5327831.7800000021</v>
      </c>
    </row>
    <row r="304" spans="1:13" s="645" customFormat="1" ht="13">
      <c r="A304" s="109">
        <f t="shared" si="77"/>
        <v>229</v>
      </c>
      <c r="B304" s="611" t="s">
        <v>1458</v>
      </c>
      <c r="C304" s="609">
        <v>2022</v>
      </c>
      <c r="D304" s="977">
        <v>0</v>
      </c>
      <c r="E304" s="63">
        <f>D304*'16-PlantAdditions'!$E$103</f>
        <v>0</v>
      </c>
      <c r="F304" s="63">
        <f t="shared" si="78"/>
        <v>0</v>
      </c>
      <c r="G304" s="977">
        <v>0</v>
      </c>
      <c r="H304" s="977">
        <v>0</v>
      </c>
      <c r="I304" s="63">
        <f>(G304-H304)*'16-PlantAdditions'!$E$103</f>
        <v>0</v>
      </c>
      <c r="J304" s="63">
        <f t="shared" si="79"/>
        <v>-2.0954757928848267E-9</v>
      </c>
      <c r="K304" s="63">
        <f t="shared" si="80"/>
        <v>-5327831.7800000021</v>
      </c>
    </row>
    <row r="305" spans="1:12" s="645" customFormat="1" ht="13">
      <c r="A305" s="109">
        <f t="shared" si="77"/>
        <v>230</v>
      </c>
      <c r="B305" s="608" t="s">
        <v>186</v>
      </c>
      <c r="C305" s="609">
        <v>2022</v>
      </c>
      <c r="D305" s="977">
        <v>0</v>
      </c>
      <c r="E305" s="63">
        <f>D305*'16-PlantAdditions'!$E$103</f>
        <v>0</v>
      </c>
      <c r="F305" s="63">
        <f t="shared" si="78"/>
        <v>0</v>
      </c>
      <c r="G305" s="977">
        <v>0</v>
      </c>
      <c r="H305" s="977">
        <v>0</v>
      </c>
      <c r="I305" s="63">
        <f>(G305-H305)*'16-PlantAdditions'!$E$103</f>
        <v>0</v>
      </c>
      <c r="J305" s="63">
        <f t="shared" si="79"/>
        <v>-2.0954757928848267E-9</v>
      </c>
      <c r="K305" s="63">
        <f t="shared" si="80"/>
        <v>-5327831.7800000021</v>
      </c>
    </row>
    <row r="306" spans="1:12" s="645" customFormat="1" ht="13">
      <c r="A306" s="109">
        <f t="shared" si="77"/>
        <v>231</v>
      </c>
      <c r="B306" s="611" t="s">
        <v>187</v>
      </c>
      <c r="C306" s="609">
        <v>2022</v>
      </c>
      <c r="D306" s="977">
        <v>0</v>
      </c>
      <c r="E306" s="63">
        <f>D306*'16-PlantAdditions'!$E$103</f>
        <v>0</v>
      </c>
      <c r="F306" s="63">
        <f t="shared" si="78"/>
        <v>0</v>
      </c>
      <c r="G306" s="977">
        <v>0</v>
      </c>
      <c r="H306" s="977">
        <v>0</v>
      </c>
      <c r="I306" s="63">
        <f>(G306-H306)*'16-PlantAdditions'!$E$103</f>
        <v>0</v>
      </c>
      <c r="J306" s="63">
        <f t="shared" si="79"/>
        <v>-2.0954757928848267E-9</v>
      </c>
      <c r="K306" s="63">
        <f t="shared" si="80"/>
        <v>-5327831.7800000021</v>
      </c>
    </row>
    <row r="307" spans="1:12" s="645" customFormat="1" ht="13">
      <c r="A307" s="109">
        <f t="shared" si="77"/>
        <v>232</v>
      </c>
      <c r="B307" s="611" t="s">
        <v>188</v>
      </c>
      <c r="C307" s="609">
        <v>2022</v>
      </c>
      <c r="D307" s="977">
        <v>0</v>
      </c>
      <c r="E307" s="63">
        <f>D307*'16-PlantAdditions'!$E$103</f>
        <v>0</v>
      </c>
      <c r="F307" s="63">
        <f t="shared" si="78"/>
        <v>0</v>
      </c>
      <c r="G307" s="977">
        <v>0</v>
      </c>
      <c r="H307" s="977">
        <v>0</v>
      </c>
      <c r="I307" s="63">
        <f>(G307-H307)*'16-PlantAdditions'!$E$103</f>
        <v>0</v>
      </c>
      <c r="J307" s="63">
        <f t="shared" si="79"/>
        <v>-2.0954757928848267E-9</v>
      </c>
      <c r="K307" s="63">
        <f t="shared" si="80"/>
        <v>-5327831.7800000021</v>
      </c>
    </row>
    <row r="308" spans="1:12" s="645" customFormat="1" ht="13">
      <c r="A308" s="109">
        <f t="shared" si="77"/>
        <v>233</v>
      </c>
      <c r="B308" s="611" t="s">
        <v>191</v>
      </c>
      <c r="C308" s="609">
        <v>2022</v>
      </c>
      <c r="D308" s="977">
        <v>0</v>
      </c>
      <c r="E308" s="63">
        <f>D308*'16-PlantAdditions'!$E$103</f>
        <v>0</v>
      </c>
      <c r="F308" s="63">
        <f t="shared" ref="F308:F310" si="81">E308+D308</f>
        <v>0</v>
      </c>
      <c r="G308" s="977">
        <v>0</v>
      </c>
      <c r="H308" s="977">
        <v>0</v>
      </c>
      <c r="I308" s="63">
        <f>(G308-H308)*'16-PlantAdditions'!$E$103</f>
        <v>0</v>
      </c>
      <c r="J308" s="63">
        <f t="shared" ref="J308:J310" si="82">J307+F308-G308-I308</f>
        <v>-2.0954757928848267E-9</v>
      </c>
      <c r="K308" s="63">
        <f t="shared" si="80"/>
        <v>-5327831.7800000021</v>
      </c>
    </row>
    <row r="309" spans="1:12" s="645" customFormat="1" ht="13">
      <c r="A309" s="109">
        <f t="shared" si="77"/>
        <v>234</v>
      </c>
      <c r="B309" s="611" t="s">
        <v>190</v>
      </c>
      <c r="C309" s="609">
        <v>2022</v>
      </c>
      <c r="D309" s="977">
        <v>0</v>
      </c>
      <c r="E309" s="63">
        <f>D309*'16-PlantAdditions'!$E$103</f>
        <v>0</v>
      </c>
      <c r="F309" s="63">
        <f t="shared" si="81"/>
        <v>0</v>
      </c>
      <c r="G309" s="977">
        <v>0</v>
      </c>
      <c r="H309" s="977">
        <v>0</v>
      </c>
      <c r="I309" s="63">
        <f>(G309-H309)*'16-PlantAdditions'!$E$103</f>
        <v>0</v>
      </c>
      <c r="J309" s="63">
        <f t="shared" si="82"/>
        <v>-2.0954757928848267E-9</v>
      </c>
      <c r="K309" s="63">
        <f t="shared" si="80"/>
        <v>-5327831.7800000021</v>
      </c>
    </row>
    <row r="310" spans="1:12" s="645" customFormat="1" ht="13">
      <c r="A310" s="109">
        <f t="shared" si="77"/>
        <v>235</v>
      </c>
      <c r="B310" s="611" t="s">
        <v>180</v>
      </c>
      <c r="C310" s="609">
        <v>2022</v>
      </c>
      <c r="D310" s="977">
        <v>0</v>
      </c>
      <c r="E310" s="63">
        <f>D310*'16-PlantAdditions'!$E$103</f>
        <v>0</v>
      </c>
      <c r="F310" s="63">
        <f t="shared" si="81"/>
        <v>0</v>
      </c>
      <c r="G310" s="977">
        <v>0</v>
      </c>
      <c r="H310" s="977">
        <v>0</v>
      </c>
      <c r="I310" s="63">
        <f>(G310-H310)*'16-PlantAdditions'!$E$103</f>
        <v>0</v>
      </c>
      <c r="J310" s="63">
        <f t="shared" si="82"/>
        <v>-2.0954757928848267E-9</v>
      </c>
      <c r="K310" s="110">
        <f t="shared" si="80"/>
        <v>-5327831.7800000021</v>
      </c>
    </row>
    <row r="311" spans="1:12" s="645" customFormat="1" ht="13">
      <c r="A311" s="109">
        <f t="shared" si="77"/>
        <v>236</v>
      </c>
      <c r="B311"/>
      <c r="C311" s="644" t="s">
        <v>1603</v>
      </c>
      <c r="D311"/>
      <c r="E311"/>
      <c r="F311"/>
      <c r="G311"/>
      <c r="H311"/>
      <c r="I311"/>
      <c r="J311"/>
      <c r="K311" s="73">
        <f>AVERAGE(K298:K310)</f>
        <v>-5327831.7800000021</v>
      </c>
    </row>
    <row r="312" spans="1:12" s="645" customFormat="1" ht="13">
      <c r="A312" s="109"/>
      <c r="B312"/>
      <c r="C312" s="644"/>
      <c r="D312"/>
      <c r="E312"/>
      <c r="F312"/>
      <c r="G312"/>
      <c r="H312"/>
      <c r="I312"/>
      <c r="J312"/>
      <c r="K312" s="73"/>
    </row>
    <row r="313" spans="1:12" s="645" customFormat="1" ht="13">
      <c r="B313" s="646" t="s">
        <v>1937</v>
      </c>
      <c r="D313" s="1508" t="s">
        <v>2418</v>
      </c>
      <c r="E313" s="1508"/>
    </row>
    <row r="314" spans="1:12" s="645" customFormat="1" ht="13">
      <c r="A314" s="640"/>
      <c r="B314" s="640"/>
      <c r="C314" s="640"/>
      <c r="D314" s="640" t="s">
        <v>358</v>
      </c>
      <c r="E314" s="640" t="s">
        <v>342</v>
      </c>
      <c r="F314" s="640" t="s">
        <v>343</v>
      </c>
      <c r="G314" s="640" t="s">
        <v>344</v>
      </c>
      <c r="H314" s="640" t="s">
        <v>345</v>
      </c>
      <c r="I314" s="640" t="s">
        <v>346</v>
      </c>
      <c r="J314" s="640" t="s">
        <v>347</v>
      </c>
      <c r="K314" s="640" t="s">
        <v>534</v>
      </c>
    </row>
    <row r="315" spans="1:12" s="645" customFormat="1" ht="38">
      <c r="D315" s="647"/>
      <c r="E315" s="648" t="s">
        <v>2061</v>
      </c>
      <c r="F315" s="649" t="s">
        <v>1927</v>
      </c>
      <c r="G315" s="525"/>
      <c r="H315" s="647"/>
      <c r="I315" s="648" t="s">
        <v>2062</v>
      </c>
      <c r="J315" s="648" t="s">
        <v>1928</v>
      </c>
      <c r="K315" s="648" t="s">
        <v>1929</v>
      </c>
    </row>
    <row r="316" spans="1:12" s="645" customFormat="1" ht="13">
      <c r="D316" s="647"/>
      <c r="E316" s="647"/>
      <c r="F316" s="647"/>
      <c r="G316" s="549" t="str">
        <f>G51</f>
        <v>Unloaded</v>
      </c>
      <c r="H316" s="647"/>
      <c r="I316" s="647"/>
    </row>
    <row r="317" spans="1:12" s="645" customFormat="1" ht="13">
      <c r="A317" s="642"/>
      <c r="B317" s="642"/>
      <c r="C317" s="642"/>
      <c r="D317" s="642" t="str">
        <f>D$52</f>
        <v>Forecast</v>
      </c>
      <c r="E317" s="642" t="str">
        <f t="shared" ref="E317:J317" si="83">E$52</f>
        <v>Corporate</v>
      </c>
      <c r="F317" s="642" t="str">
        <f t="shared" si="83"/>
        <v xml:space="preserve">Total </v>
      </c>
      <c r="G317" s="549" t="str">
        <f>G52</f>
        <v>Total</v>
      </c>
      <c r="H317" s="642" t="str">
        <f t="shared" si="83"/>
        <v>Prior Period</v>
      </c>
      <c r="I317" s="642" t="str">
        <f t="shared" si="83"/>
        <v>Over Heads</v>
      </c>
      <c r="J317" s="642" t="str">
        <f t="shared" si="83"/>
        <v>Forecast</v>
      </c>
      <c r="K317" s="549" t="str">
        <f>K$52</f>
        <v>Forecast Period</v>
      </c>
    </row>
    <row r="318" spans="1:12" s="645" customFormat="1" ht="13">
      <c r="A318" s="833" t="s">
        <v>329</v>
      </c>
      <c r="B318" s="607" t="s">
        <v>192</v>
      </c>
      <c r="C318" s="607" t="s">
        <v>193</v>
      </c>
      <c r="D318" s="640" t="str">
        <f>D$53</f>
        <v>Expenditures</v>
      </c>
      <c r="E318" s="640" t="str">
        <f t="shared" ref="E318:J318" si="84">E$53</f>
        <v>Overheads</v>
      </c>
      <c r="F318" s="640" t="str">
        <f t="shared" si="84"/>
        <v>CWIP Exp</v>
      </c>
      <c r="G318" s="3" t="str">
        <f>G53</f>
        <v>Plant Adds</v>
      </c>
      <c r="H318" s="640" t="str">
        <f t="shared" si="84"/>
        <v>CWIP Closed</v>
      </c>
      <c r="I318" s="640" t="str">
        <f t="shared" si="84"/>
        <v>Closed to PIS</v>
      </c>
      <c r="J318" s="640" t="str">
        <f t="shared" si="84"/>
        <v>Period CWIP</v>
      </c>
      <c r="K318" s="640" t="str">
        <f>K$53</f>
        <v>Incremental CWIP</v>
      </c>
    </row>
    <row r="319" spans="1:12" s="645" customFormat="1" ht="13">
      <c r="A319" s="109">
        <f>A311+1</f>
        <v>237</v>
      </c>
      <c r="B319" s="608" t="s">
        <v>180</v>
      </c>
      <c r="C319" s="609">
        <v>2020</v>
      </c>
      <c r="D319" s="649" t="s">
        <v>76</v>
      </c>
      <c r="E319" s="649" t="s">
        <v>76</v>
      </c>
      <c r="F319" s="649" t="s">
        <v>76</v>
      </c>
      <c r="G319" s="649" t="s">
        <v>76</v>
      </c>
      <c r="H319" s="649" t="s">
        <v>76</v>
      </c>
      <c r="I319" s="649" t="s">
        <v>76</v>
      </c>
      <c r="J319" s="63">
        <f>F45</f>
        <v>130044184.2</v>
      </c>
      <c r="K319" s="649" t="s">
        <v>76</v>
      </c>
    </row>
    <row r="320" spans="1:12" s="645" customFormat="1" ht="13">
      <c r="A320" s="109">
        <f>A319+1</f>
        <v>238</v>
      </c>
      <c r="B320" s="608" t="s">
        <v>181</v>
      </c>
      <c r="C320" s="609">
        <v>2021</v>
      </c>
      <c r="D320" s="977">
        <v>4550639.7917999998</v>
      </c>
      <c r="E320" s="63">
        <f>D320*'16-PlantAdditions'!$E$103</f>
        <v>341297.98438499996</v>
      </c>
      <c r="F320" s="63">
        <f>E320+D320</f>
        <v>4891937.7761849994</v>
      </c>
      <c r="G320" s="977">
        <v>5140411.111800001</v>
      </c>
      <c r="H320" s="977">
        <v>5205291.32</v>
      </c>
      <c r="I320" s="63">
        <f>(G320-H320)*'16-PlantAdditions'!$E$103</f>
        <v>-4866.0156149999466</v>
      </c>
      <c r="J320" s="63">
        <f>J319+F320-G320-I320</f>
        <v>129800576.88</v>
      </c>
      <c r="K320" s="63">
        <f>J320-$J$319</f>
        <v>-243607.32000000775</v>
      </c>
      <c r="L320" s="642"/>
    </row>
    <row r="321" spans="1:12" s="645" customFormat="1" ht="13">
      <c r="A321" s="109">
        <f t="shared" ref="A321:A344" si="85">A320+1</f>
        <v>239</v>
      </c>
      <c r="B321" s="611" t="s">
        <v>182</v>
      </c>
      <c r="C321" s="609">
        <v>2021</v>
      </c>
      <c r="D321" s="977">
        <v>5391275.8383999988</v>
      </c>
      <c r="E321" s="63">
        <f>D321*'16-PlantAdditions'!$E$103</f>
        <v>404345.68787999992</v>
      </c>
      <c r="F321" s="63">
        <f t="shared" ref="F321:F340" si="86">E321+D321</f>
        <v>5795621.5262799989</v>
      </c>
      <c r="G321" s="977">
        <v>-531880.16160000011</v>
      </c>
      <c r="H321" s="977">
        <v>0</v>
      </c>
      <c r="I321" s="63">
        <f>(G321-H321)*'16-PlantAdditions'!$E$103</f>
        <v>-39891.012120000007</v>
      </c>
      <c r="J321" s="63">
        <f t="shared" ref="J321:J340" si="87">J320+F321-G321-I321</f>
        <v>136167969.57999998</v>
      </c>
      <c r="K321" s="63">
        <f t="shared" ref="K321:K343" si="88">J321-$J$319</f>
        <v>6123785.3799999803</v>
      </c>
      <c r="L321" s="642"/>
    </row>
    <row r="322" spans="1:12" s="645" customFormat="1" ht="13">
      <c r="A322" s="109">
        <f t="shared" si="85"/>
        <v>240</v>
      </c>
      <c r="B322" s="611" t="s">
        <v>195</v>
      </c>
      <c r="C322" s="609">
        <v>2021</v>
      </c>
      <c r="D322" s="977">
        <v>7670099.3893999998</v>
      </c>
      <c r="E322" s="63">
        <f>D322*'16-PlantAdditions'!$E$103</f>
        <v>575257.45420499996</v>
      </c>
      <c r="F322" s="63">
        <f t="shared" si="86"/>
        <v>8245356.8436049996</v>
      </c>
      <c r="G322" s="977">
        <v>96661.389399999985</v>
      </c>
      <c r="H322" s="977">
        <v>0</v>
      </c>
      <c r="I322" s="63">
        <f>(G322-H322)*'16-PlantAdditions'!$E$103</f>
        <v>7249.6042049999987</v>
      </c>
      <c r="J322" s="63">
        <f t="shared" si="87"/>
        <v>144309415.42999998</v>
      </c>
      <c r="K322" s="63">
        <f t="shared" si="88"/>
        <v>14265231.229999974</v>
      </c>
      <c r="L322" s="642"/>
    </row>
    <row r="323" spans="1:12" s="645" customFormat="1" ht="13">
      <c r="A323" s="109">
        <f t="shared" si="85"/>
        <v>241</v>
      </c>
      <c r="B323" s="608" t="s">
        <v>183</v>
      </c>
      <c r="C323" s="609">
        <v>2021</v>
      </c>
      <c r="D323" s="977">
        <v>6330146</v>
      </c>
      <c r="E323" s="63">
        <f>D323*'16-PlantAdditions'!$E$103</f>
        <v>474760.94999999995</v>
      </c>
      <c r="F323" s="63">
        <f t="shared" si="86"/>
        <v>6804906.9500000002</v>
      </c>
      <c r="G323" s="977">
        <v>268075</v>
      </c>
      <c r="H323" s="977">
        <v>0</v>
      </c>
      <c r="I323" s="63">
        <f>(G323-H323)*'16-PlantAdditions'!$E$103</f>
        <v>20105.625</v>
      </c>
      <c r="J323" s="63">
        <f t="shared" si="87"/>
        <v>150826141.75499997</v>
      </c>
      <c r="K323" s="63">
        <f t="shared" si="88"/>
        <v>20781957.554999962</v>
      </c>
      <c r="L323" s="640"/>
    </row>
    <row r="324" spans="1:12" s="645" customFormat="1" ht="13">
      <c r="A324" s="109">
        <f t="shared" si="85"/>
        <v>242</v>
      </c>
      <c r="B324" s="611" t="s">
        <v>184</v>
      </c>
      <c r="C324" s="609">
        <v>2021</v>
      </c>
      <c r="D324" s="977">
        <v>5537347.9999999991</v>
      </c>
      <c r="E324" s="63">
        <f>D324*'16-PlantAdditions'!$E$103</f>
        <v>415301.09999999992</v>
      </c>
      <c r="F324" s="63">
        <f t="shared" si="86"/>
        <v>5952649.0999999987</v>
      </c>
      <c r="G324" s="977">
        <v>353913.52</v>
      </c>
      <c r="H324" s="977">
        <v>191141.52</v>
      </c>
      <c r="I324" s="63">
        <f>(G324-H324)*'16-PlantAdditions'!$E$103</f>
        <v>12207.900000000001</v>
      </c>
      <c r="J324" s="63">
        <f t="shared" si="87"/>
        <v>156412669.43499994</v>
      </c>
      <c r="K324" s="63">
        <f t="shared" si="88"/>
        <v>26368485.23499994</v>
      </c>
    </row>
    <row r="325" spans="1:12" s="645" customFormat="1" ht="13">
      <c r="A325" s="109">
        <f t="shared" si="85"/>
        <v>243</v>
      </c>
      <c r="B325" s="611" t="s">
        <v>1458</v>
      </c>
      <c r="C325" s="609">
        <v>2021</v>
      </c>
      <c r="D325" s="977">
        <v>6568650</v>
      </c>
      <c r="E325" s="63">
        <f>D325*'16-PlantAdditions'!$E$103</f>
        <v>492648.75</v>
      </c>
      <c r="F325" s="63">
        <f t="shared" si="86"/>
        <v>7061298.75</v>
      </c>
      <c r="G325" s="977">
        <v>1025851.9999999999</v>
      </c>
      <c r="H325" s="977">
        <v>0</v>
      </c>
      <c r="I325" s="63">
        <f>(G325-H325)*'16-PlantAdditions'!$E$103</f>
        <v>76938.899999999994</v>
      </c>
      <c r="J325" s="63">
        <f t="shared" si="87"/>
        <v>162371177.28499994</v>
      </c>
      <c r="K325" s="63">
        <f t="shared" si="88"/>
        <v>32326993.084999934</v>
      </c>
    </row>
    <row r="326" spans="1:12" s="645" customFormat="1" ht="13">
      <c r="A326" s="109">
        <f t="shared" si="85"/>
        <v>244</v>
      </c>
      <c r="B326" s="608" t="s">
        <v>186</v>
      </c>
      <c r="C326" s="609">
        <v>2021</v>
      </c>
      <c r="D326" s="977">
        <v>6151735.0000000009</v>
      </c>
      <c r="E326" s="63">
        <f>D326*'16-PlantAdditions'!$E$103</f>
        <v>461380.12500000006</v>
      </c>
      <c r="F326" s="63">
        <f t="shared" si="86"/>
        <v>6613115.1250000009</v>
      </c>
      <c r="G326" s="977">
        <v>80442</v>
      </c>
      <c r="H326" s="977">
        <v>0</v>
      </c>
      <c r="I326" s="63">
        <f>(G326-H326)*'16-PlantAdditions'!$E$103</f>
        <v>6033.15</v>
      </c>
      <c r="J326" s="63">
        <f t="shared" si="87"/>
        <v>168897817.25999993</v>
      </c>
      <c r="K326" s="63">
        <f t="shared" si="88"/>
        <v>38853633.059999928</v>
      </c>
    </row>
    <row r="327" spans="1:12" s="645" customFormat="1" ht="13">
      <c r="A327" s="109">
        <f t="shared" si="85"/>
        <v>245</v>
      </c>
      <c r="B327" s="611" t="s">
        <v>187</v>
      </c>
      <c r="C327" s="609">
        <v>2021</v>
      </c>
      <c r="D327" s="977">
        <v>5592462</v>
      </c>
      <c r="E327" s="63">
        <f>D327*'16-PlantAdditions'!$E$103</f>
        <v>419434.64999999997</v>
      </c>
      <c r="F327" s="63">
        <f t="shared" si="86"/>
        <v>6011896.6500000004</v>
      </c>
      <c r="G327" s="977">
        <v>142180</v>
      </c>
      <c r="H327" s="977">
        <v>0</v>
      </c>
      <c r="I327" s="63">
        <f>(G327-H327)*'16-PlantAdditions'!$E$103</f>
        <v>10663.5</v>
      </c>
      <c r="J327" s="63">
        <f t="shared" si="87"/>
        <v>174756870.40999994</v>
      </c>
      <c r="K327" s="63">
        <f t="shared" si="88"/>
        <v>44712686.209999934</v>
      </c>
    </row>
    <row r="328" spans="1:12" s="645" customFormat="1" ht="13">
      <c r="A328" s="109">
        <f t="shared" si="85"/>
        <v>246</v>
      </c>
      <c r="B328" s="611" t="s">
        <v>188</v>
      </c>
      <c r="C328" s="609">
        <v>2021</v>
      </c>
      <c r="D328" s="977">
        <v>7072988</v>
      </c>
      <c r="E328" s="63">
        <f>D328*'16-PlantAdditions'!$E$103</f>
        <v>530474.1</v>
      </c>
      <c r="F328" s="63">
        <f t="shared" si="86"/>
        <v>7603462.0999999996</v>
      </c>
      <c r="G328" s="977">
        <v>173004967.69999999</v>
      </c>
      <c r="H328" s="977">
        <v>122968413.7</v>
      </c>
      <c r="I328" s="63">
        <f>(G328-H328)*'16-PlantAdditions'!$E$103</f>
        <v>3752741.5499999989</v>
      </c>
      <c r="J328" s="63">
        <f t="shared" si="87"/>
        <v>5602623.2599999439</v>
      </c>
      <c r="K328" s="63">
        <f t="shared" si="88"/>
        <v>-124441560.94000006</v>
      </c>
    </row>
    <row r="329" spans="1:12" s="645" customFormat="1" ht="13">
      <c r="A329" s="109">
        <f t="shared" si="85"/>
        <v>247</v>
      </c>
      <c r="B329" s="608" t="s">
        <v>191</v>
      </c>
      <c r="C329" s="609">
        <v>2021</v>
      </c>
      <c r="D329" s="977">
        <v>5788994</v>
      </c>
      <c r="E329" s="63">
        <f>D329*'16-PlantAdditions'!$E$103</f>
        <v>434174.55</v>
      </c>
      <c r="F329" s="63">
        <f t="shared" si="86"/>
        <v>6223168.5499999998</v>
      </c>
      <c r="G329" s="977">
        <v>5754882</v>
      </c>
      <c r="H329" s="977">
        <v>0</v>
      </c>
      <c r="I329" s="63">
        <f>(G329-H329)*'16-PlantAdditions'!$E$103</f>
        <v>431616.14999999997</v>
      </c>
      <c r="J329" s="63">
        <f t="shared" si="87"/>
        <v>5639293.6599999424</v>
      </c>
      <c r="K329" s="63">
        <f t="shared" si="88"/>
        <v>-124404890.54000007</v>
      </c>
    </row>
    <row r="330" spans="1:12" s="645" customFormat="1" ht="13">
      <c r="A330" s="109">
        <f t="shared" si="85"/>
        <v>248</v>
      </c>
      <c r="B330" s="608" t="s">
        <v>190</v>
      </c>
      <c r="C330" s="609">
        <v>2021</v>
      </c>
      <c r="D330" s="977">
        <v>5473652</v>
      </c>
      <c r="E330" s="63">
        <f>D330*'16-PlantAdditions'!$E$103</f>
        <v>410523.89999999997</v>
      </c>
      <c r="F330" s="63">
        <f t="shared" si="86"/>
        <v>5884175.9000000004</v>
      </c>
      <c r="G330" s="977">
        <v>5637134.5899999999</v>
      </c>
      <c r="H330" s="977">
        <v>196790.59</v>
      </c>
      <c r="I330" s="63">
        <f>(G330-H330)*'16-PlantAdditions'!$E$103</f>
        <v>408025.8</v>
      </c>
      <c r="J330" s="63">
        <f t="shared" si="87"/>
        <v>5478309.1699999431</v>
      </c>
      <c r="K330" s="63">
        <f t="shared" si="88"/>
        <v>-124565875.03000006</v>
      </c>
    </row>
    <row r="331" spans="1:12" s="645" customFormat="1" ht="13">
      <c r="A331" s="109">
        <f t="shared" si="85"/>
        <v>249</v>
      </c>
      <c r="B331" s="608" t="s">
        <v>180</v>
      </c>
      <c r="C331" s="609">
        <v>2021</v>
      </c>
      <c r="D331" s="977">
        <v>10179559.000000002</v>
      </c>
      <c r="E331" s="63">
        <f>D331*'16-PlantAdditions'!$E$103</f>
        <v>763466.92500000016</v>
      </c>
      <c r="F331" s="63">
        <f t="shared" si="86"/>
        <v>10943025.925000003</v>
      </c>
      <c r="G331" s="977">
        <v>10022834</v>
      </c>
      <c r="H331" s="977">
        <v>0</v>
      </c>
      <c r="I331" s="63">
        <f>(G331-H331)*'16-PlantAdditions'!$E$103</f>
        <v>751712.54999999993</v>
      </c>
      <c r="J331" s="63">
        <f t="shared" si="87"/>
        <v>5646788.5449999468</v>
      </c>
      <c r="K331" s="63">
        <f t="shared" si="88"/>
        <v>-124397395.65500006</v>
      </c>
    </row>
    <row r="332" spans="1:12" s="645" customFormat="1" ht="13">
      <c r="A332" s="109">
        <f t="shared" si="85"/>
        <v>250</v>
      </c>
      <c r="B332" s="608" t="s">
        <v>181</v>
      </c>
      <c r="C332" s="609">
        <v>2022</v>
      </c>
      <c r="D332" s="977">
        <v>3854430</v>
      </c>
      <c r="E332" s="63">
        <f>D332*'16-PlantAdditions'!$E$103</f>
        <v>289082.25</v>
      </c>
      <c r="F332" s="63">
        <f t="shared" si="86"/>
        <v>4143512.25</v>
      </c>
      <c r="G332" s="977">
        <v>3854430</v>
      </c>
      <c r="H332" s="977">
        <v>0</v>
      </c>
      <c r="I332" s="63">
        <f>(G332-H332)*'16-PlantAdditions'!$E$103</f>
        <v>289082.25</v>
      </c>
      <c r="J332" s="63">
        <f t="shared" si="87"/>
        <v>5646788.5449999459</v>
      </c>
      <c r="K332" s="63">
        <f t="shared" si="88"/>
        <v>-124397395.65500006</v>
      </c>
    </row>
    <row r="333" spans="1:12" s="645" customFormat="1" ht="13">
      <c r="A333" s="109">
        <f t="shared" si="85"/>
        <v>251</v>
      </c>
      <c r="B333" s="611" t="s">
        <v>182</v>
      </c>
      <c r="C333" s="609">
        <v>2022</v>
      </c>
      <c r="D333" s="977">
        <v>3854430</v>
      </c>
      <c r="E333" s="63">
        <f>D333*'16-PlantAdditions'!$E$103</f>
        <v>289082.25</v>
      </c>
      <c r="F333" s="63">
        <f t="shared" si="86"/>
        <v>4143512.25</v>
      </c>
      <c r="G333" s="977">
        <v>3854430</v>
      </c>
      <c r="H333" s="977">
        <v>0</v>
      </c>
      <c r="I333" s="63">
        <f>(G333-H333)*'16-PlantAdditions'!$E$103</f>
        <v>289082.25</v>
      </c>
      <c r="J333" s="63">
        <f t="shared" si="87"/>
        <v>5646788.5449999459</v>
      </c>
      <c r="K333" s="63">
        <f t="shared" si="88"/>
        <v>-124397395.65500006</v>
      </c>
    </row>
    <row r="334" spans="1:12" s="645" customFormat="1" ht="13">
      <c r="A334" s="109">
        <f t="shared" si="85"/>
        <v>252</v>
      </c>
      <c r="B334" s="611" t="s">
        <v>195</v>
      </c>
      <c r="C334" s="609">
        <v>2022</v>
      </c>
      <c r="D334" s="977">
        <v>2530727</v>
      </c>
      <c r="E334" s="63">
        <f>D334*'16-PlantAdditions'!$E$103</f>
        <v>189804.52499999999</v>
      </c>
      <c r="F334" s="63">
        <f t="shared" si="86"/>
        <v>2720531.5249999999</v>
      </c>
      <c r="G334" s="977">
        <v>2530727</v>
      </c>
      <c r="H334" s="977">
        <v>0</v>
      </c>
      <c r="I334" s="63">
        <f>(G334-H334)*'16-PlantAdditions'!$E$103</f>
        <v>189804.52499999999</v>
      </c>
      <c r="J334" s="63">
        <f>J333+F334-G334-I334</f>
        <v>5646788.5449999459</v>
      </c>
      <c r="K334" s="63">
        <f t="shared" si="88"/>
        <v>-124397395.65500006</v>
      </c>
    </row>
    <row r="335" spans="1:12" s="645" customFormat="1" ht="13">
      <c r="A335" s="109">
        <f t="shared" si="85"/>
        <v>253</v>
      </c>
      <c r="B335" s="608" t="s">
        <v>183</v>
      </c>
      <c r="C335" s="609">
        <v>2022</v>
      </c>
      <c r="D335" s="977">
        <v>2181930</v>
      </c>
      <c r="E335" s="63">
        <f>D335*'16-PlantAdditions'!$E$103</f>
        <v>163644.75</v>
      </c>
      <c r="F335" s="63">
        <f t="shared" si="86"/>
        <v>2345574.75</v>
      </c>
      <c r="G335" s="977">
        <v>2181930</v>
      </c>
      <c r="H335" s="977">
        <v>0</v>
      </c>
      <c r="I335" s="63">
        <f>(G335-H335)*'16-PlantAdditions'!$E$103</f>
        <v>163644.75</v>
      </c>
      <c r="J335" s="63">
        <f t="shared" si="87"/>
        <v>5646788.5449999459</v>
      </c>
      <c r="K335" s="63">
        <f t="shared" si="88"/>
        <v>-124397395.65500006</v>
      </c>
    </row>
    <row r="336" spans="1:12" s="645" customFormat="1" ht="13">
      <c r="A336" s="109">
        <f t="shared" si="85"/>
        <v>254</v>
      </c>
      <c r="B336" s="611" t="s">
        <v>184</v>
      </c>
      <c r="C336" s="609">
        <v>2022</v>
      </c>
      <c r="D336" s="977">
        <v>2181930</v>
      </c>
      <c r="E336" s="63">
        <f>D336*'16-PlantAdditions'!$E$103</f>
        <v>163644.75</v>
      </c>
      <c r="F336" s="63">
        <f t="shared" si="86"/>
        <v>2345574.75</v>
      </c>
      <c r="G336" s="977">
        <v>2181930</v>
      </c>
      <c r="H336" s="977">
        <v>0</v>
      </c>
      <c r="I336" s="63">
        <f>(G336-H336)*'16-PlantAdditions'!$E$103</f>
        <v>163644.75</v>
      </c>
      <c r="J336" s="63">
        <f t="shared" si="87"/>
        <v>5646788.5449999459</v>
      </c>
      <c r="K336" s="63">
        <f t="shared" si="88"/>
        <v>-124397395.65500006</v>
      </c>
    </row>
    <row r="337" spans="1:11" s="645" customFormat="1" ht="13">
      <c r="A337" s="109">
        <f t="shared" si="85"/>
        <v>255</v>
      </c>
      <c r="B337" s="611" t="s">
        <v>1458</v>
      </c>
      <c r="C337" s="609">
        <v>2022</v>
      </c>
      <c r="D337" s="977">
        <v>2181930</v>
      </c>
      <c r="E337" s="63">
        <f>D337*'16-PlantAdditions'!$E$103</f>
        <v>163644.75</v>
      </c>
      <c r="F337" s="63">
        <f t="shared" si="86"/>
        <v>2345574.75</v>
      </c>
      <c r="G337" s="977">
        <v>2181930</v>
      </c>
      <c r="H337" s="977">
        <v>0</v>
      </c>
      <c r="I337" s="63">
        <f>(G337-H337)*'16-PlantAdditions'!$E$103</f>
        <v>163644.75</v>
      </c>
      <c r="J337" s="63">
        <f t="shared" si="87"/>
        <v>5646788.5449999459</v>
      </c>
      <c r="K337" s="63">
        <f t="shared" si="88"/>
        <v>-124397395.65500006</v>
      </c>
    </row>
    <row r="338" spans="1:11" s="645" customFormat="1" ht="13">
      <c r="A338" s="109">
        <f t="shared" si="85"/>
        <v>256</v>
      </c>
      <c r="B338" s="608" t="s">
        <v>186</v>
      </c>
      <c r="C338" s="609">
        <v>2022</v>
      </c>
      <c r="D338" s="977">
        <v>2181930</v>
      </c>
      <c r="E338" s="63">
        <f>D338*'16-PlantAdditions'!$E$103</f>
        <v>163644.75</v>
      </c>
      <c r="F338" s="63">
        <f t="shared" si="86"/>
        <v>2345574.75</v>
      </c>
      <c r="G338" s="977">
        <v>7538190.0699999994</v>
      </c>
      <c r="H338" s="977">
        <v>1482547.07</v>
      </c>
      <c r="I338" s="63">
        <f>(G338-H338)*'16-PlantAdditions'!$E$103</f>
        <v>454173.22499999992</v>
      </c>
      <c r="J338" s="63">
        <f t="shared" si="87"/>
        <v>-5.3376425057649612E-8</v>
      </c>
      <c r="K338" s="63">
        <f t="shared" si="88"/>
        <v>-130044184.20000006</v>
      </c>
    </row>
    <row r="339" spans="1:11" s="645" customFormat="1" ht="13">
      <c r="A339" s="109">
        <f t="shared" si="85"/>
        <v>257</v>
      </c>
      <c r="B339" s="611" t="s">
        <v>187</v>
      </c>
      <c r="C339" s="609">
        <v>2022</v>
      </c>
      <c r="D339" s="977">
        <v>2256959</v>
      </c>
      <c r="E339" s="63">
        <f>D339*'16-PlantAdditions'!$E$103</f>
        <v>169271.92499999999</v>
      </c>
      <c r="F339" s="63">
        <f t="shared" si="86"/>
        <v>2426230.9249999998</v>
      </c>
      <c r="G339" s="977">
        <v>2256959</v>
      </c>
      <c r="H339" s="977">
        <v>0</v>
      </c>
      <c r="I339" s="63">
        <f>(G339-H339)*'16-PlantAdditions'!$E$103</f>
        <v>169271.92499999999</v>
      </c>
      <c r="J339" s="63">
        <f t="shared" si="87"/>
        <v>-5.3725671023130417E-8</v>
      </c>
      <c r="K339" s="63">
        <f t="shared" si="88"/>
        <v>-130044184.20000006</v>
      </c>
    </row>
    <row r="340" spans="1:11" s="645" customFormat="1" ht="13">
      <c r="A340" s="109">
        <f t="shared" si="85"/>
        <v>258</v>
      </c>
      <c r="B340" s="611" t="s">
        <v>188</v>
      </c>
      <c r="C340" s="609">
        <v>2022</v>
      </c>
      <c r="D340" s="977">
        <v>1829394</v>
      </c>
      <c r="E340" s="63">
        <f>D340*'16-PlantAdditions'!$E$103</f>
        <v>137204.54999999999</v>
      </c>
      <c r="F340" s="63">
        <f t="shared" si="86"/>
        <v>1966598.55</v>
      </c>
      <c r="G340" s="977">
        <v>1829394</v>
      </c>
      <c r="H340" s="977">
        <v>0</v>
      </c>
      <c r="I340" s="63">
        <f>(G340-H340)*'16-PlantAdditions'!$E$103</f>
        <v>137204.54999999999</v>
      </c>
      <c r="J340" s="63">
        <f t="shared" si="87"/>
        <v>-5.3725671023130417E-8</v>
      </c>
      <c r="K340" s="63">
        <f t="shared" si="88"/>
        <v>-130044184.20000006</v>
      </c>
    </row>
    <row r="341" spans="1:11" s="645" customFormat="1" ht="13">
      <c r="A341" s="109">
        <f t="shared" si="85"/>
        <v>259</v>
      </c>
      <c r="B341" s="611" t="s">
        <v>191</v>
      </c>
      <c r="C341" s="609">
        <v>2022</v>
      </c>
      <c r="D341" s="977">
        <v>1122680</v>
      </c>
      <c r="E341" s="63">
        <f>D341*'16-PlantAdditions'!$E$103</f>
        <v>84201</v>
      </c>
      <c r="F341" s="63">
        <f t="shared" ref="F341:F343" si="89">E341+D341</f>
        <v>1206881</v>
      </c>
      <c r="G341" s="977">
        <v>1122680</v>
      </c>
      <c r="H341" s="977">
        <v>0</v>
      </c>
      <c r="I341" s="63">
        <f>(G341-H341)*'16-PlantAdditions'!$E$103</f>
        <v>84201</v>
      </c>
      <c r="J341" s="63">
        <f t="shared" ref="J341:J343" si="90">J340+F341-G341-I341</f>
        <v>-5.3783878684043884E-8</v>
      </c>
      <c r="K341" s="63">
        <f t="shared" si="88"/>
        <v>-130044184.20000006</v>
      </c>
    </row>
    <row r="342" spans="1:11" s="645" customFormat="1" ht="13">
      <c r="A342" s="109">
        <f t="shared" si="85"/>
        <v>260</v>
      </c>
      <c r="B342" s="611" t="s">
        <v>190</v>
      </c>
      <c r="C342" s="609">
        <v>2022</v>
      </c>
      <c r="D342" s="977">
        <v>1122680</v>
      </c>
      <c r="E342" s="63">
        <f>D342*'16-PlantAdditions'!$E$103</f>
        <v>84201</v>
      </c>
      <c r="F342" s="63">
        <f t="shared" si="89"/>
        <v>1206881</v>
      </c>
      <c r="G342" s="977">
        <v>1122680</v>
      </c>
      <c r="H342" s="977">
        <v>0</v>
      </c>
      <c r="I342" s="63">
        <f>(G342-H342)*'16-PlantAdditions'!$E$103</f>
        <v>84201</v>
      </c>
      <c r="J342" s="63">
        <f t="shared" si="90"/>
        <v>-5.3783878684043884E-8</v>
      </c>
      <c r="K342" s="63">
        <f t="shared" si="88"/>
        <v>-130044184.20000006</v>
      </c>
    </row>
    <row r="343" spans="1:11" s="645" customFormat="1" ht="13">
      <c r="A343" s="109">
        <f t="shared" si="85"/>
        <v>261</v>
      </c>
      <c r="B343" s="611" t="s">
        <v>180</v>
      </c>
      <c r="C343" s="609">
        <v>2022</v>
      </c>
      <c r="D343" s="977">
        <v>20886428</v>
      </c>
      <c r="E343" s="63">
        <f>D343*'16-PlantAdditions'!$E$103</f>
        <v>1566482.0999999999</v>
      </c>
      <c r="F343" s="63">
        <f t="shared" si="89"/>
        <v>22452910.100000001</v>
      </c>
      <c r="G343" s="977">
        <v>20886428</v>
      </c>
      <c r="H343" s="977">
        <v>0</v>
      </c>
      <c r="I343" s="63">
        <f>(G343-H343)*'16-PlantAdditions'!$E$103</f>
        <v>1566482.0999999999</v>
      </c>
      <c r="J343" s="63">
        <f t="shared" si="90"/>
        <v>-5.0524249672889709E-8</v>
      </c>
      <c r="K343" s="110">
        <f t="shared" si="88"/>
        <v>-130044184.20000005</v>
      </c>
    </row>
    <row r="344" spans="1:11" s="645" customFormat="1" ht="13">
      <c r="A344" s="109">
        <f t="shared" si="85"/>
        <v>262</v>
      </c>
      <c r="B344"/>
      <c r="C344" s="644" t="s">
        <v>1603</v>
      </c>
      <c r="D344"/>
      <c r="E344"/>
      <c r="F344"/>
      <c r="G344"/>
      <c r="H344"/>
      <c r="I344"/>
      <c r="J344"/>
      <c r="K344" s="73">
        <f>AVERAGE(K331:K343)</f>
        <v>-127003605.75269237</v>
      </c>
    </row>
    <row r="345" spans="1:11" s="645" customFormat="1" ht="13">
      <c r="A345" s="109"/>
      <c r="B345"/>
      <c r="C345" s="644"/>
      <c r="D345"/>
      <c r="E345"/>
      <c r="F345"/>
      <c r="G345"/>
      <c r="H345"/>
      <c r="I345"/>
      <c r="J345"/>
      <c r="K345" s="73"/>
    </row>
    <row r="346" spans="1:11" s="645" customFormat="1" ht="13">
      <c r="B346" s="646" t="s">
        <v>1938</v>
      </c>
      <c r="D346" s="1508" t="s">
        <v>2419</v>
      </c>
      <c r="E346" s="1508"/>
    </row>
    <row r="347" spans="1:11" s="645" customFormat="1" ht="13">
      <c r="B347" s="646"/>
      <c r="D347" s="640" t="s">
        <v>358</v>
      </c>
      <c r="E347" s="640" t="s">
        <v>342</v>
      </c>
      <c r="F347" s="640" t="s">
        <v>343</v>
      </c>
      <c r="G347" s="640" t="s">
        <v>344</v>
      </c>
      <c r="H347" s="640" t="s">
        <v>345</v>
      </c>
      <c r="I347" s="640" t="s">
        <v>346</v>
      </c>
      <c r="J347" s="640" t="s">
        <v>347</v>
      </c>
      <c r="K347" s="640" t="s">
        <v>534</v>
      </c>
    </row>
    <row r="348" spans="1:11" s="645" customFormat="1" ht="38">
      <c r="B348" s="646"/>
      <c r="D348" s="647"/>
      <c r="E348" s="648" t="s">
        <v>2061</v>
      </c>
      <c r="F348" s="649" t="s">
        <v>1927</v>
      </c>
      <c r="G348" s="525"/>
      <c r="H348" s="647"/>
      <c r="I348" s="648" t="s">
        <v>2062</v>
      </c>
      <c r="J348" s="648" t="s">
        <v>1928</v>
      </c>
      <c r="K348" s="648" t="s">
        <v>1929</v>
      </c>
    </row>
    <row r="349" spans="1:11" s="645" customFormat="1" ht="13">
      <c r="D349" s="647"/>
      <c r="E349" s="647"/>
      <c r="F349" s="647"/>
      <c r="G349" s="549" t="str">
        <f>G51</f>
        <v>Unloaded</v>
      </c>
      <c r="H349" s="647"/>
      <c r="I349" s="647"/>
    </row>
    <row r="350" spans="1:11" s="645" customFormat="1" ht="13">
      <c r="A350" s="642"/>
      <c r="B350" s="642"/>
      <c r="C350" s="642"/>
      <c r="D350" s="642" t="str">
        <f>D$52</f>
        <v>Forecast</v>
      </c>
      <c r="E350" s="642" t="str">
        <f t="shared" ref="E350:J350" si="91">E$52</f>
        <v>Corporate</v>
      </c>
      <c r="F350" s="642" t="str">
        <f t="shared" si="91"/>
        <v xml:space="preserve">Total </v>
      </c>
      <c r="G350" s="549" t="str">
        <f>G52</f>
        <v>Total</v>
      </c>
      <c r="H350" s="642" t="str">
        <f t="shared" si="91"/>
        <v>Prior Period</v>
      </c>
      <c r="I350" s="642" t="str">
        <f t="shared" si="91"/>
        <v>Over Heads</v>
      </c>
      <c r="J350" s="642" t="str">
        <f t="shared" si="91"/>
        <v>Forecast</v>
      </c>
      <c r="K350" s="549" t="str">
        <f>K$52</f>
        <v>Forecast Period</v>
      </c>
    </row>
    <row r="351" spans="1:11" s="645" customFormat="1" ht="13">
      <c r="A351" s="833" t="s">
        <v>329</v>
      </c>
      <c r="B351" s="607" t="s">
        <v>192</v>
      </c>
      <c r="C351" s="607" t="s">
        <v>193</v>
      </c>
      <c r="D351" s="640" t="str">
        <f>D$53</f>
        <v>Expenditures</v>
      </c>
      <c r="E351" s="640" t="str">
        <f t="shared" ref="E351:J351" si="92">E$53</f>
        <v>Overheads</v>
      </c>
      <c r="F351" s="640" t="str">
        <f t="shared" si="92"/>
        <v>CWIP Exp</v>
      </c>
      <c r="G351" s="122" t="str">
        <f>G53</f>
        <v>Plant Adds</v>
      </c>
      <c r="H351" s="640" t="str">
        <f t="shared" si="92"/>
        <v>CWIP Closed</v>
      </c>
      <c r="I351" s="640" t="str">
        <f t="shared" si="92"/>
        <v>Closed to PIS</v>
      </c>
      <c r="J351" s="640" t="str">
        <f t="shared" si="92"/>
        <v>Period CWIP</v>
      </c>
      <c r="K351" s="640" t="str">
        <f>K$53</f>
        <v>Incremental CWIP</v>
      </c>
    </row>
    <row r="352" spans="1:11" s="645" customFormat="1" ht="13">
      <c r="A352" s="109">
        <f>A344+1</f>
        <v>263</v>
      </c>
      <c r="B352" s="608" t="s">
        <v>180</v>
      </c>
      <c r="C352" s="609">
        <v>2020</v>
      </c>
      <c r="D352" s="649" t="s">
        <v>76</v>
      </c>
      <c r="E352" s="649" t="s">
        <v>76</v>
      </c>
      <c r="F352" s="649" t="s">
        <v>76</v>
      </c>
      <c r="G352" s="649" t="s">
        <v>76</v>
      </c>
      <c r="H352" s="649" t="s">
        <v>76</v>
      </c>
      <c r="I352" s="649" t="s">
        <v>76</v>
      </c>
      <c r="J352" s="63">
        <f>G45</f>
        <v>23818399.359999999</v>
      </c>
      <c r="K352" s="649" t="s">
        <v>76</v>
      </c>
    </row>
    <row r="353" spans="1:11" s="645" customFormat="1" ht="13">
      <c r="A353" s="109">
        <f>A352+1</f>
        <v>264</v>
      </c>
      <c r="B353" s="608" t="s">
        <v>181</v>
      </c>
      <c r="C353" s="609">
        <v>2021</v>
      </c>
      <c r="D353" s="977">
        <v>54049.028000000006</v>
      </c>
      <c r="E353" s="63">
        <f>D353*'16-PlantAdditions'!$E$103</f>
        <v>4053.6771000000003</v>
      </c>
      <c r="F353" s="63">
        <f>E353+D353</f>
        <v>58102.705100000006</v>
      </c>
      <c r="G353" s="977">
        <v>0</v>
      </c>
      <c r="H353" s="977">
        <v>0</v>
      </c>
      <c r="I353" s="63">
        <f>(G353-H353)*'16-PlantAdditions'!$E$103</f>
        <v>0</v>
      </c>
      <c r="J353" s="63">
        <f>J352+F353-G353-I353</f>
        <v>23876502.065099999</v>
      </c>
      <c r="K353" s="63">
        <f>J353-$J$352</f>
        <v>58102.705099999905</v>
      </c>
    </row>
    <row r="354" spans="1:11" s="645" customFormat="1" ht="13">
      <c r="A354" s="109">
        <f t="shared" ref="A354:A377" si="93">A353+1</f>
        <v>265</v>
      </c>
      <c r="B354" s="611" t="s">
        <v>182</v>
      </c>
      <c r="C354" s="609">
        <v>2021</v>
      </c>
      <c r="D354" s="977">
        <v>79135.004000000001</v>
      </c>
      <c r="E354" s="63">
        <f>D354*'16-PlantAdditions'!$E$103</f>
        <v>5935.1252999999997</v>
      </c>
      <c r="F354" s="63">
        <f t="shared" ref="F354:F373" si="94">E354+D354</f>
        <v>85070.129300000001</v>
      </c>
      <c r="G354" s="977">
        <v>0</v>
      </c>
      <c r="H354" s="977">
        <v>0</v>
      </c>
      <c r="I354" s="63">
        <f>(G354-H354)*'16-PlantAdditions'!$E$103</f>
        <v>0</v>
      </c>
      <c r="J354" s="63">
        <f t="shared" ref="J354:J373" si="95">J353+F354-G354-I354</f>
        <v>23961572.194399998</v>
      </c>
      <c r="K354" s="63">
        <f t="shared" ref="K354:K376" si="96">J354-$J$352</f>
        <v>143172.83439999819</v>
      </c>
    </row>
    <row r="355" spans="1:11" s="645" customFormat="1" ht="13">
      <c r="A355" s="109">
        <f t="shared" si="93"/>
        <v>266</v>
      </c>
      <c r="B355" s="611" t="s">
        <v>195</v>
      </c>
      <c r="C355" s="609">
        <v>2021</v>
      </c>
      <c r="D355" s="977">
        <v>44375.464000000007</v>
      </c>
      <c r="E355" s="63">
        <f>D355*'16-PlantAdditions'!$E$103</f>
        <v>3328.1598000000004</v>
      </c>
      <c r="F355" s="63">
        <f t="shared" si="94"/>
        <v>47703.623800000008</v>
      </c>
      <c r="G355" s="977">
        <v>0</v>
      </c>
      <c r="H355" s="977">
        <v>0</v>
      </c>
      <c r="I355" s="63">
        <f>(G355-H355)*'16-PlantAdditions'!$E$103</f>
        <v>0</v>
      </c>
      <c r="J355" s="63">
        <f t="shared" si="95"/>
        <v>24009275.818199996</v>
      </c>
      <c r="K355" s="63">
        <f t="shared" si="96"/>
        <v>190876.4581999965</v>
      </c>
    </row>
    <row r="356" spans="1:11" s="645" customFormat="1" ht="13">
      <c r="A356" s="109">
        <f t="shared" si="93"/>
        <v>267</v>
      </c>
      <c r="B356" s="608" t="s">
        <v>183</v>
      </c>
      <c r="C356" s="609">
        <v>2021</v>
      </c>
      <c r="D356" s="977">
        <v>87332.983999999997</v>
      </c>
      <c r="E356" s="63">
        <f>D356*'16-PlantAdditions'!$E$103</f>
        <v>6549.9737999999998</v>
      </c>
      <c r="F356" s="63">
        <f t="shared" si="94"/>
        <v>93882.957800000004</v>
      </c>
      <c r="G356" s="977">
        <v>0</v>
      </c>
      <c r="H356" s="977">
        <v>0</v>
      </c>
      <c r="I356" s="63">
        <f>(G356-H356)*'16-PlantAdditions'!$E$103</f>
        <v>0</v>
      </c>
      <c r="J356" s="63">
        <f t="shared" si="95"/>
        <v>24103158.775999997</v>
      </c>
      <c r="K356" s="63">
        <f t="shared" si="96"/>
        <v>284759.41599999741</v>
      </c>
    </row>
    <row r="357" spans="1:11" s="645" customFormat="1" ht="13">
      <c r="A357" s="109">
        <f t="shared" si="93"/>
        <v>268</v>
      </c>
      <c r="B357" s="611" t="s">
        <v>184</v>
      </c>
      <c r="C357" s="609">
        <v>2021</v>
      </c>
      <c r="D357" s="977">
        <v>87332.983999999997</v>
      </c>
      <c r="E357" s="63">
        <f>D357*'16-PlantAdditions'!$E$103</f>
        <v>6549.9737999999998</v>
      </c>
      <c r="F357" s="63">
        <f t="shared" si="94"/>
        <v>93882.957800000004</v>
      </c>
      <c r="G357" s="977">
        <v>0</v>
      </c>
      <c r="H357" s="977">
        <v>0</v>
      </c>
      <c r="I357" s="63">
        <f>(G357-H357)*'16-PlantAdditions'!$E$103</f>
        <v>0</v>
      </c>
      <c r="J357" s="63">
        <f t="shared" si="95"/>
        <v>24197041.733799998</v>
      </c>
      <c r="K357" s="63">
        <f t="shared" si="96"/>
        <v>378642.37379999831</v>
      </c>
    </row>
    <row r="358" spans="1:11" s="645" customFormat="1" ht="13">
      <c r="A358" s="109">
        <f t="shared" si="93"/>
        <v>269</v>
      </c>
      <c r="B358" s="611" t="s">
        <v>1458</v>
      </c>
      <c r="C358" s="609">
        <v>2021</v>
      </c>
      <c r="D358" s="977">
        <v>87332.983999999997</v>
      </c>
      <c r="E358" s="63">
        <f>D358*'16-PlantAdditions'!$E$103</f>
        <v>6549.9737999999998</v>
      </c>
      <c r="F358" s="63">
        <f t="shared" si="94"/>
        <v>93882.957800000004</v>
      </c>
      <c r="G358" s="977">
        <v>0</v>
      </c>
      <c r="H358" s="977">
        <v>0</v>
      </c>
      <c r="I358" s="63">
        <f>(G358-H358)*'16-PlantAdditions'!$E$103</f>
        <v>0</v>
      </c>
      <c r="J358" s="63">
        <f t="shared" si="95"/>
        <v>24290924.691599999</v>
      </c>
      <c r="K358" s="63">
        <f t="shared" si="96"/>
        <v>472525.33159999922</v>
      </c>
    </row>
    <row r="359" spans="1:11" s="645" customFormat="1" ht="13">
      <c r="A359" s="109">
        <f t="shared" si="93"/>
        <v>270</v>
      </c>
      <c r="B359" s="608" t="s">
        <v>186</v>
      </c>
      <c r="C359" s="609">
        <v>2021</v>
      </c>
      <c r="D359" s="977">
        <v>87332.983999999997</v>
      </c>
      <c r="E359" s="63">
        <f>D359*'16-PlantAdditions'!$E$103</f>
        <v>6549.9737999999998</v>
      </c>
      <c r="F359" s="63">
        <f t="shared" si="94"/>
        <v>93882.957800000004</v>
      </c>
      <c r="G359" s="977">
        <v>0</v>
      </c>
      <c r="H359" s="977">
        <v>0</v>
      </c>
      <c r="I359" s="63">
        <f>(G359-H359)*'16-PlantAdditions'!$E$103</f>
        <v>0</v>
      </c>
      <c r="J359" s="63">
        <f t="shared" si="95"/>
        <v>24384807.6494</v>
      </c>
      <c r="K359" s="63">
        <f t="shared" si="96"/>
        <v>566408.28940000013</v>
      </c>
    </row>
    <row r="360" spans="1:11" s="645" customFormat="1" ht="13">
      <c r="A360" s="109">
        <f t="shared" si="93"/>
        <v>271</v>
      </c>
      <c r="B360" s="611" t="s">
        <v>187</v>
      </c>
      <c r="C360" s="609">
        <v>2021</v>
      </c>
      <c r="D360" s="977">
        <v>113532.984</v>
      </c>
      <c r="E360" s="63">
        <f>D360*'16-PlantAdditions'!$E$103</f>
        <v>8514.9737999999998</v>
      </c>
      <c r="F360" s="63">
        <f t="shared" si="94"/>
        <v>122047.9578</v>
      </c>
      <c r="G360" s="977">
        <v>0</v>
      </c>
      <c r="H360" s="977">
        <v>0</v>
      </c>
      <c r="I360" s="63">
        <f>(G360-H360)*'16-PlantAdditions'!$E$103</f>
        <v>0</v>
      </c>
      <c r="J360" s="63">
        <f t="shared" si="95"/>
        <v>24506855.6072</v>
      </c>
      <c r="K360" s="63">
        <f t="shared" si="96"/>
        <v>688456.24720000103</v>
      </c>
    </row>
    <row r="361" spans="1:11" s="645" customFormat="1" ht="13">
      <c r="A361" s="109">
        <f t="shared" si="93"/>
        <v>272</v>
      </c>
      <c r="B361" s="611" t="s">
        <v>188</v>
      </c>
      <c r="C361" s="609">
        <v>2021</v>
      </c>
      <c r="D361" s="977">
        <v>120616.94</v>
      </c>
      <c r="E361" s="63">
        <f>D361*'16-PlantAdditions'!$E$103</f>
        <v>9046.2705000000005</v>
      </c>
      <c r="F361" s="63">
        <f t="shared" si="94"/>
        <v>129663.2105</v>
      </c>
      <c r="G361" s="977">
        <v>0</v>
      </c>
      <c r="H361" s="977">
        <v>0</v>
      </c>
      <c r="I361" s="63">
        <f>(G361-H361)*'16-PlantAdditions'!$E$103</f>
        <v>0</v>
      </c>
      <c r="J361" s="63">
        <f t="shared" si="95"/>
        <v>24636518.817699999</v>
      </c>
      <c r="K361" s="63">
        <f t="shared" si="96"/>
        <v>818119.45769999921</v>
      </c>
    </row>
    <row r="362" spans="1:11" s="645" customFormat="1" ht="13">
      <c r="A362" s="109">
        <f t="shared" si="93"/>
        <v>273</v>
      </c>
      <c r="B362" s="608" t="s">
        <v>191</v>
      </c>
      <c r="C362" s="609">
        <v>2021</v>
      </c>
      <c r="D362" s="977">
        <v>113532.984</v>
      </c>
      <c r="E362" s="63">
        <f>D362*'16-PlantAdditions'!$E$103</f>
        <v>8514.9737999999998</v>
      </c>
      <c r="F362" s="63">
        <f t="shared" si="94"/>
        <v>122047.9578</v>
      </c>
      <c r="G362" s="977">
        <v>0</v>
      </c>
      <c r="H362" s="977">
        <v>0</v>
      </c>
      <c r="I362" s="63">
        <f>(G362-H362)*'16-PlantAdditions'!$E$103</f>
        <v>0</v>
      </c>
      <c r="J362" s="63">
        <f t="shared" si="95"/>
        <v>24758566.7755</v>
      </c>
      <c r="K362" s="63">
        <f t="shared" si="96"/>
        <v>940167.41550000012</v>
      </c>
    </row>
    <row r="363" spans="1:11" s="645" customFormat="1" ht="13">
      <c r="A363" s="109">
        <f t="shared" si="93"/>
        <v>274</v>
      </c>
      <c r="B363" s="608" t="s">
        <v>190</v>
      </c>
      <c r="C363" s="609">
        <v>2021</v>
      </c>
      <c r="D363" s="977">
        <v>87332.983999999997</v>
      </c>
      <c r="E363" s="63">
        <f>D363*'16-PlantAdditions'!$E$103</f>
        <v>6549.9737999999998</v>
      </c>
      <c r="F363" s="63">
        <f t="shared" si="94"/>
        <v>93882.957800000004</v>
      </c>
      <c r="G363" s="977">
        <v>0</v>
      </c>
      <c r="H363" s="977">
        <v>0</v>
      </c>
      <c r="I363" s="63">
        <f>(G363-H363)*'16-PlantAdditions'!$E$103</f>
        <v>0</v>
      </c>
      <c r="J363" s="63">
        <f t="shared" si="95"/>
        <v>24852449.7333</v>
      </c>
      <c r="K363" s="63">
        <f t="shared" si="96"/>
        <v>1034050.373300001</v>
      </c>
    </row>
    <row r="364" spans="1:11" s="645" customFormat="1" ht="13">
      <c r="A364" s="109">
        <f t="shared" si="93"/>
        <v>275</v>
      </c>
      <c r="B364" s="608" t="s">
        <v>180</v>
      </c>
      <c r="C364" s="609">
        <v>2021</v>
      </c>
      <c r="D364" s="977">
        <v>86092.676000000007</v>
      </c>
      <c r="E364" s="63">
        <f>D364*'16-PlantAdditions'!$E$103</f>
        <v>6456.9507000000003</v>
      </c>
      <c r="F364" s="63">
        <f t="shared" si="94"/>
        <v>92549.626700000008</v>
      </c>
      <c r="G364" s="977">
        <v>0</v>
      </c>
      <c r="H364" s="977">
        <v>0</v>
      </c>
      <c r="I364" s="63">
        <f>(G364-H364)*'16-PlantAdditions'!$E$103</f>
        <v>0</v>
      </c>
      <c r="J364" s="63">
        <f t="shared" si="95"/>
        <v>24944999.359999999</v>
      </c>
      <c r="K364" s="63">
        <f t="shared" si="96"/>
        <v>1126600</v>
      </c>
    </row>
    <row r="365" spans="1:11" s="645" customFormat="1" ht="13">
      <c r="A365" s="109">
        <f t="shared" si="93"/>
        <v>276</v>
      </c>
      <c r="B365" s="608" t="s">
        <v>181</v>
      </c>
      <c r="C365" s="609">
        <v>2022</v>
      </c>
      <c r="D365" s="977">
        <v>69866.492000000013</v>
      </c>
      <c r="E365" s="63">
        <f>D365*'16-PlantAdditions'!$E$103</f>
        <v>5239.9869000000008</v>
      </c>
      <c r="F365" s="63">
        <f t="shared" si="94"/>
        <v>75106.478900000016</v>
      </c>
      <c r="G365" s="977">
        <v>0</v>
      </c>
      <c r="H365" s="977">
        <v>0</v>
      </c>
      <c r="I365" s="63">
        <f>(G365-H365)*'16-PlantAdditions'!$E$103</f>
        <v>0</v>
      </c>
      <c r="J365" s="63">
        <f t="shared" si="95"/>
        <v>25020105.8389</v>
      </c>
      <c r="K365" s="63">
        <f t="shared" si="96"/>
        <v>1201706.4789000005</v>
      </c>
    </row>
    <row r="366" spans="1:11" s="645" customFormat="1" ht="13">
      <c r="A366" s="109">
        <f t="shared" si="93"/>
        <v>277</v>
      </c>
      <c r="B366" s="611" t="s">
        <v>182</v>
      </c>
      <c r="C366" s="609">
        <v>2022</v>
      </c>
      <c r="D366" s="977">
        <v>69866.492000000013</v>
      </c>
      <c r="E366" s="63">
        <f>D366*'16-PlantAdditions'!$E$103</f>
        <v>5239.9869000000008</v>
      </c>
      <c r="F366" s="63">
        <f t="shared" si="94"/>
        <v>75106.478900000016</v>
      </c>
      <c r="G366" s="977">
        <v>0</v>
      </c>
      <c r="H366" s="977">
        <v>0</v>
      </c>
      <c r="I366" s="63">
        <f>(G366-H366)*'16-PlantAdditions'!$E$103</f>
        <v>0</v>
      </c>
      <c r="J366" s="63">
        <f t="shared" si="95"/>
        <v>25095212.3178</v>
      </c>
      <c r="K366" s="63">
        <f t="shared" si="96"/>
        <v>1276812.9578000009</v>
      </c>
    </row>
    <row r="367" spans="1:11" s="645" customFormat="1" ht="13">
      <c r="A367" s="109">
        <f t="shared" si="93"/>
        <v>278</v>
      </c>
      <c r="B367" s="611" t="s">
        <v>195</v>
      </c>
      <c r="C367" s="609">
        <v>2022</v>
      </c>
      <c r="D367" s="977">
        <v>69866.492000000013</v>
      </c>
      <c r="E367" s="63">
        <f>D367*'16-PlantAdditions'!$E$103</f>
        <v>5239.9869000000008</v>
      </c>
      <c r="F367" s="63">
        <f t="shared" si="94"/>
        <v>75106.478900000016</v>
      </c>
      <c r="G367" s="977">
        <v>0</v>
      </c>
      <c r="H367" s="977">
        <v>0</v>
      </c>
      <c r="I367" s="63">
        <f>(G367-H367)*'16-PlantAdditions'!$E$103</f>
        <v>0</v>
      </c>
      <c r="J367" s="63">
        <f t="shared" si="95"/>
        <v>25170318.796700001</v>
      </c>
      <c r="K367" s="63">
        <f t="shared" si="96"/>
        <v>1351919.4367000014</v>
      </c>
    </row>
    <row r="368" spans="1:11" s="645" customFormat="1" ht="13">
      <c r="A368" s="109">
        <f t="shared" si="93"/>
        <v>279</v>
      </c>
      <c r="B368" s="608" t="s">
        <v>183</v>
      </c>
      <c r="C368" s="609">
        <v>2022</v>
      </c>
      <c r="D368" s="977">
        <v>69866.492000000013</v>
      </c>
      <c r="E368" s="63">
        <f>D368*'16-PlantAdditions'!$E$103</f>
        <v>5239.9869000000008</v>
      </c>
      <c r="F368" s="63">
        <f t="shared" si="94"/>
        <v>75106.478900000016</v>
      </c>
      <c r="G368" s="977">
        <v>0</v>
      </c>
      <c r="H368" s="977">
        <v>0</v>
      </c>
      <c r="I368" s="63">
        <f>(G368-H368)*'16-PlantAdditions'!$E$103</f>
        <v>0</v>
      </c>
      <c r="J368" s="63">
        <f t="shared" si="95"/>
        <v>25245425.275600001</v>
      </c>
      <c r="K368" s="63">
        <f t="shared" si="96"/>
        <v>1427025.9156000018</v>
      </c>
    </row>
    <row r="369" spans="1:11" s="645" customFormat="1" ht="13">
      <c r="A369" s="109">
        <f t="shared" si="93"/>
        <v>280</v>
      </c>
      <c r="B369" s="611" t="s">
        <v>184</v>
      </c>
      <c r="C369" s="609">
        <v>2022</v>
      </c>
      <c r="D369" s="977">
        <v>69866.492000000013</v>
      </c>
      <c r="E369" s="63">
        <f>D369*'16-PlantAdditions'!$E$103</f>
        <v>5239.9869000000008</v>
      </c>
      <c r="F369" s="63">
        <f t="shared" si="94"/>
        <v>75106.478900000016</v>
      </c>
      <c r="G369" s="977">
        <v>0</v>
      </c>
      <c r="H369" s="977">
        <v>0</v>
      </c>
      <c r="I369" s="63">
        <f>(G369-H369)*'16-PlantAdditions'!$E$103</f>
        <v>0</v>
      </c>
      <c r="J369" s="63">
        <f t="shared" si="95"/>
        <v>25320531.754500002</v>
      </c>
      <c r="K369" s="63">
        <f t="shared" si="96"/>
        <v>1502132.3945000023</v>
      </c>
    </row>
    <row r="370" spans="1:11" s="645" customFormat="1" ht="13">
      <c r="A370" s="109">
        <f t="shared" si="93"/>
        <v>281</v>
      </c>
      <c r="B370" s="611" t="s">
        <v>1458</v>
      </c>
      <c r="C370" s="609">
        <v>2022</v>
      </c>
      <c r="D370" s="977">
        <v>69866.492000000013</v>
      </c>
      <c r="E370" s="63">
        <f>D370*'16-PlantAdditions'!$E$103</f>
        <v>5239.9869000000008</v>
      </c>
      <c r="F370" s="63">
        <f t="shared" si="94"/>
        <v>75106.478900000016</v>
      </c>
      <c r="G370" s="977">
        <v>0</v>
      </c>
      <c r="H370" s="977">
        <v>0</v>
      </c>
      <c r="I370" s="63">
        <f>(G370-H370)*'16-PlantAdditions'!$E$103</f>
        <v>0</v>
      </c>
      <c r="J370" s="63">
        <f t="shared" si="95"/>
        <v>25395638.233400002</v>
      </c>
      <c r="K370" s="63">
        <f t="shared" si="96"/>
        <v>1577238.8734000027</v>
      </c>
    </row>
    <row r="371" spans="1:11" s="645" customFormat="1" ht="13">
      <c r="A371" s="109">
        <f t="shared" si="93"/>
        <v>282</v>
      </c>
      <c r="B371" s="608" t="s">
        <v>186</v>
      </c>
      <c r="C371" s="609">
        <v>2022</v>
      </c>
      <c r="D371" s="977">
        <v>69866.492000000013</v>
      </c>
      <c r="E371" s="63">
        <f>D371*'16-PlantAdditions'!$E$103</f>
        <v>5239.9869000000008</v>
      </c>
      <c r="F371" s="63">
        <f t="shared" si="94"/>
        <v>75106.478900000016</v>
      </c>
      <c r="G371" s="977">
        <v>0</v>
      </c>
      <c r="H371" s="977">
        <v>0</v>
      </c>
      <c r="I371" s="63">
        <f>(G371-H371)*'16-PlantAdditions'!$E$103</f>
        <v>0</v>
      </c>
      <c r="J371" s="63">
        <f t="shared" si="95"/>
        <v>25470744.712300003</v>
      </c>
      <c r="K371" s="63">
        <f t="shared" si="96"/>
        <v>1652345.3523000032</v>
      </c>
    </row>
    <row r="372" spans="1:11" s="645" customFormat="1" ht="13">
      <c r="A372" s="109">
        <f t="shared" si="93"/>
        <v>283</v>
      </c>
      <c r="B372" s="611" t="s">
        <v>187</v>
      </c>
      <c r="C372" s="609">
        <v>2022</v>
      </c>
      <c r="D372" s="977">
        <v>69866.492000000013</v>
      </c>
      <c r="E372" s="63">
        <f>D372*'16-PlantAdditions'!$E$103</f>
        <v>5239.9869000000008</v>
      </c>
      <c r="F372" s="63">
        <f t="shared" si="94"/>
        <v>75106.478900000016</v>
      </c>
      <c r="G372" s="977">
        <v>0</v>
      </c>
      <c r="H372" s="977">
        <v>0</v>
      </c>
      <c r="I372" s="63">
        <f>(G372-H372)*'16-PlantAdditions'!$E$103</f>
        <v>0</v>
      </c>
      <c r="J372" s="63">
        <f t="shared" si="95"/>
        <v>25545851.191200003</v>
      </c>
      <c r="K372" s="63">
        <f t="shared" si="96"/>
        <v>1727451.8312000036</v>
      </c>
    </row>
    <row r="373" spans="1:11" s="645" customFormat="1" ht="13">
      <c r="A373" s="109">
        <f t="shared" si="93"/>
        <v>284</v>
      </c>
      <c r="B373" s="611" t="s">
        <v>188</v>
      </c>
      <c r="C373" s="609">
        <v>2022</v>
      </c>
      <c r="D373" s="977">
        <v>69866.492000000013</v>
      </c>
      <c r="E373" s="63">
        <f>D373*'16-PlantAdditions'!$E$103</f>
        <v>5239.9869000000008</v>
      </c>
      <c r="F373" s="63">
        <f t="shared" si="94"/>
        <v>75106.478900000016</v>
      </c>
      <c r="G373" s="977">
        <v>0</v>
      </c>
      <c r="H373" s="977">
        <v>0</v>
      </c>
      <c r="I373" s="63">
        <f>(G373-H373)*'16-PlantAdditions'!$E$103</f>
        <v>0</v>
      </c>
      <c r="J373" s="63">
        <f t="shared" si="95"/>
        <v>25620957.670100003</v>
      </c>
      <c r="K373" s="63">
        <f t="shared" si="96"/>
        <v>1802558.3101000041</v>
      </c>
    </row>
    <row r="374" spans="1:11" s="645" customFormat="1" ht="13">
      <c r="A374" s="109">
        <f t="shared" si="93"/>
        <v>285</v>
      </c>
      <c r="B374" s="611" t="s">
        <v>191</v>
      </c>
      <c r="C374" s="609">
        <v>2022</v>
      </c>
      <c r="D374" s="977">
        <v>69866.492000000013</v>
      </c>
      <c r="E374" s="63">
        <f>D374*'16-PlantAdditions'!$E$103</f>
        <v>5239.9869000000008</v>
      </c>
      <c r="F374" s="63">
        <f t="shared" ref="F374:F376" si="97">E374+D374</f>
        <v>75106.478900000016</v>
      </c>
      <c r="G374" s="977">
        <v>0</v>
      </c>
      <c r="H374" s="977">
        <v>0</v>
      </c>
      <c r="I374" s="63">
        <f>(G374-H374)*'16-PlantAdditions'!$E$103</f>
        <v>0</v>
      </c>
      <c r="J374" s="63">
        <f t="shared" ref="J374:J376" si="98">J373+F374-G374-I374</f>
        <v>25696064.149000004</v>
      </c>
      <c r="K374" s="63">
        <f t="shared" si="96"/>
        <v>1877664.7890000045</v>
      </c>
    </row>
    <row r="375" spans="1:11" s="645" customFormat="1" ht="13">
      <c r="A375" s="109">
        <f t="shared" si="93"/>
        <v>286</v>
      </c>
      <c r="B375" s="611" t="s">
        <v>190</v>
      </c>
      <c r="C375" s="609">
        <v>2022</v>
      </c>
      <c r="D375" s="977">
        <v>69866.492000000013</v>
      </c>
      <c r="E375" s="63">
        <f>D375*'16-PlantAdditions'!$E$103</f>
        <v>5239.9869000000008</v>
      </c>
      <c r="F375" s="63">
        <f t="shared" si="97"/>
        <v>75106.478900000016</v>
      </c>
      <c r="G375" s="977">
        <v>0</v>
      </c>
      <c r="H375" s="977">
        <v>0</v>
      </c>
      <c r="I375" s="63">
        <f>(G375-H375)*'16-PlantAdditions'!$E$103</f>
        <v>0</v>
      </c>
      <c r="J375" s="63">
        <f t="shared" si="98"/>
        <v>25771170.627900004</v>
      </c>
      <c r="K375" s="63">
        <f t="shared" si="96"/>
        <v>1952771.267900005</v>
      </c>
    </row>
    <row r="376" spans="1:11" s="645" customFormat="1" ht="13">
      <c r="A376" s="109">
        <f t="shared" si="93"/>
        <v>287</v>
      </c>
      <c r="B376" s="611" t="s">
        <v>180</v>
      </c>
      <c r="C376" s="609">
        <v>2022</v>
      </c>
      <c r="D376" s="977">
        <v>69868.588000000003</v>
      </c>
      <c r="E376" s="63">
        <f>D376*'16-PlantAdditions'!$E$103</f>
        <v>5240.1441000000004</v>
      </c>
      <c r="F376" s="63">
        <f t="shared" si="97"/>
        <v>75108.732100000008</v>
      </c>
      <c r="G376" s="977">
        <v>0</v>
      </c>
      <c r="H376" s="977">
        <v>0</v>
      </c>
      <c r="I376" s="63">
        <f>(G376-H376)*'16-PlantAdditions'!$E$103</f>
        <v>0</v>
      </c>
      <c r="J376" s="63">
        <f t="shared" si="98"/>
        <v>25846279.360000003</v>
      </c>
      <c r="K376" s="777">
        <f t="shared" si="96"/>
        <v>2027880.0000000037</v>
      </c>
    </row>
    <row r="377" spans="1:11" s="645" customFormat="1" ht="13">
      <c r="A377" s="109">
        <f t="shared" si="93"/>
        <v>288</v>
      </c>
      <c r="B377"/>
      <c r="C377" s="644" t="s">
        <v>1603</v>
      </c>
      <c r="D377"/>
      <c r="E377"/>
      <c r="F377"/>
      <c r="G377"/>
      <c r="H377"/>
      <c r="I377"/>
      <c r="J377"/>
      <c r="K377" s="73">
        <f>AVERAGE(K364:K376)</f>
        <v>1577239.0467230794</v>
      </c>
    </row>
    <row r="378" spans="1:11" s="645" customFormat="1" ht="13">
      <c r="A378" s="109"/>
      <c r="B378"/>
      <c r="C378" s="644"/>
      <c r="D378"/>
      <c r="E378"/>
      <c r="F378"/>
      <c r="G378"/>
      <c r="H378"/>
      <c r="I378"/>
      <c r="J378"/>
      <c r="K378" s="73"/>
    </row>
    <row r="379" spans="1:11" s="645" customFormat="1" ht="13">
      <c r="B379" s="646" t="s">
        <v>1939</v>
      </c>
      <c r="D379" s="1508" t="s">
        <v>2735</v>
      </c>
      <c r="E379" s="1508"/>
      <c r="F379" s="1509"/>
      <c r="G379" s="1509"/>
    </row>
    <row r="380" spans="1:11" s="645" customFormat="1" ht="13">
      <c r="A380" s="640"/>
      <c r="B380" s="640"/>
      <c r="C380" s="640"/>
      <c r="D380" s="640" t="s">
        <v>358</v>
      </c>
      <c r="E380" s="640" t="s">
        <v>342</v>
      </c>
      <c r="F380" s="640" t="s">
        <v>343</v>
      </c>
      <c r="G380" s="640" t="s">
        <v>344</v>
      </c>
      <c r="H380" s="640" t="s">
        <v>345</v>
      </c>
      <c r="I380" s="640" t="s">
        <v>346</v>
      </c>
      <c r="J380" s="640" t="s">
        <v>347</v>
      </c>
      <c r="K380" s="640" t="s">
        <v>534</v>
      </c>
    </row>
    <row r="381" spans="1:11" s="645" customFormat="1" ht="38">
      <c r="D381" s="647"/>
      <c r="E381" s="648" t="s">
        <v>2061</v>
      </c>
      <c r="F381" s="649" t="s">
        <v>1927</v>
      </c>
      <c r="G381" s="525"/>
      <c r="H381" s="647"/>
      <c r="I381" s="648" t="s">
        <v>2062</v>
      </c>
      <c r="J381" s="648" t="s">
        <v>1928</v>
      </c>
      <c r="K381" s="648" t="s">
        <v>1929</v>
      </c>
    </row>
    <row r="382" spans="1:11" s="645" customFormat="1" ht="13">
      <c r="D382" s="647"/>
      <c r="E382" s="648"/>
      <c r="F382" s="649"/>
      <c r="G382" s="854" t="str">
        <f>G51</f>
        <v>Unloaded</v>
      </c>
      <c r="H382" s="647"/>
      <c r="I382" s="648"/>
      <c r="J382" s="648"/>
      <c r="K382" s="648"/>
    </row>
    <row r="383" spans="1:11" s="645" customFormat="1" ht="13">
      <c r="A383" s="642"/>
      <c r="B383" s="642"/>
      <c r="C383" s="642"/>
      <c r="D383" s="642" t="str">
        <f>D$52</f>
        <v>Forecast</v>
      </c>
      <c r="E383" s="642" t="str">
        <f t="shared" ref="E383:J383" si="99">E$52</f>
        <v>Corporate</v>
      </c>
      <c r="F383" s="642" t="str">
        <f t="shared" si="99"/>
        <v xml:space="preserve">Total </v>
      </c>
      <c r="G383" s="4" t="str">
        <f>G52</f>
        <v>Total</v>
      </c>
      <c r="H383" s="642" t="str">
        <f t="shared" si="99"/>
        <v>Prior Period</v>
      </c>
      <c r="I383" s="642" t="str">
        <f t="shared" si="99"/>
        <v>Over Heads</v>
      </c>
      <c r="J383" s="642" t="str">
        <f t="shared" si="99"/>
        <v>Forecast</v>
      </c>
      <c r="K383" s="642" t="str">
        <f>K$52</f>
        <v>Forecast Period</v>
      </c>
    </row>
    <row r="384" spans="1:11" s="645" customFormat="1" ht="13">
      <c r="A384" s="833" t="s">
        <v>329</v>
      </c>
      <c r="B384" s="607" t="s">
        <v>192</v>
      </c>
      <c r="C384" s="607" t="s">
        <v>193</v>
      </c>
      <c r="D384" s="640" t="str">
        <f>D$53</f>
        <v>Expenditures</v>
      </c>
      <c r="E384" s="640" t="str">
        <f t="shared" ref="E384:J384" si="100">E$53</f>
        <v>Overheads</v>
      </c>
      <c r="F384" s="640" t="str">
        <f t="shared" si="100"/>
        <v>CWIP Exp</v>
      </c>
      <c r="G384" s="84" t="str">
        <f>G53</f>
        <v>Plant Adds</v>
      </c>
      <c r="H384" s="640" t="str">
        <f t="shared" si="100"/>
        <v>CWIP Closed</v>
      </c>
      <c r="I384" s="640" t="str">
        <f t="shared" si="100"/>
        <v>Closed to PIS</v>
      </c>
      <c r="J384" s="640" t="str">
        <f t="shared" si="100"/>
        <v>Period CWIP</v>
      </c>
      <c r="K384" s="640" t="str">
        <f>K$53</f>
        <v>Incremental CWIP</v>
      </c>
    </row>
    <row r="385" spans="1:11" s="645" customFormat="1" ht="13">
      <c r="A385" s="109">
        <f>A377+1</f>
        <v>289</v>
      </c>
      <c r="B385" s="608" t="s">
        <v>180</v>
      </c>
      <c r="C385" s="609">
        <v>2020</v>
      </c>
      <c r="D385" s="649" t="s">
        <v>76</v>
      </c>
      <c r="E385" s="649" t="s">
        <v>76</v>
      </c>
      <c r="F385" s="649" t="s">
        <v>76</v>
      </c>
      <c r="G385" s="649" t="s">
        <v>76</v>
      </c>
      <c r="H385" s="649" t="s">
        <v>76</v>
      </c>
      <c r="I385" s="649" t="s">
        <v>76</v>
      </c>
      <c r="J385" s="63">
        <f>H45</f>
        <v>134608216.12</v>
      </c>
      <c r="K385" s="649" t="s">
        <v>76</v>
      </c>
    </row>
    <row r="386" spans="1:11" s="645" customFormat="1" ht="13">
      <c r="A386" s="109">
        <f>A385+1</f>
        <v>290</v>
      </c>
      <c r="B386" s="608" t="s">
        <v>181</v>
      </c>
      <c r="C386" s="609">
        <v>2021</v>
      </c>
      <c r="D386" s="106">
        <v>2219779</v>
      </c>
      <c r="E386" s="63">
        <f>D386*'16-PlantAdditions'!$E$103</f>
        <v>166483.42499999999</v>
      </c>
      <c r="F386" s="63">
        <f>E386+D386</f>
        <v>2386262.4249999998</v>
      </c>
      <c r="G386" s="977">
        <v>0</v>
      </c>
      <c r="H386" s="977">
        <v>0</v>
      </c>
      <c r="I386" s="63">
        <f>(G386-H386)*'16-PlantAdditions'!$E$103</f>
        <v>0</v>
      </c>
      <c r="J386" s="63">
        <f>J385+F386-G386-I386</f>
        <v>136994478.54500002</v>
      </c>
      <c r="K386" s="63">
        <f>J386-$J$385</f>
        <v>2386262.4250000119</v>
      </c>
    </row>
    <row r="387" spans="1:11" s="645" customFormat="1" ht="13">
      <c r="A387" s="109">
        <f t="shared" ref="A387:A410" si="101">A386+1</f>
        <v>291</v>
      </c>
      <c r="B387" s="611" t="s">
        <v>182</v>
      </c>
      <c r="C387" s="609">
        <v>2021</v>
      </c>
      <c r="D387" s="977">
        <v>2888591</v>
      </c>
      <c r="E387" s="63">
        <f>D387*'16-PlantAdditions'!$E$103</f>
        <v>216644.32499999998</v>
      </c>
      <c r="F387" s="63">
        <f>E387+D387</f>
        <v>3105235.3250000002</v>
      </c>
      <c r="G387" s="977">
        <v>0</v>
      </c>
      <c r="H387" s="977">
        <v>0</v>
      </c>
      <c r="I387" s="63">
        <f>(G387-H387)*'16-PlantAdditions'!$E$103</f>
        <v>0</v>
      </c>
      <c r="J387" s="63">
        <f>J386+F387-G387-I387</f>
        <v>140099713.87</v>
      </c>
      <c r="K387" s="63">
        <f t="shared" ref="K387:K409" si="102">J387-$J$385</f>
        <v>5491497.75</v>
      </c>
    </row>
    <row r="388" spans="1:11" s="645" customFormat="1" ht="13">
      <c r="A388" s="109">
        <f t="shared" si="101"/>
        <v>292</v>
      </c>
      <c r="B388" s="611" t="s">
        <v>195</v>
      </c>
      <c r="C388" s="609">
        <v>2021</v>
      </c>
      <c r="D388" s="977">
        <v>2140707</v>
      </c>
      <c r="E388" s="63">
        <f>D388*'16-PlantAdditions'!$E$103</f>
        <v>160553.02499999999</v>
      </c>
      <c r="F388" s="63">
        <f t="shared" ref="F388:F406" si="103">E388+D388</f>
        <v>2301260.0249999999</v>
      </c>
      <c r="G388" s="977">
        <v>0</v>
      </c>
      <c r="H388" s="977">
        <v>0</v>
      </c>
      <c r="I388" s="63">
        <f>(G388-H388)*'16-PlantAdditions'!$E$103</f>
        <v>0</v>
      </c>
      <c r="J388" s="63">
        <f t="shared" ref="J388:J406" si="104">J387+F388-G388-I388</f>
        <v>142400973.89500001</v>
      </c>
      <c r="K388" s="63">
        <f t="shared" si="102"/>
        <v>7792757.775000006</v>
      </c>
    </row>
    <row r="389" spans="1:11" s="645" customFormat="1" ht="13">
      <c r="A389" s="109">
        <f t="shared" si="101"/>
        <v>293</v>
      </c>
      <c r="B389" s="608" t="s">
        <v>183</v>
      </c>
      <c r="C389" s="609">
        <v>2021</v>
      </c>
      <c r="D389" s="977">
        <v>5988000</v>
      </c>
      <c r="E389" s="63">
        <f>D389*'16-PlantAdditions'!$E$103</f>
        <v>449100</v>
      </c>
      <c r="F389" s="63">
        <f t="shared" si="103"/>
        <v>6437100</v>
      </c>
      <c r="G389" s="977">
        <v>25083633.900000002</v>
      </c>
      <c r="H389" s="977">
        <v>22566341.899999999</v>
      </c>
      <c r="I389" s="63">
        <f>(G389-H389)*'16-PlantAdditions'!$E$103</f>
        <v>188796.90000000029</v>
      </c>
      <c r="J389" s="63">
        <f t="shared" si="104"/>
        <v>123565643.095</v>
      </c>
      <c r="K389" s="63">
        <f t="shared" si="102"/>
        <v>-11042573.025000006</v>
      </c>
    </row>
    <row r="390" spans="1:11" s="645" customFormat="1" ht="13">
      <c r="A390" s="109">
        <f t="shared" si="101"/>
        <v>294</v>
      </c>
      <c r="B390" s="611" t="s">
        <v>184</v>
      </c>
      <c r="C390" s="609">
        <v>2021</v>
      </c>
      <c r="D390" s="977">
        <v>3826000</v>
      </c>
      <c r="E390" s="63">
        <f>D390*'16-PlantAdditions'!$E$103</f>
        <v>286950</v>
      </c>
      <c r="F390" s="63">
        <f t="shared" si="103"/>
        <v>4112950</v>
      </c>
      <c r="G390" s="977">
        <v>903000</v>
      </c>
      <c r="H390" s="977">
        <v>0</v>
      </c>
      <c r="I390" s="63">
        <f>(G390-H390)*'16-PlantAdditions'!$E$103</f>
        <v>67725</v>
      </c>
      <c r="J390" s="63">
        <f t="shared" si="104"/>
        <v>126707868.095</v>
      </c>
      <c r="K390" s="63">
        <f t="shared" si="102"/>
        <v>-7900348.025000006</v>
      </c>
    </row>
    <row r="391" spans="1:11" s="645" customFormat="1" ht="13">
      <c r="A391" s="109">
        <f t="shared" si="101"/>
        <v>295</v>
      </c>
      <c r="B391" s="611" t="s">
        <v>1458</v>
      </c>
      <c r="C391" s="609">
        <v>2021</v>
      </c>
      <c r="D391" s="977">
        <v>2724000</v>
      </c>
      <c r="E391" s="63">
        <f>D391*'16-PlantAdditions'!$E$103</f>
        <v>204300</v>
      </c>
      <c r="F391" s="63">
        <f t="shared" si="103"/>
        <v>2928300</v>
      </c>
      <c r="G391" s="977">
        <v>768000</v>
      </c>
      <c r="H391" s="977">
        <v>0</v>
      </c>
      <c r="I391" s="63">
        <f>(G391-H391)*'16-PlantAdditions'!$E$103</f>
        <v>57600</v>
      </c>
      <c r="J391" s="63">
        <f t="shared" si="104"/>
        <v>128810568.095</v>
      </c>
      <c r="K391" s="63">
        <f t="shared" si="102"/>
        <v>-5797648.025000006</v>
      </c>
    </row>
    <row r="392" spans="1:11" s="645" customFormat="1" ht="13">
      <c r="A392" s="109">
        <f t="shared" si="101"/>
        <v>296</v>
      </c>
      <c r="B392" s="608" t="s">
        <v>186</v>
      </c>
      <c r="C392" s="609">
        <v>2021</v>
      </c>
      <c r="D392" s="977">
        <v>2657000</v>
      </c>
      <c r="E392" s="63">
        <f>D392*'16-PlantAdditions'!$E$103</f>
        <v>199275</v>
      </c>
      <c r="F392" s="63">
        <f t="shared" si="103"/>
        <v>2856275</v>
      </c>
      <c r="G392" s="977">
        <v>535000</v>
      </c>
      <c r="H392" s="977">
        <v>0</v>
      </c>
      <c r="I392" s="63">
        <f>(G392-H392)*'16-PlantAdditions'!$E$103</f>
        <v>40125</v>
      </c>
      <c r="J392" s="63">
        <f t="shared" si="104"/>
        <v>131091718.095</v>
      </c>
      <c r="K392" s="63">
        <f t="shared" si="102"/>
        <v>-3516498.025000006</v>
      </c>
    </row>
    <row r="393" spans="1:11" s="645" customFormat="1" ht="13">
      <c r="A393" s="109">
        <f t="shared" si="101"/>
        <v>297</v>
      </c>
      <c r="B393" s="611" t="s">
        <v>187</v>
      </c>
      <c r="C393" s="609">
        <v>2021</v>
      </c>
      <c r="D393" s="977">
        <v>2361000</v>
      </c>
      <c r="E393" s="63">
        <f>D393*'16-PlantAdditions'!$E$103</f>
        <v>177075</v>
      </c>
      <c r="F393" s="63">
        <f t="shared" si="103"/>
        <v>2538075</v>
      </c>
      <c r="G393" s="977">
        <v>293000</v>
      </c>
      <c r="H393" s="977">
        <v>0</v>
      </c>
      <c r="I393" s="63">
        <f>(G393-H393)*'16-PlantAdditions'!$E$103</f>
        <v>21975</v>
      </c>
      <c r="J393" s="63">
        <f t="shared" si="104"/>
        <v>133314818.095</v>
      </c>
      <c r="K393" s="63">
        <f t="shared" si="102"/>
        <v>-1293398.025000006</v>
      </c>
    </row>
    <row r="394" spans="1:11" s="645" customFormat="1" ht="13">
      <c r="A394" s="109">
        <f t="shared" si="101"/>
        <v>298</v>
      </c>
      <c r="B394" s="611" t="s">
        <v>188</v>
      </c>
      <c r="C394" s="609">
        <v>2021</v>
      </c>
      <c r="D394" s="977">
        <v>1948000</v>
      </c>
      <c r="E394" s="63">
        <f>D394*'16-PlantAdditions'!$E$103</f>
        <v>146100</v>
      </c>
      <c r="F394" s="63">
        <f t="shared" si="103"/>
        <v>2094100</v>
      </c>
      <c r="G394" s="977">
        <v>293000</v>
      </c>
      <c r="H394" s="977">
        <v>0</v>
      </c>
      <c r="I394" s="63">
        <f>(G394-H394)*'16-PlantAdditions'!$E$103</f>
        <v>21975</v>
      </c>
      <c r="J394" s="63">
        <f t="shared" si="104"/>
        <v>135093943.095</v>
      </c>
      <c r="K394" s="63">
        <f t="shared" si="102"/>
        <v>485726.97499999404</v>
      </c>
    </row>
    <row r="395" spans="1:11" s="645" customFormat="1" ht="13">
      <c r="A395" s="109">
        <f t="shared" si="101"/>
        <v>299</v>
      </c>
      <c r="B395" s="608" t="s">
        <v>191</v>
      </c>
      <c r="C395" s="609">
        <v>2021</v>
      </c>
      <c r="D395" s="977">
        <v>2383000</v>
      </c>
      <c r="E395" s="63">
        <f>D395*'16-PlantAdditions'!$E$103</f>
        <v>178725</v>
      </c>
      <c r="F395" s="63">
        <f t="shared" si="103"/>
        <v>2561725</v>
      </c>
      <c r="G395" s="977">
        <v>591000</v>
      </c>
      <c r="H395" s="977">
        <v>0</v>
      </c>
      <c r="I395" s="63">
        <f>(G395-H395)*'16-PlantAdditions'!$E$103</f>
        <v>44325</v>
      </c>
      <c r="J395" s="63">
        <f t="shared" si="104"/>
        <v>137020343.095</v>
      </c>
      <c r="K395" s="63">
        <f t="shared" si="102"/>
        <v>2412126.974999994</v>
      </c>
    </row>
    <row r="396" spans="1:11" s="645" customFormat="1" ht="13">
      <c r="A396" s="109">
        <f t="shared" si="101"/>
        <v>300</v>
      </c>
      <c r="B396" s="608" t="s">
        <v>190</v>
      </c>
      <c r="C396" s="609">
        <v>2021</v>
      </c>
      <c r="D396" s="977">
        <v>2310000</v>
      </c>
      <c r="E396" s="63">
        <f>D396*'16-PlantAdditions'!$E$103</f>
        <v>173250</v>
      </c>
      <c r="F396" s="63">
        <f t="shared" si="103"/>
        <v>2483250</v>
      </c>
      <c r="G396" s="977">
        <v>30818312.820000004</v>
      </c>
      <c r="H396" s="977">
        <v>25939022.82</v>
      </c>
      <c r="I396" s="63">
        <f>(G396-H396)*'16-PlantAdditions'!$E$103</f>
        <v>365946.75000000029</v>
      </c>
      <c r="J396" s="63">
        <f t="shared" si="104"/>
        <v>108319333.52499999</v>
      </c>
      <c r="K396" s="63">
        <f t="shared" si="102"/>
        <v>-26288882.595000014</v>
      </c>
    </row>
    <row r="397" spans="1:11" s="645" customFormat="1" ht="13">
      <c r="A397" s="109">
        <f t="shared" si="101"/>
        <v>301</v>
      </c>
      <c r="B397" s="608" t="s">
        <v>180</v>
      </c>
      <c r="C397" s="609">
        <v>2021</v>
      </c>
      <c r="D397" s="977">
        <v>5557923</v>
      </c>
      <c r="E397" s="63">
        <f>D397*'16-PlantAdditions'!$E$103</f>
        <v>416844.22499999998</v>
      </c>
      <c r="F397" s="63">
        <f t="shared" si="103"/>
        <v>5974767.2249999996</v>
      </c>
      <c r="G397" s="977">
        <v>2471694.54</v>
      </c>
      <c r="H397" s="977">
        <v>804276.54</v>
      </c>
      <c r="I397" s="63">
        <f>(G397-H397)*'16-PlantAdditions'!$E$103</f>
        <v>125056.34999999999</v>
      </c>
      <c r="J397" s="63">
        <f t="shared" si="104"/>
        <v>111697349.85999998</v>
      </c>
      <c r="K397" s="63">
        <f t="shared" si="102"/>
        <v>-22910866.26000002</v>
      </c>
    </row>
    <row r="398" spans="1:11" s="645" customFormat="1" ht="13">
      <c r="A398" s="109">
        <f t="shared" si="101"/>
        <v>302</v>
      </c>
      <c r="B398" s="608" t="s">
        <v>181</v>
      </c>
      <c r="C398" s="609">
        <v>2022</v>
      </c>
      <c r="D398" s="977">
        <v>1788000</v>
      </c>
      <c r="E398" s="63">
        <f>D398*'16-PlantAdditions'!$E$103</f>
        <v>134100</v>
      </c>
      <c r="F398" s="63">
        <f t="shared" si="103"/>
        <v>1922100</v>
      </c>
      <c r="G398" s="977">
        <v>28318379.440000001</v>
      </c>
      <c r="H398" s="977">
        <v>21197379.440000001</v>
      </c>
      <c r="I398" s="63">
        <f>(G398-H398)*'16-PlantAdditions'!$E$103</f>
        <v>534075</v>
      </c>
      <c r="J398" s="63">
        <f t="shared" si="104"/>
        <v>84766995.419999987</v>
      </c>
      <c r="K398" s="63">
        <f t="shared" si="102"/>
        <v>-49841220.700000018</v>
      </c>
    </row>
    <row r="399" spans="1:11" s="645" customFormat="1" ht="13">
      <c r="A399" s="109">
        <f t="shared" si="101"/>
        <v>303</v>
      </c>
      <c r="B399" s="611" t="s">
        <v>182</v>
      </c>
      <c r="C399" s="609">
        <v>2022</v>
      </c>
      <c r="D399" s="977">
        <v>2740000</v>
      </c>
      <c r="E399" s="63">
        <f>D399*'16-PlantAdditions'!$E$103</f>
        <v>205500</v>
      </c>
      <c r="F399" s="63">
        <f t="shared" si="103"/>
        <v>2945500</v>
      </c>
      <c r="G399" s="977">
        <v>1783000</v>
      </c>
      <c r="H399" s="977">
        <v>0</v>
      </c>
      <c r="I399" s="63">
        <f>(G399-H399)*'16-PlantAdditions'!$E$103</f>
        <v>133725</v>
      </c>
      <c r="J399" s="63">
        <f t="shared" si="104"/>
        <v>85795770.419999987</v>
      </c>
      <c r="K399" s="63">
        <f t="shared" si="102"/>
        <v>-48812445.700000018</v>
      </c>
    </row>
    <row r="400" spans="1:11" s="645" customFormat="1" ht="13">
      <c r="A400" s="109">
        <f t="shared" si="101"/>
        <v>304</v>
      </c>
      <c r="B400" s="611" t="s">
        <v>195</v>
      </c>
      <c r="C400" s="609">
        <v>2022</v>
      </c>
      <c r="D400" s="977">
        <v>2842000</v>
      </c>
      <c r="E400" s="63">
        <f>D400*'16-PlantAdditions'!$E$103</f>
        <v>213150</v>
      </c>
      <c r="F400" s="63">
        <f t="shared" si="103"/>
        <v>3055150</v>
      </c>
      <c r="G400" s="977">
        <v>1412000</v>
      </c>
      <c r="H400" s="977">
        <v>0</v>
      </c>
      <c r="I400" s="63">
        <f>(G400-H400)*'16-PlantAdditions'!$E$103</f>
        <v>105900</v>
      </c>
      <c r="J400" s="63">
        <f t="shared" si="104"/>
        <v>87333020.419999987</v>
      </c>
      <c r="K400" s="63">
        <f t="shared" si="102"/>
        <v>-47275195.700000018</v>
      </c>
    </row>
    <row r="401" spans="1:11" s="645" customFormat="1" ht="13">
      <c r="A401" s="109">
        <f t="shared" si="101"/>
        <v>305</v>
      </c>
      <c r="B401" s="608" t="s">
        <v>183</v>
      </c>
      <c r="C401" s="609">
        <v>2022</v>
      </c>
      <c r="D401" s="977">
        <v>4179000</v>
      </c>
      <c r="E401" s="63">
        <f>D401*'16-PlantAdditions'!$E$103</f>
        <v>313425</v>
      </c>
      <c r="F401" s="63">
        <f t="shared" si="103"/>
        <v>4492425</v>
      </c>
      <c r="G401" s="977">
        <v>1878000</v>
      </c>
      <c r="H401" s="977">
        <v>0</v>
      </c>
      <c r="I401" s="63">
        <f>(G401-H401)*'16-PlantAdditions'!$E$103</f>
        <v>140850</v>
      </c>
      <c r="J401" s="63">
        <f t="shared" si="104"/>
        <v>89806595.419999987</v>
      </c>
      <c r="K401" s="63">
        <f t="shared" si="102"/>
        <v>-44801620.700000018</v>
      </c>
    </row>
    <row r="402" spans="1:11" s="645" customFormat="1" ht="13">
      <c r="A402" s="109">
        <f t="shared" si="101"/>
        <v>306</v>
      </c>
      <c r="B402" s="611" t="s">
        <v>184</v>
      </c>
      <c r="C402" s="609">
        <v>2022</v>
      </c>
      <c r="D402" s="977">
        <v>4108000</v>
      </c>
      <c r="E402" s="63">
        <f>D402*'16-PlantAdditions'!$E$103</f>
        <v>308100</v>
      </c>
      <c r="F402" s="63">
        <f t="shared" si="103"/>
        <v>4416100</v>
      </c>
      <c r="G402" s="977">
        <v>30194277.760000002</v>
      </c>
      <c r="H402" s="977">
        <v>22955277.760000002</v>
      </c>
      <c r="I402" s="63">
        <f>(G402-H402)*'16-PlantAdditions'!$E$103</f>
        <v>542925</v>
      </c>
      <c r="J402" s="63">
        <f t="shared" si="104"/>
        <v>63485492.659999982</v>
      </c>
      <c r="K402" s="63">
        <f t="shared" si="102"/>
        <v>-71122723.460000023</v>
      </c>
    </row>
    <row r="403" spans="1:11" s="645" customFormat="1" ht="13">
      <c r="A403" s="109">
        <f t="shared" si="101"/>
        <v>307</v>
      </c>
      <c r="B403" s="611" t="s">
        <v>1458</v>
      </c>
      <c r="C403" s="609">
        <v>2022</v>
      </c>
      <c r="D403" s="977">
        <v>6275000</v>
      </c>
      <c r="E403" s="63">
        <f>D403*'16-PlantAdditions'!$E$103</f>
        <v>470625</v>
      </c>
      <c r="F403" s="63">
        <f t="shared" si="103"/>
        <v>6745625</v>
      </c>
      <c r="G403" s="977">
        <v>33785455.069999993</v>
      </c>
      <c r="H403" s="977">
        <v>20878455.07</v>
      </c>
      <c r="I403" s="63">
        <f>(G403-H403)*'16-PlantAdditions'!$E$103</f>
        <v>968024.99999999942</v>
      </c>
      <c r="J403" s="63">
        <f t="shared" si="104"/>
        <v>35477637.589999989</v>
      </c>
      <c r="K403" s="63">
        <f t="shared" si="102"/>
        <v>-99130578.530000016</v>
      </c>
    </row>
    <row r="404" spans="1:11" s="645" customFormat="1" ht="13">
      <c r="A404" s="109">
        <f t="shared" si="101"/>
        <v>308</v>
      </c>
      <c r="B404" s="608" t="s">
        <v>186</v>
      </c>
      <c r="C404" s="609">
        <v>2022</v>
      </c>
      <c r="D404" s="977">
        <v>3304000</v>
      </c>
      <c r="E404" s="63">
        <f>D404*'16-PlantAdditions'!$E$103</f>
        <v>247800</v>
      </c>
      <c r="F404" s="63">
        <f t="shared" si="103"/>
        <v>3551800</v>
      </c>
      <c r="G404" s="977">
        <v>37720462.590000004</v>
      </c>
      <c r="H404" s="977">
        <v>20267462.59</v>
      </c>
      <c r="I404" s="63">
        <f>(G404-H404)*'16-PlantAdditions'!$E$103</f>
        <v>1308975.0000000002</v>
      </c>
      <c r="J404" s="63">
        <f t="shared" si="104"/>
        <v>-1.5133991837501526E-8</v>
      </c>
      <c r="K404" s="63">
        <f t="shared" si="102"/>
        <v>-134608216.12000003</v>
      </c>
    </row>
    <row r="405" spans="1:11" s="645" customFormat="1" ht="13">
      <c r="A405" s="109">
        <f t="shared" si="101"/>
        <v>309</v>
      </c>
      <c r="B405" s="611" t="s">
        <v>187</v>
      </c>
      <c r="C405" s="609">
        <v>2022</v>
      </c>
      <c r="D405" s="977">
        <v>2002000</v>
      </c>
      <c r="E405" s="63">
        <f>D405*'16-PlantAdditions'!$E$103</f>
        <v>150150</v>
      </c>
      <c r="F405" s="63">
        <f t="shared" si="103"/>
        <v>2152150</v>
      </c>
      <c r="G405" s="977">
        <v>2002000</v>
      </c>
      <c r="H405" s="977">
        <v>0</v>
      </c>
      <c r="I405" s="63">
        <f>(G405-H405)*'16-PlantAdditions'!$E$103</f>
        <v>150150</v>
      </c>
      <c r="J405" s="63">
        <f t="shared" si="104"/>
        <v>-1.4901161193847656E-8</v>
      </c>
      <c r="K405" s="63">
        <f t="shared" si="102"/>
        <v>-134608216.12</v>
      </c>
    </row>
    <row r="406" spans="1:11" s="645" customFormat="1" ht="13">
      <c r="A406" s="109">
        <f t="shared" si="101"/>
        <v>310</v>
      </c>
      <c r="B406" s="611" t="s">
        <v>188</v>
      </c>
      <c r="C406" s="609">
        <v>2022</v>
      </c>
      <c r="D406" s="977">
        <v>1410000</v>
      </c>
      <c r="E406" s="63">
        <f>D406*'16-PlantAdditions'!$E$103</f>
        <v>105750</v>
      </c>
      <c r="F406" s="63">
        <f t="shared" si="103"/>
        <v>1515750</v>
      </c>
      <c r="G406" s="977">
        <v>1410000</v>
      </c>
      <c r="H406" s="977">
        <v>0</v>
      </c>
      <c r="I406" s="63">
        <f>(G406-H406)*'16-PlantAdditions'!$E$103</f>
        <v>105750</v>
      </c>
      <c r="J406" s="63">
        <f t="shared" si="104"/>
        <v>-1.4901161193847656E-8</v>
      </c>
      <c r="K406" s="63">
        <f t="shared" si="102"/>
        <v>-134608216.12</v>
      </c>
    </row>
    <row r="407" spans="1:11" s="645" customFormat="1" ht="13">
      <c r="A407" s="109">
        <f t="shared" si="101"/>
        <v>311</v>
      </c>
      <c r="B407" s="611" t="s">
        <v>191</v>
      </c>
      <c r="C407" s="609">
        <v>2022</v>
      </c>
      <c r="D407" s="977">
        <v>959000</v>
      </c>
      <c r="E407" s="63">
        <f>D407*'16-PlantAdditions'!$E$103</f>
        <v>71925</v>
      </c>
      <c r="F407" s="63">
        <f t="shared" ref="F407:F409" si="105">E407+D407</f>
        <v>1030925</v>
      </c>
      <c r="G407" s="977">
        <v>959000</v>
      </c>
      <c r="H407" s="977">
        <v>0</v>
      </c>
      <c r="I407" s="63">
        <f>(G407-H407)*'16-PlantAdditions'!$E$103</f>
        <v>71925</v>
      </c>
      <c r="J407" s="63">
        <f t="shared" ref="J407:J408" si="106">J406+F407-G407-I407</f>
        <v>-1.4901161193847656E-8</v>
      </c>
      <c r="K407" s="63">
        <f t="shared" si="102"/>
        <v>-134608216.12</v>
      </c>
    </row>
    <row r="408" spans="1:11" s="645" customFormat="1" ht="13">
      <c r="A408" s="109">
        <f t="shared" si="101"/>
        <v>312</v>
      </c>
      <c r="B408" s="611" t="s">
        <v>190</v>
      </c>
      <c r="C408" s="609">
        <v>2022</v>
      </c>
      <c r="D408" s="977">
        <v>874000</v>
      </c>
      <c r="E408" s="63">
        <f>D408*'16-PlantAdditions'!$E$103</f>
        <v>65550</v>
      </c>
      <c r="F408" s="63">
        <f t="shared" si="105"/>
        <v>939550</v>
      </c>
      <c r="G408" s="977">
        <v>874000</v>
      </c>
      <c r="H408" s="977">
        <v>0</v>
      </c>
      <c r="I408" s="63">
        <f>(G408-H408)*'16-PlantAdditions'!$E$103</f>
        <v>65550</v>
      </c>
      <c r="J408" s="63">
        <f t="shared" si="106"/>
        <v>-1.4901161193847656E-8</v>
      </c>
      <c r="K408" s="63">
        <f t="shared" si="102"/>
        <v>-134608216.12</v>
      </c>
    </row>
    <row r="409" spans="1:11" s="645" customFormat="1" ht="13">
      <c r="A409" s="109">
        <f t="shared" si="101"/>
        <v>313</v>
      </c>
      <c r="B409" s="611" t="s">
        <v>180</v>
      </c>
      <c r="C409" s="609">
        <v>2022</v>
      </c>
      <c r="D409" s="977">
        <v>2272000</v>
      </c>
      <c r="E409" s="63">
        <f>D409*'16-PlantAdditions'!$E$103</f>
        <v>170400</v>
      </c>
      <c r="F409" s="63">
        <f t="shared" si="105"/>
        <v>2442400</v>
      </c>
      <c r="G409" s="977">
        <v>2272000</v>
      </c>
      <c r="H409" s="977">
        <v>0</v>
      </c>
      <c r="I409" s="63">
        <f>(G409-H409)*'16-PlantAdditions'!$E$103</f>
        <v>170400</v>
      </c>
      <c r="J409" s="63">
        <f>J408+F409-G409-I409</f>
        <v>-1.4901161193847656E-8</v>
      </c>
      <c r="K409" s="110">
        <f t="shared" si="102"/>
        <v>-134608216.12</v>
      </c>
    </row>
    <row r="410" spans="1:11" s="645" customFormat="1" ht="13">
      <c r="A410" s="109">
        <f t="shared" si="101"/>
        <v>314</v>
      </c>
      <c r="B410"/>
      <c r="C410" s="644" t="s">
        <v>1603</v>
      </c>
      <c r="H410" s="649"/>
      <c r="I410" s="649"/>
      <c r="K410" s="73">
        <f>AVERAGE(K397:K409)</f>
        <v>-91657226.751538485</v>
      </c>
    </row>
    <row r="411" spans="1:11" s="645" customFormat="1" ht="13">
      <c r="A411" s="109"/>
      <c r="B411"/>
      <c r="C411" s="644"/>
      <c r="H411" s="649"/>
      <c r="I411" s="649"/>
      <c r="K411" s="73"/>
    </row>
    <row r="412" spans="1:11" s="645" customFormat="1" ht="13">
      <c r="B412" s="646" t="s">
        <v>2423</v>
      </c>
      <c r="D412" s="1508" t="s">
        <v>2728</v>
      </c>
      <c r="E412" s="1508"/>
      <c r="F412" s="14"/>
      <c r="G412" s="14"/>
    </row>
    <row r="413" spans="1:11" s="645" customFormat="1" ht="13">
      <c r="A413" s="640"/>
      <c r="B413" s="640"/>
      <c r="C413" s="640"/>
      <c r="D413" s="640" t="s">
        <v>358</v>
      </c>
      <c r="E413" s="640" t="s">
        <v>342</v>
      </c>
      <c r="F413" s="640" t="s">
        <v>343</v>
      </c>
      <c r="G413" s="640" t="s">
        <v>344</v>
      </c>
      <c r="H413" s="640" t="s">
        <v>345</v>
      </c>
      <c r="I413" s="640" t="s">
        <v>346</v>
      </c>
      <c r="J413" s="640" t="s">
        <v>347</v>
      </c>
      <c r="K413" s="640" t="s">
        <v>534</v>
      </c>
    </row>
    <row r="414" spans="1:11" s="645" customFormat="1" ht="38">
      <c r="D414" s="647"/>
      <c r="E414" s="648" t="s">
        <v>2061</v>
      </c>
      <c r="F414" s="649" t="s">
        <v>1927</v>
      </c>
      <c r="G414" s="472"/>
      <c r="H414" s="647"/>
      <c r="I414" s="648" t="s">
        <v>2062</v>
      </c>
      <c r="J414" s="648" t="s">
        <v>1928</v>
      </c>
      <c r="K414" s="648" t="s">
        <v>1929</v>
      </c>
    </row>
    <row r="415" spans="1:11" s="645" customFormat="1" ht="13">
      <c r="D415" s="647"/>
      <c r="E415" s="648"/>
      <c r="F415" s="649"/>
      <c r="G415" s="4" t="str">
        <f>G85</f>
        <v>Unloaded</v>
      </c>
      <c r="H415" s="647"/>
      <c r="I415" s="648"/>
      <c r="J415" s="648"/>
      <c r="K415" s="648"/>
    </row>
    <row r="416" spans="1:11" s="645" customFormat="1" ht="13">
      <c r="A416" s="642"/>
      <c r="B416" s="642"/>
      <c r="C416" s="642"/>
      <c r="D416" s="642" t="str">
        <f>D$52</f>
        <v>Forecast</v>
      </c>
      <c r="E416" s="642" t="str">
        <f t="shared" ref="E416:J416" si="107">E$52</f>
        <v>Corporate</v>
      </c>
      <c r="F416" s="642" t="str">
        <f t="shared" si="107"/>
        <v xml:space="preserve">Total </v>
      </c>
      <c r="G416" s="4" t="str">
        <f>G86</f>
        <v>Total</v>
      </c>
      <c r="H416" s="642" t="str">
        <f t="shared" si="107"/>
        <v>Prior Period</v>
      </c>
      <c r="I416" s="642" t="str">
        <f t="shared" si="107"/>
        <v>Over Heads</v>
      </c>
      <c r="J416" s="642" t="str">
        <f t="shared" si="107"/>
        <v>Forecast</v>
      </c>
      <c r="K416" s="642" t="str">
        <f>K$52</f>
        <v>Forecast Period</v>
      </c>
    </row>
    <row r="417" spans="1:11" s="645" customFormat="1" ht="13">
      <c r="A417" s="833" t="s">
        <v>329</v>
      </c>
      <c r="B417" s="607" t="s">
        <v>192</v>
      </c>
      <c r="C417" s="607" t="s">
        <v>193</v>
      </c>
      <c r="D417" s="640" t="str">
        <f>D$53</f>
        <v>Expenditures</v>
      </c>
      <c r="E417" s="640" t="str">
        <f t="shared" ref="E417:J417" si="108">E$53</f>
        <v>Overheads</v>
      </c>
      <c r="F417" s="640" t="str">
        <f t="shared" si="108"/>
        <v>CWIP Exp</v>
      </c>
      <c r="G417" s="84" t="str">
        <f>G87</f>
        <v>Plant Adds</v>
      </c>
      <c r="H417" s="640" t="str">
        <f t="shared" si="108"/>
        <v>CWIP Closed</v>
      </c>
      <c r="I417" s="640" t="str">
        <f t="shared" si="108"/>
        <v>Closed to PIS</v>
      </c>
      <c r="J417" s="640" t="str">
        <f t="shared" si="108"/>
        <v>Period CWIP</v>
      </c>
      <c r="K417" s="640" t="str">
        <f>K$53</f>
        <v>Incremental CWIP</v>
      </c>
    </row>
    <row r="418" spans="1:11" s="645" customFormat="1" ht="13">
      <c r="A418" s="109">
        <f>A410+1</f>
        <v>315</v>
      </c>
      <c r="B418" s="608" t="s">
        <v>180</v>
      </c>
      <c r="C418" s="609">
        <v>2020</v>
      </c>
      <c r="D418" s="649" t="s">
        <v>76</v>
      </c>
      <c r="E418" s="649" t="s">
        <v>76</v>
      </c>
      <c r="F418" s="649" t="s">
        <v>76</v>
      </c>
      <c r="G418" s="649" t="s">
        <v>76</v>
      </c>
      <c r="H418" s="649" t="s">
        <v>76</v>
      </c>
      <c r="I418" s="649" t="s">
        <v>76</v>
      </c>
      <c r="J418" s="63">
        <f>I45</f>
        <v>23607954.079999998</v>
      </c>
      <c r="K418" s="649" t="s">
        <v>76</v>
      </c>
    </row>
    <row r="419" spans="1:11" s="645" customFormat="1" ht="13">
      <c r="A419" s="109">
        <f>A418+1</f>
        <v>316</v>
      </c>
      <c r="B419" s="608" t="s">
        <v>181</v>
      </c>
      <c r="C419" s="609">
        <v>2021</v>
      </c>
      <c r="D419" s="977">
        <v>410655.99999999994</v>
      </c>
      <c r="E419" s="63">
        <f>D419*'16-PlantAdditions'!$E$103</f>
        <v>30799.199999999993</v>
      </c>
      <c r="F419" s="63">
        <f>E419+D419</f>
        <v>441455.19999999995</v>
      </c>
      <c r="G419" s="977">
        <v>0</v>
      </c>
      <c r="H419" s="977">
        <v>0</v>
      </c>
      <c r="I419" s="63">
        <f>(G419-H419)*'16-PlantAdditions'!$E$103</f>
        <v>0</v>
      </c>
      <c r="J419" s="63">
        <f t="shared" ref="J419:J442" si="109">J418+F419-G419-I419</f>
        <v>24049409.279999997</v>
      </c>
      <c r="K419" s="63">
        <f>J419-$J$418</f>
        <v>441455.19999999925</v>
      </c>
    </row>
    <row r="420" spans="1:11" s="645" customFormat="1" ht="13">
      <c r="A420" s="109">
        <f t="shared" ref="A420:A443" si="110">A419+1</f>
        <v>317</v>
      </c>
      <c r="B420" s="611" t="s">
        <v>182</v>
      </c>
      <c r="C420" s="609">
        <v>2021</v>
      </c>
      <c r="D420" s="977">
        <v>300527</v>
      </c>
      <c r="E420" s="63">
        <f>D420*'16-PlantAdditions'!$E$103</f>
        <v>22539.524999999998</v>
      </c>
      <c r="F420" s="63">
        <f t="shared" ref="F420:F442" si="111">E420+D420</f>
        <v>323066.52500000002</v>
      </c>
      <c r="G420" s="977">
        <v>0</v>
      </c>
      <c r="H420" s="977">
        <v>0</v>
      </c>
      <c r="I420" s="63">
        <f>(G420-H420)*'16-PlantAdditions'!$E$103</f>
        <v>0</v>
      </c>
      <c r="J420" s="63">
        <f t="shared" si="109"/>
        <v>24372475.804999996</v>
      </c>
      <c r="K420" s="63">
        <f t="shared" ref="K420:K442" si="112">J420-$J$418</f>
        <v>764521.72499999776</v>
      </c>
    </row>
    <row r="421" spans="1:11" s="645" customFormat="1" ht="13">
      <c r="A421" s="109">
        <f t="shared" si="110"/>
        <v>318</v>
      </c>
      <c r="B421" s="611" t="s">
        <v>195</v>
      </c>
      <c r="C421" s="609">
        <v>2021</v>
      </c>
      <c r="D421" s="977">
        <v>221178</v>
      </c>
      <c r="E421" s="63">
        <f>D421*'16-PlantAdditions'!$E$103</f>
        <v>16588.349999999999</v>
      </c>
      <c r="F421" s="63">
        <f t="shared" si="111"/>
        <v>237766.35</v>
      </c>
      <c r="G421" s="977">
        <v>0</v>
      </c>
      <c r="H421" s="977">
        <v>0</v>
      </c>
      <c r="I421" s="63">
        <f>(G421-H421)*'16-PlantAdditions'!$E$103</f>
        <v>0</v>
      </c>
      <c r="J421" s="63">
        <f t="shared" si="109"/>
        <v>24610242.154999997</v>
      </c>
      <c r="K421" s="63">
        <f t="shared" si="112"/>
        <v>1002288.0749999993</v>
      </c>
    </row>
    <row r="422" spans="1:11" s="645" customFormat="1" ht="13">
      <c r="A422" s="109">
        <f t="shared" si="110"/>
        <v>319</v>
      </c>
      <c r="B422" s="608" t="s">
        <v>183</v>
      </c>
      <c r="C422" s="609">
        <v>2021</v>
      </c>
      <c r="D422" s="977">
        <v>374485.92499999999</v>
      </c>
      <c r="E422" s="63">
        <f>D422*'16-PlantAdditions'!$E$103</f>
        <v>28086.444374999999</v>
      </c>
      <c r="F422" s="63">
        <f t="shared" si="111"/>
        <v>402572.36937500001</v>
      </c>
      <c r="G422" s="977">
        <v>0</v>
      </c>
      <c r="H422" s="977">
        <v>0</v>
      </c>
      <c r="I422" s="63">
        <f>(G422-H422)*'16-PlantAdditions'!$E$103</f>
        <v>0</v>
      </c>
      <c r="J422" s="63">
        <f t="shared" si="109"/>
        <v>25012814.524374999</v>
      </c>
      <c r="K422" s="63">
        <f t="shared" si="112"/>
        <v>1404860.4443750009</v>
      </c>
    </row>
    <row r="423" spans="1:11" s="645" customFormat="1" ht="13">
      <c r="A423" s="109">
        <f t="shared" si="110"/>
        <v>320</v>
      </c>
      <c r="B423" s="611" t="s">
        <v>184</v>
      </c>
      <c r="C423" s="609">
        <v>2021</v>
      </c>
      <c r="D423" s="977">
        <v>621094.92500000005</v>
      </c>
      <c r="E423" s="63">
        <f>D423*'16-PlantAdditions'!$E$103</f>
        <v>46582.119375000002</v>
      </c>
      <c r="F423" s="63">
        <f t="shared" si="111"/>
        <v>667677.04437500006</v>
      </c>
      <c r="G423" s="977">
        <v>0</v>
      </c>
      <c r="H423" s="977">
        <v>0</v>
      </c>
      <c r="I423" s="63">
        <f>(G423-H423)*'16-PlantAdditions'!$E$103</f>
        <v>0</v>
      </c>
      <c r="J423" s="63">
        <f t="shared" si="109"/>
        <v>25680491.568749998</v>
      </c>
      <c r="K423" s="63">
        <f t="shared" si="112"/>
        <v>2072537.4887499996</v>
      </c>
    </row>
    <row r="424" spans="1:11" s="645" customFormat="1" ht="13">
      <c r="A424" s="109">
        <f t="shared" si="110"/>
        <v>321</v>
      </c>
      <c r="B424" s="611" t="s">
        <v>1458</v>
      </c>
      <c r="C424" s="609">
        <v>2021</v>
      </c>
      <c r="D424" s="977">
        <v>363396</v>
      </c>
      <c r="E424" s="63">
        <f>D424*'16-PlantAdditions'!$E$103</f>
        <v>27254.7</v>
      </c>
      <c r="F424" s="63">
        <f t="shared" si="111"/>
        <v>390650.7</v>
      </c>
      <c r="G424" s="977">
        <v>0</v>
      </c>
      <c r="H424" s="977">
        <v>0</v>
      </c>
      <c r="I424" s="63">
        <f>(G424-H424)*'16-PlantAdditions'!$E$103</f>
        <v>0</v>
      </c>
      <c r="J424" s="63">
        <f t="shared" si="109"/>
        <v>26071142.268749997</v>
      </c>
      <c r="K424" s="63">
        <f t="shared" si="112"/>
        <v>2463188.1887499988</v>
      </c>
    </row>
    <row r="425" spans="1:11" s="645" customFormat="1" ht="13">
      <c r="A425" s="109">
        <f t="shared" si="110"/>
        <v>322</v>
      </c>
      <c r="B425" s="608" t="s">
        <v>186</v>
      </c>
      <c r="C425" s="609">
        <v>2021</v>
      </c>
      <c r="D425" s="977">
        <v>657239.35</v>
      </c>
      <c r="E425" s="63">
        <f>D425*'16-PlantAdditions'!$E$103</f>
        <v>49292.951249999998</v>
      </c>
      <c r="F425" s="63">
        <f t="shared" si="111"/>
        <v>706532.30125000002</v>
      </c>
      <c r="G425" s="977">
        <v>0</v>
      </c>
      <c r="H425" s="977">
        <v>0</v>
      </c>
      <c r="I425" s="63">
        <f>(G425-H425)*'16-PlantAdditions'!$E$103</f>
        <v>0</v>
      </c>
      <c r="J425" s="63">
        <f t="shared" si="109"/>
        <v>26777674.569999997</v>
      </c>
      <c r="K425" s="63">
        <f t="shared" si="112"/>
        <v>3169720.4899999984</v>
      </c>
    </row>
    <row r="426" spans="1:11" s="645" customFormat="1" ht="13">
      <c r="A426" s="109">
        <f t="shared" si="110"/>
        <v>323</v>
      </c>
      <c r="B426" s="611" t="s">
        <v>187</v>
      </c>
      <c r="C426" s="609">
        <v>2021</v>
      </c>
      <c r="D426" s="977">
        <v>493772.35</v>
      </c>
      <c r="E426" s="63">
        <f>D426*'16-PlantAdditions'!$E$103</f>
        <v>37032.926249999997</v>
      </c>
      <c r="F426" s="63">
        <f t="shared" si="111"/>
        <v>530805.27625</v>
      </c>
      <c r="G426" s="977">
        <v>0</v>
      </c>
      <c r="H426" s="977">
        <v>0</v>
      </c>
      <c r="I426" s="63">
        <f>(G426-H426)*'16-PlantAdditions'!$E$103</f>
        <v>0</v>
      </c>
      <c r="J426" s="63">
        <f t="shared" si="109"/>
        <v>27308479.846249998</v>
      </c>
      <c r="K426" s="63">
        <f t="shared" si="112"/>
        <v>3700525.7662499994</v>
      </c>
    </row>
    <row r="427" spans="1:11" s="645" customFormat="1" ht="13">
      <c r="A427" s="109">
        <f t="shared" si="110"/>
        <v>324</v>
      </c>
      <c r="B427" s="611" t="s">
        <v>188</v>
      </c>
      <c r="C427" s="609">
        <v>2021</v>
      </c>
      <c r="D427" s="977">
        <v>518861.75</v>
      </c>
      <c r="E427" s="63">
        <f>D427*'16-PlantAdditions'!$E$103</f>
        <v>38914.631249999999</v>
      </c>
      <c r="F427" s="63">
        <f t="shared" si="111"/>
        <v>557776.38124999998</v>
      </c>
      <c r="G427" s="977">
        <v>0</v>
      </c>
      <c r="H427" s="977">
        <v>0</v>
      </c>
      <c r="I427" s="63">
        <f>(G427-H427)*'16-PlantAdditions'!$E$103</f>
        <v>0</v>
      </c>
      <c r="J427" s="63">
        <f t="shared" si="109"/>
        <v>27866256.227499999</v>
      </c>
      <c r="K427" s="63">
        <f t="shared" si="112"/>
        <v>4258302.1475000009</v>
      </c>
    </row>
    <row r="428" spans="1:11" s="645" customFormat="1" ht="13">
      <c r="A428" s="109">
        <f t="shared" si="110"/>
        <v>325</v>
      </c>
      <c r="B428" s="608" t="s">
        <v>191</v>
      </c>
      <c r="C428" s="609">
        <v>2021</v>
      </c>
      <c r="D428" s="977">
        <v>286989.74999999994</v>
      </c>
      <c r="E428" s="63">
        <f>D428*'16-PlantAdditions'!$E$103</f>
        <v>21524.231249999993</v>
      </c>
      <c r="F428" s="63">
        <f t="shared" si="111"/>
        <v>308513.98124999995</v>
      </c>
      <c r="G428" s="977">
        <v>0</v>
      </c>
      <c r="H428" s="977">
        <v>0</v>
      </c>
      <c r="I428" s="63">
        <f>(G428-H428)*'16-PlantAdditions'!$E$103</f>
        <v>0</v>
      </c>
      <c r="J428" s="63">
        <f t="shared" si="109"/>
        <v>28174770.208749998</v>
      </c>
      <c r="K428" s="63">
        <f t="shared" si="112"/>
        <v>4566816.1287500001</v>
      </c>
    </row>
    <row r="429" spans="1:11" s="645" customFormat="1" ht="13">
      <c r="A429" s="109">
        <f t="shared" si="110"/>
        <v>326</v>
      </c>
      <c r="B429" s="608" t="s">
        <v>190</v>
      </c>
      <c r="C429" s="609">
        <v>2021</v>
      </c>
      <c r="D429" s="977">
        <v>1355589.6249999998</v>
      </c>
      <c r="E429" s="63">
        <f>D429*'16-PlantAdditions'!$E$103</f>
        <v>101669.22187499997</v>
      </c>
      <c r="F429" s="63">
        <f t="shared" si="111"/>
        <v>1457258.8468749998</v>
      </c>
      <c r="G429" s="977">
        <v>0</v>
      </c>
      <c r="H429" s="977">
        <v>0</v>
      </c>
      <c r="I429" s="63">
        <f>(G429-H429)*'16-PlantAdditions'!$E$103</f>
        <v>0</v>
      </c>
      <c r="J429" s="63">
        <f t="shared" si="109"/>
        <v>29632029.055624999</v>
      </c>
      <c r="K429" s="63">
        <f t="shared" si="112"/>
        <v>6024074.9756250009</v>
      </c>
    </row>
    <row r="430" spans="1:11" s="645" customFormat="1" ht="13">
      <c r="A430" s="109">
        <f t="shared" si="110"/>
        <v>327</v>
      </c>
      <c r="B430" s="608" t="s">
        <v>180</v>
      </c>
      <c r="C430" s="609">
        <v>2021</v>
      </c>
      <c r="D430" s="977">
        <v>1498645.8</v>
      </c>
      <c r="E430" s="63">
        <f>D430*'16-PlantAdditions'!$E$103</f>
        <v>112398.435</v>
      </c>
      <c r="F430" s="63">
        <f t="shared" si="111"/>
        <v>1611044.2350000001</v>
      </c>
      <c r="G430" s="977">
        <v>0</v>
      </c>
      <c r="H430" s="977">
        <v>0</v>
      </c>
      <c r="I430" s="63">
        <f>(G430-H430)*'16-PlantAdditions'!$E$103</f>
        <v>0</v>
      </c>
      <c r="J430" s="63">
        <f t="shared" si="109"/>
        <v>31243073.290624999</v>
      </c>
      <c r="K430" s="63">
        <f t="shared" si="112"/>
        <v>7635119.2106250003</v>
      </c>
    </row>
    <row r="431" spans="1:11" s="645" customFormat="1" ht="13">
      <c r="A431" s="109">
        <f t="shared" si="110"/>
        <v>328</v>
      </c>
      <c r="B431" s="608" t="s">
        <v>181</v>
      </c>
      <c r="C431" s="609">
        <v>2022</v>
      </c>
      <c r="D431" s="977">
        <v>6079184.6090000002</v>
      </c>
      <c r="E431" s="63">
        <f>D431*'16-PlantAdditions'!$E$103</f>
        <v>455938.84567499999</v>
      </c>
      <c r="F431" s="63">
        <f t="shared" si="111"/>
        <v>6535123.4546750002</v>
      </c>
      <c r="G431" s="977">
        <v>0</v>
      </c>
      <c r="H431" s="977">
        <v>0</v>
      </c>
      <c r="I431" s="63">
        <f>(G431-H431)*'16-PlantAdditions'!$E$103</f>
        <v>0</v>
      </c>
      <c r="J431" s="63">
        <f t="shared" si="109"/>
        <v>37778196.745299995</v>
      </c>
      <c r="K431" s="63">
        <f t="shared" si="112"/>
        <v>14170242.665299997</v>
      </c>
    </row>
    <row r="432" spans="1:11" s="645" customFormat="1" ht="13">
      <c r="A432" s="109">
        <f t="shared" si="110"/>
        <v>329</v>
      </c>
      <c r="B432" s="611" t="s">
        <v>182</v>
      </c>
      <c r="C432" s="609">
        <v>2022</v>
      </c>
      <c r="D432" s="977">
        <v>6079184.6090000002</v>
      </c>
      <c r="E432" s="63">
        <f>D432*'16-PlantAdditions'!$E$103</f>
        <v>455938.84567499999</v>
      </c>
      <c r="F432" s="63">
        <f t="shared" si="111"/>
        <v>6535123.4546750002</v>
      </c>
      <c r="G432" s="977">
        <v>0</v>
      </c>
      <c r="H432" s="977">
        <v>0</v>
      </c>
      <c r="I432" s="63">
        <f>(G432-H432)*'16-PlantAdditions'!$E$103</f>
        <v>0</v>
      </c>
      <c r="J432" s="63">
        <f t="shared" si="109"/>
        <v>44313320.199974999</v>
      </c>
      <c r="K432" s="63">
        <f t="shared" si="112"/>
        <v>20705366.119975001</v>
      </c>
    </row>
    <row r="433" spans="1:11" s="645" customFormat="1" ht="13">
      <c r="A433" s="109">
        <f t="shared" si="110"/>
        <v>330</v>
      </c>
      <c r="B433" s="611" t="s">
        <v>195</v>
      </c>
      <c r="C433" s="609">
        <v>2022</v>
      </c>
      <c r="D433" s="977">
        <v>6079184.6090000002</v>
      </c>
      <c r="E433" s="63">
        <f>D433*'16-PlantAdditions'!$E$103</f>
        <v>455938.84567499999</v>
      </c>
      <c r="F433" s="63">
        <f t="shared" si="111"/>
        <v>6535123.4546750002</v>
      </c>
      <c r="G433" s="977">
        <v>0</v>
      </c>
      <c r="H433" s="977">
        <v>0</v>
      </c>
      <c r="I433" s="63">
        <f>(G433-H433)*'16-PlantAdditions'!$E$103</f>
        <v>0</v>
      </c>
      <c r="J433" s="63">
        <f t="shared" si="109"/>
        <v>50848443.654650003</v>
      </c>
      <c r="K433" s="63">
        <f t="shared" si="112"/>
        <v>27240489.574650005</v>
      </c>
    </row>
    <row r="434" spans="1:11" s="645" customFormat="1" ht="13">
      <c r="A434" s="109">
        <f t="shared" si="110"/>
        <v>331</v>
      </c>
      <c r="B434" s="608" t="s">
        <v>183</v>
      </c>
      <c r="C434" s="609">
        <v>2022</v>
      </c>
      <c r="D434" s="977">
        <v>6079184.6090000002</v>
      </c>
      <c r="E434" s="63">
        <f>D434*'16-PlantAdditions'!$E$103</f>
        <v>455938.84567499999</v>
      </c>
      <c r="F434" s="63">
        <f t="shared" si="111"/>
        <v>6535123.4546750002</v>
      </c>
      <c r="G434" s="977">
        <v>0</v>
      </c>
      <c r="H434" s="977">
        <v>0</v>
      </c>
      <c r="I434" s="63">
        <f>(G434-H434)*'16-PlantAdditions'!$E$103</f>
        <v>0</v>
      </c>
      <c r="J434" s="63">
        <f t="shared" si="109"/>
        <v>57383567.109325007</v>
      </c>
      <c r="K434" s="63">
        <f t="shared" si="112"/>
        <v>33775613.029325008</v>
      </c>
    </row>
    <row r="435" spans="1:11" s="645" customFormat="1" ht="13">
      <c r="A435" s="109">
        <f t="shared" si="110"/>
        <v>332</v>
      </c>
      <c r="B435" s="611" t="s">
        <v>184</v>
      </c>
      <c r="C435" s="609">
        <v>2022</v>
      </c>
      <c r="D435" s="977">
        <v>6079184.6090000002</v>
      </c>
      <c r="E435" s="63">
        <f>D435*'16-PlantAdditions'!$E$103</f>
        <v>455938.84567499999</v>
      </c>
      <c r="F435" s="63">
        <f t="shared" si="111"/>
        <v>6535123.4546750002</v>
      </c>
      <c r="G435" s="977">
        <v>0</v>
      </c>
      <c r="H435" s="977">
        <v>0</v>
      </c>
      <c r="I435" s="63">
        <f>(G435-H435)*'16-PlantAdditions'!$E$103</f>
        <v>0</v>
      </c>
      <c r="J435" s="63">
        <f t="shared" si="109"/>
        <v>63918690.56400001</v>
      </c>
      <c r="K435" s="63">
        <f t="shared" si="112"/>
        <v>40310736.484000012</v>
      </c>
    </row>
    <row r="436" spans="1:11" s="645" customFormat="1" ht="13">
      <c r="A436" s="109">
        <f t="shared" si="110"/>
        <v>333</v>
      </c>
      <c r="B436" s="611" t="s">
        <v>1458</v>
      </c>
      <c r="C436" s="609">
        <v>2022</v>
      </c>
      <c r="D436" s="977">
        <v>6079184.6090000002</v>
      </c>
      <c r="E436" s="63">
        <f>D436*'16-PlantAdditions'!$E$103</f>
        <v>455938.84567499999</v>
      </c>
      <c r="F436" s="63">
        <f t="shared" si="111"/>
        <v>6535123.4546750002</v>
      </c>
      <c r="G436" s="977">
        <v>0</v>
      </c>
      <c r="H436" s="977">
        <v>0</v>
      </c>
      <c r="I436" s="63">
        <f>(G436-H436)*'16-PlantAdditions'!$E$103</f>
        <v>0</v>
      </c>
      <c r="J436" s="63">
        <f t="shared" si="109"/>
        <v>70453814.018675014</v>
      </c>
      <c r="K436" s="63">
        <f t="shared" si="112"/>
        <v>46845859.938675016</v>
      </c>
    </row>
    <row r="437" spans="1:11" s="645" customFormat="1" ht="13">
      <c r="A437" s="109">
        <f t="shared" si="110"/>
        <v>334</v>
      </c>
      <c r="B437" s="608" t="s">
        <v>186</v>
      </c>
      <c r="C437" s="609">
        <v>2022</v>
      </c>
      <c r="D437" s="977">
        <v>6079184.6090000002</v>
      </c>
      <c r="E437" s="63">
        <f>D437*'16-PlantAdditions'!$E$103</f>
        <v>455938.84567499999</v>
      </c>
      <c r="F437" s="63">
        <f t="shared" si="111"/>
        <v>6535123.4546750002</v>
      </c>
      <c r="G437" s="977">
        <v>0</v>
      </c>
      <c r="H437" s="977">
        <v>0</v>
      </c>
      <c r="I437" s="63">
        <f>(G437-H437)*'16-PlantAdditions'!$E$103</f>
        <v>0</v>
      </c>
      <c r="J437" s="63">
        <f t="shared" si="109"/>
        <v>76988937.473350018</v>
      </c>
      <c r="K437" s="63">
        <f t="shared" si="112"/>
        <v>53380983.39335002</v>
      </c>
    </row>
    <row r="438" spans="1:11" s="645" customFormat="1" ht="13">
      <c r="A438" s="109">
        <f t="shared" si="110"/>
        <v>335</v>
      </c>
      <c r="B438" s="611" t="s">
        <v>187</v>
      </c>
      <c r="C438" s="609">
        <v>2022</v>
      </c>
      <c r="D438" s="977">
        <v>6079184.6090000002</v>
      </c>
      <c r="E438" s="63">
        <f>D438*'16-PlantAdditions'!$E$103</f>
        <v>455938.84567499999</v>
      </c>
      <c r="F438" s="63">
        <f t="shared" si="111"/>
        <v>6535123.4546750002</v>
      </c>
      <c r="G438" s="977">
        <v>0</v>
      </c>
      <c r="H438" s="977">
        <v>0</v>
      </c>
      <c r="I438" s="63">
        <f>(G438-H438)*'16-PlantAdditions'!$E$103</f>
        <v>0</v>
      </c>
      <c r="J438" s="63">
        <f t="shared" si="109"/>
        <v>83524060.928025022</v>
      </c>
      <c r="K438" s="63">
        <f t="shared" si="112"/>
        <v>59916106.848025024</v>
      </c>
    </row>
    <row r="439" spans="1:11" s="645" customFormat="1" ht="13">
      <c r="A439" s="109">
        <f t="shared" si="110"/>
        <v>336</v>
      </c>
      <c r="B439" s="611" t="s">
        <v>188</v>
      </c>
      <c r="C439" s="609">
        <v>2022</v>
      </c>
      <c r="D439" s="977">
        <v>6079184.6090000002</v>
      </c>
      <c r="E439" s="63">
        <f>D439*'16-PlantAdditions'!$E$103</f>
        <v>455938.84567499999</v>
      </c>
      <c r="F439" s="63">
        <f t="shared" si="111"/>
        <v>6535123.4546750002</v>
      </c>
      <c r="G439" s="977">
        <v>0</v>
      </c>
      <c r="H439" s="977">
        <v>0</v>
      </c>
      <c r="I439" s="63">
        <f>(G439-H439)*'16-PlantAdditions'!$E$103</f>
        <v>0</v>
      </c>
      <c r="J439" s="63">
        <f t="shared" si="109"/>
        <v>90059184.382700026</v>
      </c>
      <c r="K439" s="63">
        <f t="shared" si="112"/>
        <v>66451230.302700028</v>
      </c>
    </row>
    <row r="440" spans="1:11" s="645" customFormat="1" ht="13">
      <c r="A440" s="109">
        <f t="shared" si="110"/>
        <v>337</v>
      </c>
      <c r="B440" s="611" t="s">
        <v>191</v>
      </c>
      <c r="C440" s="609">
        <v>2022</v>
      </c>
      <c r="D440" s="977">
        <v>6079184.6090000002</v>
      </c>
      <c r="E440" s="63">
        <f>D440*'16-PlantAdditions'!$E$103</f>
        <v>455938.84567499999</v>
      </c>
      <c r="F440" s="63">
        <f t="shared" si="111"/>
        <v>6535123.4546750002</v>
      </c>
      <c r="G440" s="977">
        <v>0</v>
      </c>
      <c r="H440" s="977">
        <v>0</v>
      </c>
      <c r="I440" s="63">
        <f>(G440-H440)*'16-PlantAdditions'!$E$103</f>
        <v>0</v>
      </c>
      <c r="J440" s="63">
        <f t="shared" si="109"/>
        <v>96594307.83737503</v>
      </c>
      <c r="K440" s="63">
        <f t="shared" si="112"/>
        <v>72986353.757375032</v>
      </c>
    </row>
    <row r="441" spans="1:11" s="645" customFormat="1" ht="13">
      <c r="A441" s="109">
        <f t="shared" si="110"/>
        <v>338</v>
      </c>
      <c r="B441" s="611" t="s">
        <v>190</v>
      </c>
      <c r="C441" s="609">
        <v>2022</v>
      </c>
      <c r="D441" s="977">
        <v>6079184.6090000002</v>
      </c>
      <c r="E441" s="63">
        <f>D441*'16-PlantAdditions'!$E$103</f>
        <v>455938.84567499999</v>
      </c>
      <c r="F441" s="63">
        <f t="shared" si="111"/>
        <v>6535123.4546750002</v>
      </c>
      <c r="G441" s="977">
        <v>0</v>
      </c>
      <c r="H441" s="977">
        <v>0</v>
      </c>
      <c r="I441" s="63">
        <f>(G441-H441)*'16-PlantAdditions'!$E$103</f>
        <v>0</v>
      </c>
      <c r="J441" s="63">
        <f t="shared" si="109"/>
        <v>103129431.29205003</v>
      </c>
      <c r="K441" s="63">
        <f t="shared" si="112"/>
        <v>79521477.212050036</v>
      </c>
    </row>
    <row r="442" spans="1:11" s="645" customFormat="1" ht="13">
      <c r="A442" s="109">
        <f t="shared" si="110"/>
        <v>339</v>
      </c>
      <c r="B442" s="611" t="s">
        <v>180</v>
      </c>
      <c r="C442" s="609">
        <v>2022</v>
      </c>
      <c r="D442" s="977">
        <v>8198836.8360000001</v>
      </c>
      <c r="E442" s="63">
        <f>D442*'16-PlantAdditions'!$E$103</f>
        <v>614912.76269999996</v>
      </c>
      <c r="F442" s="63">
        <f t="shared" si="111"/>
        <v>8813749.5987</v>
      </c>
      <c r="G442" s="977">
        <v>47774168.010000005</v>
      </c>
      <c r="H442" s="977">
        <v>0</v>
      </c>
      <c r="I442" s="63">
        <f>(G442-H442)*'16-PlantAdditions'!$E$103</f>
        <v>3583062.6007500002</v>
      </c>
      <c r="J442" s="63">
        <f t="shared" si="109"/>
        <v>60585950.280000031</v>
      </c>
      <c r="K442" s="110">
        <f t="shared" si="112"/>
        <v>36977996.200000033</v>
      </c>
    </row>
    <row r="443" spans="1:11" s="645" customFormat="1" ht="13">
      <c r="A443" s="109">
        <f t="shared" si="110"/>
        <v>340</v>
      </c>
      <c r="B443" s="955"/>
      <c r="C443" s="644" t="s">
        <v>1603</v>
      </c>
      <c r="H443" s="649"/>
      <c r="I443" s="649"/>
      <c r="K443" s="73">
        <f>AVERAGE(K430:K442)</f>
        <v>43070582.672003858</v>
      </c>
    </row>
    <row r="445" spans="1:11" ht="13">
      <c r="A445" s="645"/>
      <c r="B445" s="646" t="s">
        <v>2707</v>
      </c>
      <c r="C445" s="645"/>
      <c r="D445" s="961" t="s">
        <v>2681</v>
      </c>
      <c r="E445" s="1040"/>
      <c r="F445" s="96"/>
      <c r="G445" s="96"/>
      <c r="H445" s="645"/>
      <c r="I445" s="645"/>
      <c r="J445" s="645"/>
      <c r="K445" s="645"/>
    </row>
    <row r="446" spans="1:11" ht="13">
      <c r="A446" s="640"/>
      <c r="B446" s="640"/>
      <c r="C446" s="640"/>
      <c r="D446" s="640" t="s">
        <v>358</v>
      </c>
      <c r="E446" s="640" t="s">
        <v>342</v>
      </c>
      <c r="F446" s="640" t="s">
        <v>343</v>
      </c>
      <c r="G446" s="640" t="s">
        <v>344</v>
      </c>
      <c r="H446" s="640" t="s">
        <v>345</v>
      </c>
      <c r="I446" s="640" t="s">
        <v>346</v>
      </c>
      <c r="J446" s="640" t="s">
        <v>347</v>
      </c>
      <c r="K446" s="640" t="s">
        <v>534</v>
      </c>
    </row>
    <row r="447" spans="1:11" ht="38">
      <c r="A447" s="645"/>
      <c r="B447" s="645"/>
      <c r="C447" s="645"/>
      <c r="D447" s="647"/>
      <c r="E447" s="648" t="s">
        <v>2061</v>
      </c>
      <c r="F447" s="649" t="s">
        <v>1927</v>
      </c>
      <c r="G447" s="472"/>
      <c r="H447" s="647"/>
      <c r="I447" s="648" t="s">
        <v>2062</v>
      </c>
      <c r="J447" s="648" t="s">
        <v>1928</v>
      </c>
      <c r="K447" s="648" t="s">
        <v>1929</v>
      </c>
    </row>
    <row r="448" spans="1:11" ht="13">
      <c r="A448" s="645"/>
      <c r="B448" s="645"/>
      <c r="C448" s="645"/>
      <c r="D448" s="647"/>
      <c r="E448" s="648"/>
      <c r="F448" s="649"/>
      <c r="G448" s="4" t="str">
        <f>G118</f>
        <v>Unloaded</v>
      </c>
      <c r="H448" s="647"/>
      <c r="I448" s="648"/>
      <c r="J448" s="648"/>
      <c r="K448" s="648"/>
    </row>
    <row r="449" spans="1:11" ht="13">
      <c r="A449" s="642"/>
      <c r="B449" s="642"/>
      <c r="C449" s="642"/>
      <c r="D449" s="642" t="str">
        <f>D$52</f>
        <v>Forecast</v>
      </c>
      <c r="E449" s="642" t="str">
        <f t="shared" ref="E449:J449" si="113">E$52</f>
        <v>Corporate</v>
      </c>
      <c r="F449" s="642" t="str">
        <f t="shared" si="113"/>
        <v xml:space="preserve">Total </v>
      </c>
      <c r="G449" s="4" t="str">
        <f>G119</f>
        <v>Total</v>
      </c>
      <c r="H449" s="642" t="str">
        <f t="shared" si="113"/>
        <v>Prior Period</v>
      </c>
      <c r="I449" s="642" t="str">
        <f t="shared" si="113"/>
        <v>Over Heads</v>
      </c>
      <c r="J449" s="642" t="str">
        <f t="shared" si="113"/>
        <v>Forecast</v>
      </c>
      <c r="K449" s="642" t="str">
        <f>K$52</f>
        <v>Forecast Period</v>
      </c>
    </row>
    <row r="450" spans="1:11" ht="13">
      <c r="A450" s="833" t="s">
        <v>329</v>
      </c>
      <c r="B450" s="607" t="s">
        <v>192</v>
      </c>
      <c r="C450" s="607" t="s">
        <v>193</v>
      </c>
      <c r="D450" s="640" t="str">
        <f>D$53</f>
        <v>Expenditures</v>
      </c>
      <c r="E450" s="640" t="str">
        <f t="shared" ref="E450:J450" si="114">E$53</f>
        <v>Overheads</v>
      </c>
      <c r="F450" s="640" t="str">
        <f t="shared" si="114"/>
        <v>CWIP Exp</v>
      </c>
      <c r="G450" s="84" t="str">
        <f>G120</f>
        <v>Plant Adds</v>
      </c>
      <c r="H450" s="640" t="str">
        <f t="shared" si="114"/>
        <v>CWIP Closed</v>
      </c>
      <c r="I450" s="640" t="str">
        <f t="shared" si="114"/>
        <v>Closed to PIS</v>
      </c>
      <c r="J450" s="640" t="str">
        <f t="shared" si="114"/>
        <v>Period CWIP</v>
      </c>
      <c r="K450" s="640" t="str">
        <f>K$53</f>
        <v>Incremental CWIP</v>
      </c>
    </row>
    <row r="451" spans="1:11" ht="13">
      <c r="A451" s="109">
        <f>A443+1</f>
        <v>341</v>
      </c>
      <c r="B451" s="608" t="s">
        <v>180</v>
      </c>
      <c r="C451" s="609">
        <v>2020</v>
      </c>
      <c r="D451" s="649" t="s">
        <v>76</v>
      </c>
      <c r="E451" s="649" t="s">
        <v>76</v>
      </c>
      <c r="F451" s="649" t="s">
        <v>76</v>
      </c>
      <c r="G451" s="649" t="s">
        <v>76</v>
      </c>
      <c r="H451" s="649" t="s">
        <v>76</v>
      </c>
      <c r="I451" s="649" t="s">
        <v>76</v>
      </c>
      <c r="J451" s="63">
        <v>0</v>
      </c>
      <c r="K451" s="649" t="s">
        <v>76</v>
      </c>
    </row>
    <row r="452" spans="1:11" ht="13">
      <c r="A452" s="109">
        <f>A451+1</f>
        <v>342</v>
      </c>
      <c r="B452" s="608" t="s">
        <v>181</v>
      </c>
      <c r="C452" s="609">
        <v>2021</v>
      </c>
      <c r="D452" s="977"/>
      <c r="E452" s="63">
        <f>D452*'16-PlantAdditions'!$E$103</f>
        <v>0</v>
      </c>
      <c r="F452" s="63">
        <f>E452+D452</f>
        <v>0</v>
      </c>
      <c r="G452" s="977"/>
      <c r="H452" s="977"/>
      <c r="I452" s="63">
        <f>(G452-H452)*'16-PlantAdditions'!$E$103</f>
        <v>0</v>
      </c>
      <c r="J452" s="63">
        <f>J451+F452-G452-I452</f>
        <v>0</v>
      </c>
      <c r="K452" s="63">
        <f>J452-$J$451</f>
        <v>0</v>
      </c>
    </row>
    <row r="453" spans="1:11" ht="13">
      <c r="A453" s="109">
        <f t="shared" ref="A453:A476" si="115">A452+1</f>
        <v>343</v>
      </c>
      <c r="B453" s="611" t="s">
        <v>182</v>
      </c>
      <c r="C453" s="609">
        <v>2021</v>
      </c>
      <c r="D453" s="977"/>
      <c r="E453" s="63">
        <f>D453*'16-PlantAdditions'!$E$103</f>
        <v>0</v>
      </c>
      <c r="F453" s="63">
        <f t="shared" ref="F453:F475" si="116">E453+D453</f>
        <v>0</v>
      </c>
      <c r="G453" s="977"/>
      <c r="H453" s="977"/>
      <c r="I453" s="63">
        <f>(G453-H453)*'16-PlantAdditions'!$E$103</f>
        <v>0</v>
      </c>
      <c r="J453" s="63">
        <f t="shared" ref="J453:J475" si="117">J452+F453-G453-I453</f>
        <v>0</v>
      </c>
      <c r="K453" s="63">
        <f t="shared" ref="K453:K475" si="118">J453-$J$451</f>
        <v>0</v>
      </c>
    </row>
    <row r="454" spans="1:11" ht="13">
      <c r="A454" s="109">
        <f t="shared" si="115"/>
        <v>344</v>
      </c>
      <c r="B454" s="611" t="s">
        <v>195</v>
      </c>
      <c r="C454" s="609">
        <v>2021</v>
      </c>
      <c r="D454" s="977"/>
      <c r="E454" s="63">
        <f>D454*'16-PlantAdditions'!$E$103</f>
        <v>0</v>
      </c>
      <c r="F454" s="63">
        <f t="shared" si="116"/>
        <v>0</v>
      </c>
      <c r="G454" s="977"/>
      <c r="H454" s="977"/>
      <c r="I454" s="63">
        <f>(G454-H454)*'16-PlantAdditions'!$E$103</f>
        <v>0</v>
      </c>
      <c r="J454" s="63">
        <f t="shared" si="117"/>
        <v>0</v>
      </c>
      <c r="K454" s="63">
        <f t="shared" si="118"/>
        <v>0</v>
      </c>
    </row>
    <row r="455" spans="1:11" ht="13">
      <c r="A455" s="109">
        <f t="shared" si="115"/>
        <v>345</v>
      </c>
      <c r="B455" s="608" t="s">
        <v>183</v>
      </c>
      <c r="C455" s="609">
        <v>2021</v>
      </c>
      <c r="D455" s="977"/>
      <c r="E455" s="63">
        <f>D455*'16-PlantAdditions'!$E$103</f>
        <v>0</v>
      </c>
      <c r="F455" s="63">
        <f t="shared" si="116"/>
        <v>0</v>
      </c>
      <c r="G455" s="977"/>
      <c r="H455" s="977"/>
      <c r="I455" s="63">
        <f>(G455-H455)*'16-PlantAdditions'!$E$103</f>
        <v>0</v>
      </c>
      <c r="J455" s="63">
        <f t="shared" si="117"/>
        <v>0</v>
      </c>
      <c r="K455" s="63">
        <f t="shared" si="118"/>
        <v>0</v>
      </c>
    </row>
    <row r="456" spans="1:11" ht="13">
      <c r="A456" s="109">
        <f t="shared" si="115"/>
        <v>346</v>
      </c>
      <c r="B456" s="611" t="s">
        <v>184</v>
      </c>
      <c r="C456" s="609">
        <v>2021</v>
      </c>
      <c r="D456" s="977"/>
      <c r="E456" s="63">
        <f>D456*'16-PlantAdditions'!$E$103</f>
        <v>0</v>
      </c>
      <c r="F456" s="63">
        <f t="shared" si="116"/>
        <v>0</v>
      </c>
      <c r="G456" s="977"/>
      <c r="H456" s="977"/>
      <c r="I456" s="63">
        <f>(G456-H456)*'16-PlantAdditions'!$E$103</f>
        <v>0</v>
      </c>
      <c r="J456" s="63">
        <f t="shared" si="117"/>
        <v>0</v>
      </c>
      <c r="K456" s="63">
        <f t="shared" si="118"/>
        <v>0</v>
      </c>
    </row>
    <row r="457" spans="1:11" ht="13">
      <c r="A457" s="109">
        <f t="shared" si="115"/>
        <v>347</v>
      </c>
      <c r="B457" s="611" t="s">
        <v>1458</v>
      </c>
      <c r="C457" s="609">
        <v>2021</v>
      </c>
      <c r="D457" s="977"/>
      <c r="E457" s="63">
        <f>D457*'16-PlantAdditions'!$E$103</f>
        <v>0</v>
      </c>
      <c r="F457" s="63">
        <f t="shared" si="116"/>
        <v>0</v>
      </c>
      <c r="G457" s="977"/>
      <c r="H457" s="977"/>
      <c r="I457" s="63">
        <f>(G457-H457)*'16-PlantAdditions'!$E$103</f>
        <v>0</v>
      </c>
      <c r="J457" s="63">
        <f t="shared" si="117"/>
        <v>0</v>
      </c>
      <c r="K457" s="63">
        <f t="shared" si="118"/>
        <v>0</v>
      </c>
    </row>
    <row r="458" spans="1:11" ht="13">
      <c r="A458" s="109">
        <f t="shared" si="115"/>
        <v>348</v>
      </c>
      <c r="B458" s="608" t="s">
        <v>186</v>
      </c>
      <c r="C458" s="609">
        <v>2021</v>
      </c>
      <c r="D458" s="977"/>
      <c r="E458" s="63">
        <f>D458*'16-PlantAdditions'!$E$103</f>
        <v>0</v>
      </c>
      <c r="F458" s="63">
        <f t="shared" si="116"/>
        <v>0</v>
      </c>
      <c r="G458" s="977"/>
      <c r="H458" s="977"/>
      <c r="I458" s="63">
        <f>(G458-H458)*'16-PlantAdditions'!$E$103</f>
        <v>0</v>
      </c>
      <c r="J458" s="63">
        <f t="shared" si="117"/>
        <v>0</v>
      </c>
      <c r="K458" s="63">
        <f t="shared" si="118"/>
        <v>0</v>
      </c>
    </row>
    <row r="459" spans="1:11" ht="13">
      <c r="A459" s="109">
        <f t="shared" si="115"/>
        <v>349</v>
      </c>
      <c r="B459" s="611" t="s">
        <v>187</v>
      </c>
      <c r="C459" s="609">
        <v>2021</v>
      </c>
      <c r="D459" s="977"/>
      <c r="E459" s="63">
        <f>D459*'16-PlantAdditions'!$E$103</f>
        <v>0</v>
      </c>
      <c r="F459" s="63">
        <f t="shared" si="116"/>
        <v>0</v>
      </c>
      <c r="G459" s="977"/>
      <c r="H459" s="977"/>
      <c r="I459" s="63">
        <f>(G459-H459)*'16-PlantAdditions'!$E$103</f>
        <v>0</v>
      </c>
      <c r="J459" s="63">
        <f t="shared" si="117"/>
        <v>0</v>
      </c>
      <c r="K459" s="63">
        <f t="shared" si="118"/>
        <v>0</v>
      </c>
    </row>
    <row r="460" spans="1:11" ht="13">
      <c r="A460" s="109">
        <f t="shared" si="115"/>
        <v>350</v>
      </c>
      <c r="B460" s="611" t="s">
        <v>188</v>
      </c>
      <c r="C460" s="609">
        <v>2021</v>
      </c>
      <c r="D460" s="977"/>
      <c r="E460" s="63">
        <f>D460*'16-PlantAdditions'!$E$103</f>
        <v>0</v>
      </c>
      <c r="F460" s="63">
        <f t="shared" si="116"/>
        <v>0</v>
      </c>
      <c r="G460" s="977"/>
      <c r="H460" s="977"/>
      <c r="I460" s="63">
        <f>(G460-H460)*'16-PlantAdditions'!$E$103</f>
        <v>0</v>
      </c>
      <c r="J460" s="63">
        <f t="shared" si="117"/>
        <v>0</v>
      </c>
      <c r="K460" s="63">
        <f t="shared" si="118"/>
        <v>0</v>
      </c>
    </row>
    <row r="461" spans="1:11" ht="13">
      <c r="A461" s="109">
        <f t="shared" si="115"/>
        <v>351</v>
      </c>
      <c r="B461" s="608" t="s">
        <v>191</v>
      </c>
      <c r="C461" s="609">
        <v>2021</v>
      </c>
      <c r="D461" s="977"/>
      <c r="E461" s="63">
        <f>D461*'16-PlantAdditions'!$E$103</f>
        <v>0</v>
      </c>
      <c r="F461" s="63">
        <f t="shared" si="116"/>
        <v>0</v>
      </c>
      <c r="G461" s="977"/>
      <c r="H461" s="977"/>
      <c r="I461" s="63">
        <f>(G461-H461)*'16-PlantAdditions'!$E$103</f>
        <v>0</v>
      </c>
      <c r="J461" s="63">
        <f t="shared" si="117"/>
        <v>0</v>
      </c>
      <c r="K461" s="63">
        <f t="shared" si="118"/>
        <v>0</v>
      </c>
    </row>
    <row r="462" spans="1:11" ht="13">
      <c r="A462" s="109">
        <f t="shared" si="115"/>
        <v>352</v>
      </c>
      <c r="B462" s="608" t="s">
        <v>190</v>
      </c>
      <c r="C462" s="609">
        <v>2021</v>
      </c>
      <c r="D462" s="977"/>
      <c r="E462" s="63">
        <f>D462*'16-PlantAdditions'!$E$103</f>
        <v>0</v>
      </c>
      <c r="F462" s="63">
        <f t="shared" si="116"/>
        <v>0</v>
      </c>
      <c r="G462" s="977"/>
      <c r="H462" s="977"/>
      <c r="I462" s="63">
        <f>(G462-H462)*'16-PlantAdditions'!$E$103</f>
        <v>0</v>
      </c>
      <c r="J462" s="63">
        <f t="shared" si="117"/>
        <v>0</v>
      </c>
      <c r="K462" s="63">
        <f t="shared" si="118"/>
        <v>0</v>
      </c>
    </row>
    <row r="463" spans="1:11" ht="13">
      <c r="A463" s="109">
        <f t="shared" si="115"/>
        <v>353</v>
      </c>
      <c r="B463" s="608" t="s">
        <v>180</v>
      </c>
      <c r="C463" s="609">
        <v>2021</v>
      </c>
      <c r="D463" s="977"/>
      <c r="E463" s="63">
        <f>D463*'16-PlantAdditions'!$E$103</f>
        <v>0</v>
      </c>
      <c r="F463" s="63">
        <f t="shared" si="116"/>
        <v>0</v>
      </c>
      <c r="G463" s="977"/>
      <c r="H463" s="977"/>
      <c r="I463" s="63">
        <f>(G463-H463)*'16-PlantAdditions'!$E$103</f>
        <v>0</v>
      </c>
      <c r="J463" s="63">
        <f t="shared" si="117"/>
        <v>0</v>
      </c>
      <c r="K463" s="63">
        <f t="shared" si="118"/>
        <v>0</v>
      </c>
    </row>
    <row r="464" spans="1:11" ht="13">
      <c r="A464" s="109">
        <f t="shared" si="115"/>
        <v>354</v>
      </c>
      <c r="B464" s="608" t="s">
        <v>181</v>
      </c>
      <c r="C464" s="609">
        <v>2022</v>
      </c>
      <c r="D464" s="977"/>
      <c r="E464" s="63">
        <f>D464*'16-PlantAdditions'!$E$103</f>
        <v>0</v>
      </c>
      <c r="F464" s="63">
        <f t="shared" si="116"/>
        <v>0</v>
      </c>
      <c r="G464" s="977"/>
      <c r="H464" s="977"/>
      <c r="I464" s="63">
        <f>(G464-H464)*'16-PlantAdditions'!$E$103</f>
        <v>0</v>
      </c>
      <c r="J464" s="63">
        <f t="shared" si="117"/>
        <v>0</v>
      </c>
      <c r="K464" s="63">
        <f t="shared" si="118"/>
        <v>0</v>
      </c>
    </row>
    <row r="465" spans="1:11" ht="13">
      <c r="A465" s="109">
        <f t="shared" si="115"/>
        <v>355</v>
      </c>
      <c r="B465" s="611" t="s">
        <v>182</v>
      </c>
      <c r="C465" s="609">
        <v>2022</v>
      </c>
      <c r="D465" s="977"/>
      <c r="E465" s="63">
        <f>D465*'16-PlantAdditions'!$E$103</f>
        <v>0</v>
      </c>
      <c r="F465" s="63">
        <f t="shared" si="116"/>
        <v>0</v>
      </c>
      <c r="G465" s="977"/>
      <c r="H465" s="977"/>
      <c r="I465" s="63">
        <f>(G465-H465)*'16-PlantAdditions'!$E$103</f>
        <v>0</v>
      </c>
      <c r="J465" s="63">
        <f t="shared" si="117"/>
        <v>0</v>
      </c>
      <c r="K465" s="63">
        <f t="shared" si="118"/>
        <v>0</v>
      </c>
    </row>
    <row r="466" spans="1:11" ht="13">
      <c r="A466" s="109">
        <f t="shared" si="115"/>
        <v>356</v>
      </c>
      <c r="B466" s="611" t="s">
        <v>195</v>
      </c>
      <c r="C466" s="609">
        <v>2022</v>
      </c>
      <c r="D466" s="977"/>
      <c r="E466" s="63">
        <f>D466*'16-PlantAdditions'!$E$103</f>
        <v>0</v>
      </c>
      <c r="F466" s="63">
        <f t="shared" si="116"/>
        <v>0</v>
      </c>
      <c r="G466" s="977"/>
      <c r="H466" s="977"/>
      <c r="I466" s="63">
        <f>(G466-H466)*'16-PlantAdditions'!$E$103</f>
        <v>0</v>
      </c>
      <c r="J466" s="63">
        <f t="shared" si="117"/>
        <v>0</v>
      </c>
      <c r="K466" s="63">
        <f t="shared" si="118"/>
        <v>0</v>
      </c>
    </row>
    <row r="467" spans="1:11" ht="13">
      <c r="A467" s="109">
        <f t="shared" si="115"/>
        <v>357</v>
      </c>
      <c r="B467" s="608" t="s">
        <v>183</v>
      </c>
      <c r="C467" s="609">
        <v>2022</v>
      </c>
      <c r="D467" s="977"/>
      <c r="E467" s="63">
        <f>D467*'16-PlantAdditions'!$E$103</f>
        <v>0</v>
      </c>
      <c r="F467" s="63">
        <f t="shared" si="116"/>
        <v>0</v>
      </c>
      <c r="G467" s="977"/>
      <c r="H467" s="977"/>
      <c r="I467" s="63">
        <f>(G467-H467)*'16-PlantAdditions'!$E$103</f>
        <v>0</v>
      </c>
      <c r="J467" s="63">
        <f t="shared" si="117"/>
        <v>0</v>
      </c>
      <c r="K467" s="63">
        <f t="shared" si="118"/>
        <v>0</v>
      </c>
    </row>
    <row r="468" spans="1:11" ht="13">
      <c r="A468" s="109">
        <f t="shared" si="115"/>
        <v>358</v>
      </c>
      <c r="B468" s="611" t="s">
        <v>184</v>
      </c>
      <c r="C468" s="609">
        <v>2022</v>
      </c>
      <c r="D468" s="977"/>
      <c r="E468" s="63">
        <f>D468*'16-PlantAdditions'!$E$103</f>
        <v>0</v>
      </c>
      <c r="F468" s="63">
        <f t="shared" si="116"/>
        <v>0</v>
      </c>
      <c r="G468" s="977"/>
      <c r="H468" s="977"/>
      <c r="I468" s="63">
        <f>(G468-H468)*'16-PlantAdditions'!$E$103</f>
        <v>0</v>
      </c>
      <c r="J468" s="63">
        <f t="shared" si="117"/>
        <v>0</v>
      </c>
      <c r="K468" s="63">
        <f t="shared" si="118"/>
        <v>0</v>
      </c>
    </row>
    <row r="469" spans="1:11" ht="13">
      <c r="A469" s="109">
        <f t="shared" si="115"/>
        <v>359</v>
      </c>
      <c r="B469" s="611" t="s">
        <v>1458</v>
      </c>
      <c r="C469" s="609">
        <v>2022</v>
      </c>
      <c r="D469" s="977"/>
      <c r="E469" s="63">
        <f>D469*'16-PlantAdditions'!$E$103</f>
        <v>0</v>
      </c>
      <c r="F469" s="63">
        <f t="shared" si="116"/>
        <v>0</v>
      </c>
      <c r="G469" s="977"/>
      <c r="H469" s="977"/>
      <c r="I469" s="63">
        <f>(G469-H469)*'16-PlantAdditions'!$E$103</f>
        <v>0</v>
      </c>
      <c r="J469" s="63">
        <f t="shared" si="117"/>
        <v>0</v>
      </c>
      <c r="K469" s="63">
        <f t="shared" si="118"/>
        <v>0</v>
      </c>
    </row>
    <row r="470" spans="1:11" ht="13">
      <c r="A470" s="109">
        <f t="shared" si="115"/>
        <v>360</v>
      </c>
      <c r="B470" s="608" t="s">
        <v>186</v>
      </c>
      <c r="C470" s="609">
        <v>2022</v>
      </c>
      <c r="D470" s="977"/>
      <c r="E470" s="63">
        <f>D470*'16-PlantAdditions'!$E$103</f>
        <v>0</v>
      </c>
      <c r="F470" s="63">
        <f t="shared" si="116"/>
        <v>0</v>
      </c>
      <c r="G470" s="977"/>
      <c r="H470" s="977"/>
      <c r="I470" s="63">
        <f>(G470-H470)*'16-PlantAdditions'!$E$103</f>
        <v>0</v>
      </c>
      <c r="J470" s="63">
        <f t="shared" si="117"/>
        <v>0</v>
      </c>
      <c r="K470" s="63">
        <f t="shared" si="118"/>
        <v>0</v>
      </c>
    </row>
    <row r="471" spans="1:11" ht="13">
      <c r="A471" s="109">
        <f t="shared" si="115"/>
        <v>361</v>
      </c>
      <c r="B471" s="611" t="s">
        <v>187</v>
      </c>
      <c r="C471" s="609">
        <v>2022</v>
      </c>
      <c r="D471" s="977"/>
      <c r="E471" s="63">
        <f>D471*'16-PlantAdditions'!$E$103</f>
        <v>0</v>
      </c>
      <c r="F471" s="63">
        <f t="shared" si="116"/>
        <v>0</v>
      </c>
      <c r="G471" s="977"/>
      <c r="H471" s="977"/>
      <c r="I471" s="63">
        <f>(G471-H471)*'16-PlantAdditions'!$E$103</f>
        <v>0</v>
      </c>
      <c r="J471" s="63">
        <f t="shared" si="117"/>
        <v>0</v>
      </c>
      <c r="K471" s="63">
        <f t="shared" si="118"/>
        <v>0</v>
      </c>
    </row>
    <row r="472" spans="1:11" ht="13">
      <c r="A472" s="109">
        <f t="shared" si="115"/>
        <v>362</v>
      </c>
      <c r="B472" s="611" t="s">
        <v>188</v>
      </c>
      <c r="C472" s="609">
        <v>2022</v>
      </c>
      <c r="D472" s="977"/>
      <c r="E472" s="63">
        <f>D472*'16-PlantAdditions'!$E$103</f>
        <v>0</v>
      </c>
      <c r="F472" s="63">
        <f t="shared" si="116"/>
        <v>0</v>
      </c>
      <c r="G472" s="977"/>
      <c r="H472" s="977"/>
      <c r="I472" s="63">
        <f>(G472-H472)*'16-PlantAdditions'!$E$103</f>
        <v>0</v>
      </c>
      <c r="J472" s="63">
        <f t="shared" si="117"/>
        <v>0</v>
      </c>
      <c r="K472" s="63">
        <f t="shared" si="118"/>
        <v>0</v>
      </c>
    </row>
    <row r="473" spans="1:11" ht="13">
      <c r="A473" s="109">
        <f t="shared" si="115"/>
        <v>363</v>
      </c>
      <c r="B473" s="611" t="s">
        <v>191</v>
      </c>
      <c r="C473" s="609">
        <v>2022</v>
      </c>
      <c r="D473" s="977"/>
      <c r="E473" s="63">
        <f>D473*'16-PlantAdditions'!$E$103</f>
        <v>0</v>
      </c>
      <c r="F473" s="63">
        <f t="shared" si="116"/>
        <v>0</v>
      </c>
      <c r="G473" s="977"/>
      <c r="H473" s="977"/>
      <c r="I473" s="63">
        <f>(G473-H473)*'16-PlantAdditions'!$E$103</f>
        <v>0</v>
      </c>
      <c r="J473" s="63">
        <f t="shared" si="117"/>
        <v>0</v>
      </c>
      <c r="K473" s="63">
        <f t="shared" si="118"/>
        <v>0</v>
      </c>
    </row>
    <row r="474" spans="1:11" ht="13">
      <c r="A474" s="109">
        <f t="shared" si="115"/>
        <v>364</v>
      </c>
      <c r="B474" s="611" t="s">
        <v>190</v>
      </c>
      <c r="C474" s="609">
        <v>2022</v>
      </c>
      <c r="D474" s="977"/>
      <c r="E474" s="63">
        <f>D474*'16-PlantAdditions'!$E$103</f>
        <v>0</v>
      </c>
      <c r="F474" s="63">
        <f t="shared" si="116"/>
        <v>0</v>
      </c>
      <c r="G474" s="977"/>
      <c r="H474" s="977"/>
      <c r="I474" s="63">
        <f>(G474-H474)*'16-PlantAdditions'!$E$103</f>
        <v>0</v>
      </c>
      <c r="J474" s="63">
        <f t="shared" si="117"/>
        <v>0</v>
      </c>
      <c r="K474" s="63">
        <f t="shared" si="118"/>
        <v>0</v>
      </c>
    </row>
    <row r="475" spans="1:11" ht="13">
      <c r="A475" s="109">
        <f t="shared" si="115"/>
        <v>365</v>
      </c>
      <c r="B475" s="611" t="s">
        <v>180</v>
      </c>
      <c r="C475" s="609">
        <v>2022</v>
      </c>
      <c r="D475" s="977"/>
      <c r="E475" s="63">
        <f>D475*'16-PlantAdditions'!$E$103</f>
        <v>0</v>
      </c>
      <c r="F475" s="63">
        <f t="shared" si="116"/>
        <v>0</v>
      </c>
      <c r="G475" s="977"/>
      <c r="H475" s="977"/>
      <c r="I475" s="63">
        <f>(G475-H475)*'16-PlantAdditions'!$E$103</f>
        <v>0</v>
      </c>
      <c r="J475" s="63">
        <f t="shared" si="117"/>
        <v>0</v>
      </c>
      <c r="K475" s="110">
        <f t="shared" si="118"/>
        <v>0</v>
      </c>
    </row>
    <row r="476" spans="1:11" ht="13">
      <c r="A476" s="109">
        <f t="shared" si="115"/>
        <v>366</v>
      </c>
      <c r="B476" s="955"/>
      <c r="C476" s="644" t="s">
        <v>1603</v>
      </c>
      <c r="D476" s="645"/>
      <c r="E476" s="645"/>
      <c r="F476" s="645"/>
      <c r="G476" s="645"/>
      <c r="H476" s="649"/>
      <c r="I476" s="649"/>
      <c r="J476" s="645"/>
      <c r="K476" s="73">
        <f>AVERAGE(K463:K475)</f>
        <v>0</v>
      </c>
    </row>
    <row r="477" spans="1:11" ht="13">
      <c r="B477" s="615" t="s">
        <v>230</v>
      </c>
    </row>
    <row r="478" spans="1:11">
      <c r="B478" s="611" t="s">
        <v>2060</v>
      </c>
    </row>
    <row r="479" spans="1:11">
      <c r="B479" s="611" t="s">
        <v>2708</v>
      </c>
      <c r="H479" s="14"/>
      <c r="I479" s="14"/>
    </row>
    <row r="481" spans="2:9" ht="13">
      <c r="B481" s="1" t="s">
        <v>377</v>
      </c>
    </row>
    <row r="482" spans="2:9">
      <c r="B482" s="463" t="s">
        <v>989</v>
      </c>
    </row>
    <row r="483" spans="2:9">
      <c r="B483" s="463" t="s">
        <v>2682</v>
      </c>
      <c r="H483" s="14"/>
      <c r="I483" s="14"/>
    </row>
    <row r="484" spans="2:9">
      <c r="B484" s="465" t="s">
        <v>1940</v>
      </c>
    </row>
  </sheetData>
  <mergeCells count="12">
    <mergeCell ref="D247:E247"/>
    <mergeCell ref="D379:E379"/>
    <mergeCell ref="D82:E82"/>
    <mergeCell ref="D115:E115"/>
    <mergeCell ref="D148:E148"/>
    <mergeCell ref="D181:E181"/>
    <mergeCell ref="D214:E214"/>
    <mergeCell ref="D412:E412"/>
    <mergeCell ref="F379:G379"/>
    <mergeCell ref="D280:E280"/>
    <mergeCell ref="D313:E313"/>
    <mergeCell ref="D346:E346"/>
  </mergeCells>
  <pageMargins left="0.7" right="0.7" top="0.75" bottom="0.75" header="0.3" footer="0.3"/>
  <pageSetup scale="50" fitToHeight="0" orientation="landscape" cellComments="asDisplayed" r:id="rId1"/>
  <headerFooter>
    <oddHeader>&amp;CSchedule 10
CWIP
&amp;RTO2022 Draft Annual Update 
Attachment 1</oddHeader>
    <oddFooter>&amp;R&amp;A</oddFooter>
  </headerFooter>
  <rowBreaks count="7" manualBreakCount="7">
    <brk id="47" max="16383" man="1"/>
    <brk id="113" max="10" man="1"/>
    <brk id="179" max="10" man="1"/>
    <brk id="245" max="10" man="1"/>
    <brk id="311" max="10" man="1"/>
    <brk id="377" max="10" man="1"/>
    <brk id="444"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zoomScaleNormal="100" workbookViewId="0"/>
  </sheetViews>
  <sheetFormatPr defaultRowHeight="12.5"/>
  <cols>
    <col min="1" max="1" width="4.54296875" customWidth="1"/>
    <col min="2" max="2" width="22.54296875" customWidth="1"/>
    <col min="3" max="3" width="8.54296875" customWidth="1"/>
    <col min="4" max="5" width="25.54296875" customWidth="1"/>
    <col min="6" max="6" width="22.54296875" customWidth="1"/>
  </cols>
  <sheetData>
    <row r="1" spans="1:6" ht="13">
      <c r="A1" s="38" t="s">
        <v>1193</v>
      </c>
      <c r="B1" s="118"/>
      <c r="C1" s="39"/>
      <c r="D1" s="39"/>
      <c r="E1" s="39"/>
      <c r="F1" s="39"/>
    </row>
    <row r="2" spans="1:6" ht="13">
      <c r="A2" s="120"/>
      <c r="B2" s="14"/>
      <c r="C2" s="121"/>
      <c r="D2" s="121"/>
      <c r="F2" s="43" t="s">
        <v>17</v>
      </c>
    </row>
    <row r="3" spans="1:6" ht="13">
      <c r="A3" s="120"/>
      <c r="B3" s="15" t="s">
        <v>493</v>
      </c>
      <c r="C3" s="121"/>
      <c r="D3" s="121"/>
      <c r="E3" s="121"/>
    </row>
    <row r="4" spans="1:6" ht="13">
      <c r="A4" s="120"/>
      <c r="B4" s="15" t="s">
        <v>386</v>
      </c>
      <c r="C4" s="121"/>
      <c r="D4" s="121"/>
      <c r="E4" s="121"/>
    </row>
    <row r="5" spans="1:6" ht="13">
      <c r="A5" s="120"/>
      <c r="B5" s="15" t="s">
        <v>391</v>
      </c>
      <c r="C5" s="121"/>
      <c r="D5" s="121"/>
      <c r="E5" s="121"/>
    </row>
    <row r="6" spans="1:6" ht="13">
      <c r="A6" s="120"/>
    </row>
    <row r="7" spans="1:6" ht="13">
      <c r="A7" s="51" t="s">
        <v>329</v>
      </c>
      <c r="B7" s="14"/>
      <c r="C7" s="121"/>
      <c r="D7" s="3" t="s">
        <v>389</v>
      </c>
      <c r="E7" s="119" t="s">
        <v>388</v>
      </c>
      <c r="F7" s="122" t="s">
        <v>179</v>
      </c>
    </row>
    <row r="8" spans="1:6" ht="13">
      <c r="A8" s="2">
        <v>1</v>
      </c>
      <c r="B8" s="15" t="s">
        <v>400</v>
      </c>
      <c r="D8" s="6">
        <v>30786584</v>
      </c>
      <c r="E8" s="6">
        <v>30786584</v>
      </c>
      <c r="F8" s="13" t="s">
        <v>1206</v>
      </c>
    </row>
    <row r="9" spans="1:6" ht="13">
      <c r="A9" s="2"/>
      <c r="B9" s="15"/>
      <c r="D9" s="14"/>
      <c r="E9" s="12"/>
    </row>
    <row r="10" spans="1:6" ht="13">
      <c r="A10" s="2"/>
      <c r="B10" s="15" t="s">
        <v>394</v>
      </c>
      <c r="D10" s="14"/>
      <c r="E10" s="12"/>
    </row>
    <row r="11" spans="1:6" ht="13">
      <c r="A11" s="2"/>
      <c r="B11" s="15"/>
      <c r="D11" s="14"/>
      <c r="E11" s="12"/>
    </row>
    <row r="12" spans="1:6" ht="13">
      <c r="A12" s="2"/>
      <c r="B12" s="84" t="s">
        <v>358</v>
      </c>
      <c r="C12" s="84" t="s">
        <v>342</v>
      </c>
      <c r="D12" s="84" t="s">
        <v>343</v>
      </c>
      <c r="E12" s="84" t="s">
        <v>344</v>
      </c>
      <c r="F12" s="84" t="s">
        <v>345</v>
      </c>
    </row>
    <row r="13" spans="1:6" ht="13">
      <c r="A13" s="2"/>
      <c r="B13" s="15"/>
      <c r="C13" s="2" t="s">
        <v>397</v>
      </c>
      <c r="D13" s="14"/>
      <c r="E13" s="12"/>
    </row>
    <row r="14" spans="1:6" ht="13">
      <c r="A14" s="2"/>
      <c r="B14" s="51" t="s">
        <v>100</v>
      </c>
      <c r="C14" s="3" t="s">
        <v>396</v>
      </c>
      <c r="D14" s="3" t="s">
        <v>389</v>
      </c>
      <c r="E14" s="119" t="s">
        <v>388</v>
      </c>
      <c r="F14" s="119" t="s">
        <v>179</v>
      </c>
    </row>
    <row r="15" spans="1:6" ht="13">
      <c r="A15" s="2" t="s">
        <v>507</v>
      </c>
      <c r="B15" s="961" t="s">
        <v>2827</v>
      </c>
      <c r="C15" s="96" t="s">
        <v>2828</v>
      </c>
      <c r="D15" s="6">
        <v>9942155</v>
      </c>
      <c r="E15" s="977">
        <v>9942155</v>
      </c>
      <c r="F15" s="96" t="s">
        <v>2829</v>
      </c>
    </row>
    <row r="16" spans="1:6" ht="13">
      <c r="A16" s="2" t="s">
        <v>508</v>
      </c>
      <c r="B16" s="114"/>
      <c r="C16" s="96"/>
      <c r="D16" s="6"/>
      <c r="E16" s="6"/>
      <c r="F16" s="96"/>
    </row>
    <row r="17" spans="1:6" ht="13">
      <c r="A17" s="2" t="s">
        <v>509</v>
      </c>
      <c r="B17" s="114"/>
      <c r="C17" s="96"/>
      <c r="D17" s="6"/>
      <c r="E17" s="6"/>
      <c r="F17" s="96"/>
    </row>
    <row r="18" spans="1:6" ht="13">
      <c r="A18" s="2" t="s">
        <v>510</v>
      </c>
      <c r="B18" s="114"/>
      <c r="C18" s="96"/>
      <c r="D18" s="6"/>
      <c r="E18" s="6"/>
      <c r="F18" s="96"/>
    </row>
    <row r="19" spans="1:6" ht="13">
      <c r="A19" s="2" t="s">
        <v>511</v>
      </c>
      <c r="B19" s="114"/>
      <c r="C19" s="96"/>
      <c r="D19" s="6"/>
      <c r="E19" s="6"/>
      <c r="F19" s="96"/>
    </row>
    <row r="20" spans="1:6" ht="13">
      <c r="A20" s="2" t="s">
        <v>512</v>
      </c>
      <c r="B20" s="114"/>
      <c r="C20" s="96"/>
      <c r="D20" s="6"/>
      <c r="E20" s="6"/>
      <c r="F20" s="96"/>
    </row>
    <row r="21" spans="1:6" ht="13">
      <c r="A21" s="2" t="s">
        <v>513</v>
      </c>
      <c r="B21" s="114"/>
      <c r="C21" s="96"/>
      <c r="D21" s="6"/>
      <c r="E21" s="6"/>
      <c r="F21" s="96"/>
    </row>
    <row r="22" spans="1:6" ht="13">
      <c r="A22" s="2" t="s">
        <v>514</v>
      </c>
      <c r="B22" s="114"/>
      <c r="C22" s="96"/>
      <c r="D22" s="6"/>
      <c r="E22" s="6"/>
      <c r="F22" s="96"/>
    </row>
    <row r="23" spans="1:6" ht="13">
      <c r="A23" s="109"/>
      <c r="B23" s="386" t="s">
        <v>504</v>
      </c>
      <c r="C23" s="96"/>
      <c r="D23" s="387"/>
      <c r="E23" s="387"/>
      <c r="F23" s="96"/>
    </row>
    <row r="24" spans="1:6" ht="13">
      <c r="A24" s="2">
        <v>3</v>
      </c>
      <c r="C24" s="12" t="s">
        <v>4</v>
      </c>
      <c r="D24" s="7">
        <f>SUM(D15:D22)</f>
        <v>9942155</v>
      </c>
      <c r="E24" s="7">
        <f>SUM(E15:E22)</f>
        <v>9942155</v>
      </c>
      <c r="F24" s="46" t="s">
        <v>516</v>
      </c>
    </row>
    <row r="25" spans="1:6">
      <c r="C25" s="12"/>
    </row>
    <row r="26" spans="1:6" ht="13">
      <c r="C26" s="12"/>
      <c r="D26" s="3" t="s">
        <v>389</v>
      </c>
      <c r="E26" s="119" t="s">
        <v>388</v>
      </c>
      <c r="F26" s="122" t="s">
        <v>179</v>
      </c>
    </row>
    <row r="27" spans="1:6" ht="13">
      <c r="A27" s="2">
        <v>4</v>
      </c>
      <c r="B27" s="12" t="s">
        <v>390</v>
      </c>
      <c r="C27" s="12"/>
      <c r="D27" s="6">
        <v>0</v>
      </c>
      <c r="E27" s="6">
        <v>0</v>
      </c>
      <c r="F27" s="462" t="s">
        <v>387</v>
      </c>
    </row>
    <row r="28" spans="1:6" s="955" customFormat="1" ht="13">
      <c r="A28" s="4" t="s">
        <v>583</v>
      </c>
      <c r="B28" s="12"/>
      <c r="C28" s="463"/>
      <c r="D28" s="463"/>
      <c r="E28" s="461" t="s">
        <v>2527</v>
      </c>
      <c r="F28" s="511" t="s">
        <v>1947</v>
      </c>
    </row>
    <row r="29" spans="1:6" ht="13">
      <c r="A29" s="2">
        <v>5</v>
      </c>
      <c r="B29" s="12" t="s">
        <v>302</v>
      </c>
      <c r="D29" s="123">
        <f>'27-Allocators'!G15</f>
        <v>6.9804259326257695E-2</v>
      </c>
      <c r="E29" s="123">
        <f>'27-Allocators'!G15</f>
        <v>6.9804259326257695E-2</v>
      </c>
      <c r="F29" s="46" t="str">
        <f>"27-Allocators, L "&amp;'27-Allocators'!A15&amp;""</f>
        <v>27-Allocators, L 9</v>
      </c>
    </row>
    <row r="30" spans="1:6" ht="13">
      <c r="A30" s="2">
        <v>6</v>
      </c>
      <c r="B30" s="12" t="s">
        <v>398</v>
      </c>
      <c r="C30" s="12"/>
      <c r="D30" s="63">
        <f>D27*D29</f>
        <v>0</v>
      </c>
      <c r="E30" s="63">
        <f>E27*E29</f>
        <v>0</v>
      </c>
      <c r="F30" s="46" t="str">
        <f>"L "&amp;A27&amp;" * L "&amp;A29&amp;""</f>
        <v>L 4 * L 5</v>
      </c>
    </row>
    <row r="31" spans="1:6">
      <c r="C31" s="12"/>
    </row>
    <row r="32" spans="1:6">
      <c r="B32" s="12" t="s">
        <v>395</v>
      </c>
    </row>
    <row r="33" spans="1:6">
      <c r="C33" s="32"/>
      <c r="D33" s="33"/>
      <c r="E33" s="35"/>
    </row>
    <row r="34" spans="1:6" ht="13">
      <c r="D34" s="3" t="s">
        <v>389</v>
      </c>
      <c r="E34" s="119" t="s">
        <v>388</v>
      </c>
      <c r="F34" s="122" t="s">
        <v>179</v>
      </c>
    </row>
    <row r="35" spans="1:6" ht="13">
      <c r="A35" s="2">
        <v>7</v>
      </c>
      <c r="C35" s="12"/>
      <c r="D35" s="6">
        <f>D8-D15</f>
        <v>20844429</v>
      </c>
      <c r="E35" s="6">
        <f>E8-E15</f>
        <v>20844429</v>
      </c>
      <c r="F35" s="13" t="s">
        <v>359</v>
      </c>
    </row>
    <row r="38" spans="1:6" ht="13">
      <c r="B38" s="12" t="s">
        <v>399</v>
      </c>
      <c r="D38" s="3" t="s">
        <v>389</v>
      </c>
      <c r="E38" s="119" t="s">
        <v>388</v>
      </c>
      <c r="F38" s="122" t="s">
        <v>179</v>
      </c>
    </row>
    <row r="39" spans="1:6" ht="13">
      <c r="A39" s="2">
        <v>8</v>
      </c>
      <c r="D39" s="100">
        <f>D24+D30</f>
        <v>9942155</v>
      </c>
      <c r="E39" s="100">
        <f>E24+E30</f>
        <v>9942155</v>
      </c>
      <c r="F39" s="46" t="str">
        <f>"L "&amp;A24&amp;" + L "&amp;A30&amp;""</f>
        <v>L 3 + L 6</v>
      </c>
    </row>
    <row r="40" spans="1:6" ht="13">
      <c r="A40" s="2"/>
      <c r="D40" s="100"/>
      <c r="E40" s="100"/>
      <c r="F40" s="13"/>
    </row>
    <row r="41" spans="1:6">
      <c r="B41" t="s">
        <v>401</v>
      </c>
    </row>
    <row r="42" spans="1:6" ht="13">
      <c r="A42" s="2">
        <v>9</v>
      </c>
      <c r="B42" s="12" t="s">
        <v>399</v>
      </c>
      <c r="D42" s="47">
        <f>(D39+E39)/2</f>
        <v>9942155</v>
      </c>
      <c r="E42" s="100"/>
      <c r="F42" s="46" t="str">
        <f>"Sum of Line "&amp;A39&amp;" / 2"</f>
        <v>Sum of Line 8 / 2</v>
      </c>
    </row>
    <row r="43" spans="1:6">
      <c r="B43" s="12"/>
    </row>
    <row r="44" spans="1:6" ht="13">
      <c r="B44" s="1" t="s">
        <v>495</v>
      </c>
      <c r="C44" s="12"/>
    </row>
    <row r="45" spans="1:6">
      <c r="C45" s="12"/>
    </row>
    <row r="46" spans="1:6" ht="13">
      <c r="A46" s="2"/>
      <c r="F46" s="122" t="s">
        <v>179</v>
      </c>
    </row>
    <row r="47" spans="1:6" ht="13">
      <c r="A47" s="2">
        <v>10</v>
      </c>
      <c r="B47" s="12" t="s">
        <v>494</v>
      </c>
      <c r="E47" s="972">
        <v>0</v>
      </c>
      <c r="F47" s="13" t="s">
        <v>33</v>
      </c>
    </row>
    <row r="50" spans="2:2" ht="13">
      <c r="B50" s="1" t="s">
        <v>377</v>
      </c>
    </row>
    <row r="51" spans="2:2">
      <c r="B51" s="12" t="s">
        <v>392</v>
      </c>
    </row>
    <row r="52" spans="2:2">
      <c r="B52" s="15" t="s">
        <v>1197</v>
      </c>
    </row>
    <row r="53" spans="2:2">
      <c r="B53" s="12" t="s">
        <v>1198</v>
      </c>
    </row>
    <row r="54" spans="2:2">
      <c r="B54" s="12" t="s">
        <v>515</v>
      </c>
    </row>
    <row r="55" spans="2:2">
      <c r="B55" s="12" t="str">
        <f>"2) For any Electric Plant Held for Future Use classified as General note amount on Line "&amp;A27&amp;"."</f>
        <v>2) For any Electric Plant Held for Future Use classified as General note amount on Line 4.</v>
      </c>
    </row>
    <row r="56" spans="2:2">
      <c r="B56" s="15" t="s">
        <v>1199</v>
      </c>
    </row>
    <row r="57" spans="2:2">
      <c r="B57" s="12" t="s">
        <v>393</v>
      </c>
    </row>
    <row r="58" spans="2:2">
      <c r="B58" s="463" t="s">
        <v>1641</v>
      </c>
    </row>
    <row r="59" spans="2:2">
      <c r="B59" s="12" t="s">
        <v>1196</v>
      </c>
    </row>
    <row r="60" spans="2:2">
      <c r="B60" s="12"/>
    </row>
    <row r="61" spans="2:2" ht="13">
      <c r="B61" s="1" t="s">
        <v>230</v>
      </c>
    </row>
    <row r="62" spans="2:2">
      <c r="B62" s="15" t="s">
        <v>1207</v>
      </c>
    </row>
  </sheetData>
  <pageMargins left="0.7" right="0.7" top="0.75" bottom="0.75" header="0.3" footer="0.3"/>
  <pageSetup scale="80" orientation="portrait" cellComments="asDisplayed" r:id="rId1"/>
  <headerFooter>
    <oddHeader>&amp;CSchedule 11
Plant Held for Future Use
&amp;RTO2022 Draft Annual Update 
Attachment 1</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6"/>
  <sheetViews>
    <sheetView zoomScaleNormal="100" workbookViewId="0"/>
  </sheetViews>
  <sheetFormatPr defaultRowHeight="12.5"/>
  <cols>
    <col min="1" max="1" width="4.54296875" customWidth="1"/>
    <col min="2" max="2" width="5.54296875" customWidth="1"/>
    <col min="3" max="10" width="12.54296875" customWidth="1"/>
    <col min="12" max="12" width="9.453125" style="14"/>
  </cols>
  <sheetData>
    <row r="1" spans="1:10" ht="13">
      <c r="A1" s="1" t="s">
        <v>290</v>
      </c>
    </row>
    <row r="2" spans="1:10">
      <c r="I2" s="511" t="s">
        <v>246</v>
      </c>
      <c r="J2" s="511"/>
    </row>
    <row r="3" spans="1:10">
      <c r="B3" t="s">
        <v>315</v>
      </c>
    </row>
    <row r="5" spans="1:10">
      <c r="B5" t="s">
        <v>310</v>
      </c>
    </row>
    <row r="6" spans="1:10">
      <c r="B6" t="s">
        <v>316</v>
      </c>
    </row>
    <row r="7" spans="1:10">
      <c r="F7" s="75" t="s">
        <v>224</v>
      </c>
      <c r="H7" s="75" t="s">
        <v>1803</v>
      </c>
    </row>
    <row r="8" spans="1:10">
      <c r="B8" s="14" t="s">
        <v>1802</v>
      </c>
      <c r="C8" s="14"/>
      <c r="D8" s="14"/>
      <c r="E8" s="14"/>
      <c r="F8" s="961"/>
      <c r="G8" s="96"/>
      <c r="H8" s="961"/>
      <c r="I8" s="96"/>
      <c r="J8" s="96"/>
    </row>
    <row r="9" spans="1:10">
      <c r="B9" s="14"/>
      <c r="C9" s="14"/>
      <c r="D9" s="14"/>
      <c r="E9" s="14"/>
      <c r="F9" s="961"/>
      <c r="G9" s="96"/>
      <c r="H9" s="96"/>
      <c r="I9" s="96"/>
      <c r="J9" s="96"/>
    </row>
    <row r="10" spans="1:10">
      <c r="B10" s="14"/>
      <c r="C10" s="14"/>
      <c r="D10" s="14"/>
      <c r="E10" s="14"/>
      <c r="F10" s="868" t="s">
        <v>504</v>
      </c>
      <c r="G10" s="14"/>
      <c r="H10" s="868" t="s">
        <v>504</v>
      </c>
      <c r="I10" s="14"/>
    </row>
    <row r="12" spans="1:10">
      <c r="B12" s="463" t="s">
        <v>375</v>
      </c>
    </row>
    <row r="13" spans="1:10">
      <c r="B13" s="463"/>
    </row>
    <row r="14" spans="1:10">
      <c r="B14" s="463" t="s">
        <v>373</v>
      </c>
    </row>
    <row r="15" spans="1:10">
      <c r="B15" s="463" t="s">
        <v>374</v>
      </c>
    </row>
    <row r="16" spans="1:10" ht="13">
      <c r="B16" s="463"/>
      <c r="G16" s="549" t="s">
        <v>376</v>
      </c>
    </row>
    <row r="17" spans="1:12" ht="13">
      <c r="A17" s="51" t="s">
        <v>329</v>
      </c>
      <c r="G17" s="3" t="s">
        <v>63</v>
      </c>
      <c r="I17" s="51" t="s">
        <v>236</v>
      </c>
    </row>
    <row r="18" spans="1:12" ht="13">
      <c r="A18" s="549">
        <v>1</v>
      </c>
      <c r="F18" s="37" t="s">
        <v>311</v>
      </c>
      <c r="G18" s="63">
        <f>SUM(IF(B31='1-BaseTRR'!$K$4,E31+I31,0),IF(B32='1-BaseTRR'!$K$4,E32+I32,0),IF(B33='1-BaseTRR'!$K$4,E33+I33,0),IF(B34='1-BaseTRR'!$K$4,E34+I34,0),IF(B35='1-BaseTRR'!$K$4,E35+I35,0),IF(B36='1-BaseTRR'!$K$4,E36+I36,0),IF(B37='1-BaseTRR'!$K$4,E37+I37,0),IF(B38='1-BaseTRR'!$K$4,E38+I38,0),IF(B39='1-BaseTRR'!$K$4,E39+I39,0),IF(B40='1-BaseTRR'!$K$4,E40+I40,0),IF(B41='1-BaseTRR'!$K$4,E41+I41,0))</f>
        <v>0</v>
      </c>
      <c r="I18" s="463" t="s">
        <v>385</v>
      </c>
    </row>
    <row r="19" spans="1:12" ht="13">
      <c r="A19" s="549">
        <v>2</v>
      </c>
      <c r="F19" s="461" t="s">
        <v>379</v>
      </c>
      <c r="G19" s="63">
        <f>SUM(IF(B31='1-BaseTRR'!$K$4-1,C31+G31,0),IF(B32='1-BaseTRR'!$K$4-1,C32+G32,0),IF(B33='1-BaseTRR'!$K$4-1,C33+G33,0),IF(B34='1-BaseTRR'!$K$4-1,C34+G34,0),IF(B35='1-BaseTRR'!$K$4-1,C35+G35,0),IF(B36='1-BaseTRR'!$K$4-1,C36+G36,0),IF(B37='1-BaseTRR'!$K$4-1,C37+G37,0),IF(B38='1-BaseTRR'!$K$4-1,C38+G38,0),IF(B39='1-BaseTRR'!$K$4-1,C39+G39,0),IF(B40='1-BaseTRR'!$K$4-1,C40+G40,0),IF(B41='1-BaseTRR'!$K$4-1,C41+G41,0))</f>
        <v>0</v>
      </c>
      <c r="I19" s="463" t="s">
        <v>385</v>
      </c>
    </row>
    <row r="20" spans="1:12" ht="13">
      <c r="A20" s="549">
        <v>3</v>
      </c>
      <c r="F20" s="37" t="s">
        <v>313</v>
      </c>
      <c r="G20" s="63">
        <f>SUM(IF(B31='1-BaseTRR'!$K$4,C31+G31,0),IF(B32='1-BaseTRR'!$K$4,C32+G32,0),IF(B33='1-BaseTRR'!$K$4,C33+G33,0),IF(B34='1-BaseTRR'!$K$4,C34+G34,0),IF(B35='1-BaseTRR'!$K$4,C35+G35,0),IF(B36='1-BaseTRR'!$K$4,C36+G36,0),IF(B37='1-BaseTRR'!$K$4,C37+G37,0),IF(B38='1-BaseTRR'!$K$4,C38+G38,0),IF(B39='1-BaseTRR'!$K$4,C39+G39,0),IF(B40='1-BaseTRR'!$K$4,C40+G40,0),IF(B41='1-BaseTRR'!$K$4,C41+G41,0))</f>
        <v>0</v>
      </c>
      <c r="I20" s="463" t="s">
        <v>385</v>
      </c>
    </row>
    <row r="21" spans="1:12" ht="13">
      <c r="A21" s="549">
        <v>4</v>
      </c>
      <c r="F21" s="37" t="s">
        <v>314</v>
      </c>
      <c r="G21" s="63">
        <f>(G19+G20)/2</f>
        <v>0</v>
      </c>
      <c r="I21" s="465" t="str">
        <f>"Average of Lines "&amp;A19&amp;" and "&amp;A20&amp;"."</f>
        <v>Average of Lines 2 and 3.</v>
      </c>
    </row>
    <row r="22" spans="1:12" s="955" customFormat="1" ht="13">
      <c r="A22" s="549">
        <v>5</v>
      </c>
      <c r="E22" s="465"/>
      <c r="F22" s="842" t="s">
        <v>2289</v>
      </c>
      <c r="G22" s="63">
        <f>SUM(IF(B31='1-BaseTRR'!$K$4-1,D31+H31,0),IF(B32='1-BaseTRR'!$K$4-1,D32+H32,0),IF(B33='1-BaseTRR'!$K$4-1,D33+H33,0),IF(B34='1-BaseTRR'!$K$4-1,D34+H34,0),IF(B35='1-BaseTRR'!$K$4-1,D35+H35,0),IF(B36='1-BaseTRR'!$K$4-1,D36+H36,0),IF(B37='1-BaseTRR'!$K$4-1,D37+H37,0),IF(B38='1-BaseTRR'!$K$4-1,D38+H38,0),IF(B39='1-BaseTRR'!$K$4-1,D39+H39,0),IF(B40='1-BaseTRR'!$K$4-1,D40+H40,0),IF(B41='1-BaseTRR'!$K$4-1,D41+H41,0))</f>
        <v>0</v>
      </c>
      <c r="H22" s="465"/>
      <c r="I22" s="465" t="s">
        <v>385</v>
      </c>
      <c r="J22" s="465"/>
      <c r="L22" s="14"/>
    </row>
    <row r="23" spans="1:12">
      <c r="I23" s="463"/>
    </row>
    <row r="25" spans="1:12" ht="13">
      <c r="A25" s="549">
        <v>6</v>
      </c>
      <c r="C25" s="1" t="s">
        <v>502</v>
      </c>
      <c r="D25" s="961" t="s">
        <v>503</v>
      </c>
      <c r="G25" s="149" t="s">
        <v>505</v>
      </c>
      <c r="H25" s="473" t="s">
        <v>503</v>
      </c>
      <c r="I25" s="551"/>
      <c r="J25" s="465"/>
    </row>
    <row r="26" spans="1:12" ht="13">
      <c r="A26" s="549"/>
      <c r="C26" s="1"/>
      <c r="D26" s="465"/>
      <c r="E26" s="14"/>
      <c r="G26" s="551"/>
      <c r="H26" s="465"/>
      <c r="I26" s="551"/>
      <c r="J26" s="465"/>
    </row>
    <row r="27" spans="1:12" ht="13">
      <c r="D27" s="109" t="s">
        <v>1676</v>
      </c>
      <c r="E27" s="109" t="s">
        <v>370</v>
      </c>
      <c r="F27" s="14"/>
      <c r="G27" s="14"/>
      <c r="H27" s="109" t="s">
        <v>1676</v>
      </c>
      <c r="I27" s="549" t="s">
        <v>370</v>
      </c>
      <c r="J27" s="109"/>
    </row>
    <row r="28" spans="1:12" ht="13">
      <c r="C28" s="549" t="s">
        <v>299</v>
      </c>
      <c r="D28" s="109" t="s">
        <v>370</v>
      </c>
      <c r="E28" s="109" t="s">
        <v>371</v>
      </c>
      <c r="F28" s="14"/>
      <c r="G28" s="109" t="s">
        <v>299</v>
      </c>
      <c r="H28" s="109" t="s">
        <v>370</v>
      </c>
      <c r="I28" s="549" t="s">
        <v>371</v>
      </c>
      <c r="J28" s="109"/>
    </row>
    <row r="29" spans="1:12" ht="13">
      <c r="C29" s="549" t="s">
        <v>370</v>
      </c>
      <c r="D29" s="109" t="s">
        <v>371</v>
      </c>
      <c r="E29" s="109" t="s">
        <v>372</v>
      </c>
      <c r="F29" s="14"/>
      <c r="G29" s="109" t="s">
        <v>370</v>
      </c>
      <c r="H29" s="109" t="s">
        <v>371</v>
      </c>
      <c r="I29" s="549" t="s">
        <v>372</v>
      </c>
      <c r="J29" s="109"/>
    </row>
    <row r="30" spans="1:12" ht="13">
      <c r="A30" s="549"/>
      <c r="B30" s="3" t="s">
        <v>193</v>
      </c>
      <c r="C30" s="3" t="s">
        <v>371</v>
      </c>
      <c r="D30" s="122" t="s">
        <v>1677</v>
      </c>
      <c r="E30" s="122" t="s">
        <v>323</v>
      </c>
      <c r="F30" s="14"/>
      <c r="G30" s="122" t="s">
        <v>371</v>
      </c>
      <c r="H30" s="122" t="s">
        <v>1677</v>
      </c>
      <c r="I30" s="3" t="s">
        <v>323</v>
      </c>
      <c r="J30" s="122"/>
    </row>
    <row r="31" spans="1:12" ht="13">
      <c r="A31" s="549">
        <v>7</v>
      </c>
      <c r="B31">
        <v>2015</v>
      </c>
      <c r="C31" s="1036"/>
      <c r="D31" s="1036"/>
      <c r="E31" s="1036"/>
      <c r="G31" s="96"/>
      <c r="H31" s="96"/>
      <c r="I31" s="96"/>
      <c r="J31" s="14"/>
    </row>
    <row r="32" spans="1:12" ht="13">
      <c r="A32" s="549">
        <v>8</v>
      </c>
      <c r="B32">
        <v>2016</v>
      </c>
      <c r="C32" s="1036"/>
      <c r="D32" s="1036"/>
      <c r="E32" s="1036"/>
      <c r="G32" s="96"/>
      <c r="H32" s="96"/>
      <c r="I32" s="96"/>
      <c r="J32" s="14"/>
    </row>
    <row r="33" spans="1:10" ht="13">
      <c r="A33" s="549">
        <v>9</v>
      </c>
      <c r="B33">
        <v>2017</v>
      </c>
      <c r="C33" s="96"/>
      <c r="D33" s="96"/>
      <c r="E33" s="96"/>
      <c r="G33" s="96"/>
      <c r="H33" s="96"/>
      <c r="I33" s="96"/>
      <c r="J33" s="14"/>
    </row>
    <row r="34" spans="1:10" ht="13">
      <c r="A34" s="549">
        <v>10</v>
      </c>
      <c r="B34">
        <v>2018</v>
      </c>
      <c r="C34" s="96"/>
      <c r="D34" s="96"/>
      <c r="E34" s="96"/>
      <c r="G34" s="96"/>
      <c r="H34" s="96"/>
      <c r="I34" s="96"/>
      <c r="J34" s="14"/>
    </row>
    <row r="35" spans="1:10" ht="13">
      <c r="A35" s="549">
        <v>11</v>
      </c>
      <c r="B35">
        <v>2019</v>
      </c>
      <c r="C35" s="96"/>
      <c r="D35" s="96"/>
      <c r="E35" s="96"/>
      <c r="G35" s="96"/>
      <c r="H35" s="96"/>
      <c r="I35" s="96"/>
      <c r="J35" s="14"/>
    </row>
    <row r="36" spans="1:10" ht="13">
      <c r="A36" s="549">
        <v>12</v>
      </c>
      <c r="B36">
        <v>2020</v>
      </c>
      <c r="C36" s="96"/>
      <c r="D36" s="96"/>
      <c r="E36" s="96"/>
      <c r="G36" s="96"/>
      <c r="H36" s="96"/>
      <c r="I36" s="96"/>
      <c r="J36" s="14"/>
    </row>
    <row r="37" spans="1:10" ht="13">
      <c r="A37" s="549">
        <v>13</v>
      </c>
      <c r="B37">
        <v>2021</v>
      </c>
      <c r="C37" s="96"/>
      <c r="D37" s="96"/>
      <c r="E37" s="96"/>
      <c r="G37" s="96"/>
      <c r="H37" s="96"/>
      <c r="I37" s="96"/>
      <c r="J37" s="14"/>
    </row>
    <row r="38" spans="1:10" ht="13">
      <c r="A38" s="549">
        <v>14</v>
      </c>
      <c r="B38">
        <v>2022</v>
      </c>
      <c r="C38" s="96"/>
      <c r="D38" s="96"/>
      <c r="E38" s="96"/>
      <c r="G38" s="96"/>
      <c r="H38" s="96"/>
      <c r="I38" s="96"/>
      <c r="J38" s="14"/>
    </row>
    <row r="39" spans="1:10" ht="13">
      <c r="A39" s="549">
        <v>15</v>
      </c>
      <c r="B39">
        <v>2023</v>
      </c>
      <c r="C39" s="96"/>
      <c r="D39" s="96"/>
      <c r="E39" s="96"/>
      <c r="G39" s="96"/>
      <c r="H39" s="96"/>
      <c r="I39" s="96"/>
      <c r="J39" s="14"/>
    </row>
    <row r="40" spans="1:10" ht="13">
      <c r="A40" s="549">
        <v>16</v>
      </c>
      <c r="B40">
        <v>2024</v>
      </c>
      <c r="C40" s="96"/>
      <c r="D40" s="96"/>
      <c r="E40" s="96"/>
      <c r="G40" s="96"/>
      <c r="H40" s="96"/>
      <c r="I40" s="96"/>
      <c r="J40" s="14"/>
    </row>
    <row r="41" spans="1:10" ht="13">
      <c r="A41" s="549">
        <v>17</v>
      </c>
      <c r="B41">
        <v>2025</v>
      </c>
      <c r="C41" s="96"/>
      <c r="D41" s="96"/>
      <c r="E41" s="96"/>
      <c r="G41" s="96"/>
      <c r="H41" s="96"/>
      <c r="I41" s="96"/>
      <c r="J41" s="14"/>
    </row>
    <row r="42" spans="1:10" ht="13">
      <c r="A42" s="549">
        <v>18</v>
      </c>
      <c r="B42" s="552" t="s">
        <v>504</v>
      </c>
    </row>
    <row r="43" spans="1:10" ht="13">
      <c r="A43" s="549"/>
      <c r="B43" s="552"/>
    </row>
    <row r="44" spans="1:10" ht="13">
      <c r="A44" s="549"/>
      <c r="B44" s="44" t="s">
        <v>230</v>
      </c>
      <c r="C44" s="14"/>
      <c r="D44" s="14"/>
      <c r="E44" s="14"/>
      <c r="F44" s="14"/>
      <c r="G44" s="14"/>
      <c r="H44" s="14"/>
      <c r="I44" s="14"/>
      <c r="J44" s="14"/>
    </row>
    <row r="45" spans="1:10" ht="13">
      <c r="A45" s="549"/>
      <c r="B45" s="465" t="s">
        <v>1678</v>
      </c>
      <c r="C45" s="14"/>
      <c r="D45" s="14"/>
      <c r="E45" s="14"/>
      <c r="F45" s="14"/>
      <c r="G45" s="14"/>
      <c r="H45" s="14"/>
      <c r="I45" s="14"/>
      <c r="J45" s="14"/>
    </row>
    <row r="46" spans="1:10" ht="13">
      <c r="A46" s="549"/>
      <c r="B46" s="14"/>
      <c r="C46" s="14"/>
      <c r="D46" s="14"/>
      <c r="E46" s="14"/>
      <c r="F46" s="14"/>
      <c r="G46" s="14"/>
      <c r="H46" s="14"/>
      <c r="I46" s="14"/>
      <c r="J46" s="14"/>
    </row>
    <row r="47" spans="1:10" ht="13">
      <c r="A47" s="549"/>
      <c r="B47" s="44" t="s">
        <v>377</v>
      </c>
      <c r="C47" s="14"/>
      <c r="D47" s="14"/>
      <c r="E47" s="14"/>
      <c r="F47" s="14"/>
      <c r="G47" s="14"/>
      <c r="H47" s="14"/>
      <c r="I47" s="14"/>
      <c r="J47" s="14"/>
    </row>
    <row r="48" spans="1:10" ht="13">
      <c r="A48" s="549"/>
      <c r="B48" s="465" t="s">
        <v>378</v>
      </c>
      <c r="C48" s="14"/>
      <c r="D48" s="14"/>
      <c r="E48" s="14"/>
      <c r="F48" s="14"/>
      <c r="G48" s="14"/>
      <c r="H48" s="14"/>
      <c r="I48" s="14"/>
      <c r="J48" s="14"/>
    </row>
    <row r="49" spans="1:10" ht="13">
      <c r="A49" s="549"/>
      <c r="B49" s="462" t="s">
        <v>1679</v>
      </c>
      <c r="C49" s="14"/>
      <c r="D49" s="14"/>
      <c r="E49" s="14"/>
      <c r="F49" s="14"/>
      <c r="G49" s="14"/>
      <c r="H49" s="14"/>
      <c r="I49" s="14"/>
      <c r="J49" s="14"/>
    </row>
    <row r="50" spans="1:10" ht="13">
      <c r="A50" s="549"/>
      <c r="B50" s="462" t="s">
        <v>1680</v>
      </c>
      <c r="C50" s="14"/>
      <c r="D50" s="14"/>
      <c r="E50" s="14"/>
      <c r="F50" s="14"/>
      <c r="G50" s="14"/>
      <c r="H50" s="14"/>
      <c r="I50" s="14"/>
      <c r="J50" s="14"/>
    </row>
    <row r="51" spans="1:10" ht="13">
      <c r="A51" s="549"/>
      <c r="B51" s="462" t="s">
        <v>383</v>
      </c>
      <c r="C51" s="14"/>
      <c r="D51" s="14"/>
      <c r="E51" s="14"/>
      <c r="F51" s="14"/>
      <c r="G51" s="14"/>
      <c r="H51" s="14"/>
      <c r="I51" s="14"/>
      <c r="J51" s="14"/>
    </row>
    <row r="52" spans="1:10" ht="13">
      <c r="A52" s="549"/>
      <c r="B52" s="462" t="s">
        <v>384</v>
      </c>
      <c r="C52" s="14"/>
      <c r="D52" s="14"/>
      <c r="E52" s="14"/>
      <c r="F52" s="14"/>
      <c r="G52" s="14"/>
      <c r="H52" s="14"/>
      <c r="I52" s="14"/>
      <c r="J52" s="14"/>
    </row>
    <row r="53" spans="1:10">
      <c r="B53" s="462" t="s">
        <v>381</v>
      </c>
      <c r="C53" s="14"/>
      <c r="D53" s="14"/>
      <c r="E53" s="14"/>
      <c r="F53" s="14"/>
      <c r="G53" s="14"/>
      <c r="H53" s="14"/>
      <c r="I53" s="14"/>
      <c r="J53" s="14"/>
    </row>
    <row r="54" spans="1:10">
      <c r="B54" s="849" t="s">
        <v>506</v>
      </c>
      <c r="C54" s="14"/>
      <c r="D54" s="14"/>
      <c r="E54" s="14"/>
      <c r="F54" s="14"/>
      <c r="G54" s="14"/>
      <c r="H54" s="14"/>
      <c r="I54" s="14"/>
      <c r="J54" s="14"/>
    </row>
    <row r="55" spans="1:10">
      <c r="B55" s="465" t="s">
        <v>382</v>
      </c>
      <c r="C55" s="14"/>
      <c r="D55" s="14"/>
      <c r="E55" s="14"/>
      <c r="F55" s="14"/>
      <c r="G55" s="14"/>
      <c r="H55" s="14"/>
      <c r="I55" s="14"/>
      <c r="J55" s="14"/>
    </row>
    <row r="56" spans="1:10">
      <c r="B56" s="465" t="s">
        <v>2288</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&amp;RTO2022 Draft Annual Update 
Attachment 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6</v>
      </c>
    </row>
    <row r="2" spans="1:7">
      <c r="C2" s="463"/>
      <c r="F2" s="43" t="s">
        <v>17</v>
      </c>
      <c r="G2" s="1230"/>
    </row>
    <row r="3" spans="1:7" ht="13">
      <c r="B3" s="1" t="s">
        <v>159</v>
      </c>
      <c r="F3" s="68" t="s">
        <v>2531</v>
      </c>
      <c r="G3" s="1488" t="s">
        <v>2820</v>
      </c>
    </row>
    <row r="4" spans="1:7">
      <c r="C4" s="12" t="s">
        <v>549</v>
      </c>
      <c r="E4" s="18"/>
      <c r="F4" s="28"/>
      <c r="G4" s="27"/>
    </row>
    <row r="5" spans="1:7">
      <c r="C5" s="12" t="s">
        <v>550</v>
      </c>
      <c r="E5" s="18"/>
      <c r="F5" s="28"/>
      <c r="G5" s="27"/>
    </row>
    <row r="6" spans="1:7" ht="13">
      <c r="E6" s="18"/>
      <c r="F6" s="74"/>
      <c r="G6" s="27"/>
    </row>
    <row r="7" spans="1:7" ht="13">
      <c r="C7" s="21"/>
      <c r="D7" s="17"/>
      <c r="E7" s="26" t="s">
        <v>194</v>
      </c>
      <c r="F7" s="26" t="s">
        <v>1664</v>
      </c>
      <c r="G7" s="26"/>
    </row>
    <row r="8" spans="1:7" ht="13">
      <c r="A8" s="53" t="s">
        <v>319</v>
      </c>
      <c r="C8" s="25" t="s">
        <v>192</v>
      </c>
      <c r="D8" s="25" t="s">
        <v>193</v>
      </c>
      <c r="E8" s="25" t="s">
        <v>179</v>
      </c>
      <c r="F8" s="31" t="s">
        <v>1663</v>
      </c>
      <c r="G8" s="29" t="s">
        <v>168</v>
      </c>
    </row>
    <row r="9" spans="1:7" ht="13">
      <c r="A9" s="2">
        <v>1</v>
      </c>
      <c r="C9" s="19" t="s">
        <v>180</v>
      </c>
      <c r="D9" s="145">
        <v>2019</v>
      </c>
      <c r="E9" s="30" t="s">
        <v>548</v>
      </c>
      <c r="F9" s="1046">
        <v>361868594</v>
      </c>
      <c r="G9" s="30" t="s">
        <v>85</v>
      </c>
    </row>
    <row r="10" spans="1:7" ht="13">
      <c r="A10" s="109">
        <f>A9+1</f>
        <v>2</v>
      </c>
      <c r="B10" s="14"/>
      <c r="C10" s="800" t="s">
        <v>181</v>
      </c>
      <c r="D10" s="145">
        <v>2020</v>
      </c>
      <c r="E10" s="497" t="s">
        <v>33</v>
      </c>
      <c r="F10" s="1458">
        <v>365574612.18000001</v>
      </c>
      <c r="G10" s="30"/>
    </row>
    <row r="11" spans="1:7" ht="13">
      <c r="A11" s="109">
        <f t="shared" ref="A11:A21" si="0">A10+1</f>
        <v>3</v>
      </c>
      <c r="B11" s="14"/>
      <c r="C11" s="800" t="s">
        <v>182</v>
      </c>
      <c r="D11" s="145">
        <v>2020</v>
      </c>
      <c r="E11" s="497" t="s">
        <v>33</v>
      </c>
      <c r="F11" s="1458">
        <v>366515548.06999999</v>
      </c>
      <c r="G11" s="30"/>
    </row>
    <row r="12" spans="1:7" ht="13">
      <c r="A12" s="109">
        <f t="shared" si="0"/>
        <v>4</v>
      </c>
      <c r="B12" s="14"/>
      <c r="C12" s="800" t="s">
        <v>195</v>
      </c>
      <c r="D12" s="145">
        <v>2020</v>
      </c>
      <c r="E12" s="497" t="s">
        <v>33</v>
      </c>
      <c r="F12" s="1458">
        <v>361009194.45999998</v>
      </c>
      <c r="G12" s="30"/>
    </row>
    <row r="13" spans="1:7" ht="13">
      <c r="A13" s="109">
        <f t="shared" si="0"/>
        <v>5</v>
      </c>
      <c r="B13" s="14"/>
      <c r="C13" s="800" t="s">
        <v>183</v>
      </c>
      <c r="D13" s="145">
        <v>2020</v>
      </c>
      <c r="E13" s="497" t="s">
        <v>33</v>
      </c>
      <c r="F13" s="1458">
        <v>365450038.75</v>
      </c>
      <c r="G13" s="30"/>
    </row>
    <row r="14" spans="1:7" ht="13">
      <c r="A14" s="109">
        <f t="shared" si="0"/>
        <v>6</v>
      </c>
      <c r="B14" s="14"/>
      <c r="C14" s="800" t="s">
        <v>184</v>
      </c>
      <c r="D14" s="145">
        <v>2020</v>
      </c>
      <c r="E14" s="497" t="s">
        <v>33</v>
      </c>
      <c r="F14" s="1458">
        <v>372091894.52999997</v>
      </c>
      <c r="G14" s="30"/>
    </row>
    <row r="15" spans="1:7" ht="13">
      <c r="A15" s="109">
        <f t="shared" si="0"/>
        <v>7</v>
      </c>
      <c r="B15" s="14"/>
      <c r="C15" s="800" t="s">
        <v>1458</v>
      </c>
      <c r="D15" s="145">
        <v>2020</v>
      </c>
      <c r="E15" s="497" t="s">
        <v>33</v>
      </c>
      <c r="F15" s="1458">
        <v>380998858.01999998</v>
      </c>
      <c r="G15" s="30"/>
    </row>
    <row r="16" spans="1:7" ht="13">
      <c r="A16" s="109">
        <f t="shared" si="0"/>
        <v>8</v>
      </c>
      <c r="B16" s="14"/>
      <c r="C16" s="800" t="s">
        <v>186</v>
      </c>
      <c r="D16" s="145">
        <v>2020</v>
      </c>
      <c r="E16" s="497" t="s">
        <v>33</v>
      </c>
      <c r="F16" s="1458">
        <v>381157653.31999999</v>
      </c>
      <c r="G16" s="30"/>
    </row>
    <row r="17" spans="1:7" ht="13">
      <c r="A17" s="109">
        <f t="shared" si="0"/>
        <v>9</v>
      </c>
      <c r="B17" s="14"/>
      <c r="C17" s="800" t="s">
        <v>187</v>
      </c>
      <c r="D17" s="145">
        <v>2020</v>
      </c>
      <c r="E17" s="497" t="s">
        <v>33</v>
      </c>
      <c r="F17" s="1458">
        <v>381441536.77999997</v>
      </c>
      <c r="G17" s="30"/>
    </row>
    <row r="18" spans="1:7" ht="13">
      <c r="A18" s="109">
        <f t="shared" si="0"/>
        <v>10</v>
      </c>
      <c r="B18" s="14"/>
      <c r="C18" s="800" t="s">
        <v>188</v>
      </c>
      <c r="D18" s="145">
        <v>2020</v>
      </c>
      <c r="E18" s="497" t="s">
        <v>33</v>
      </c>
      <c r="F18" s="1458">
        <v>385241041.55000001</v>
      </c>
      <c r="G18" s="30"/>
    </row>
    <row r="19" spans="1:7" ht="13">
      <c r="A19" s="109">
        <f t="shared" si="0"/>
        <v>11</v>
      </c>
      <c r="B19" s="14"/>
      <c r="C19" s="800" t="s">
        <v>191</v>
      </c>
      <c r="D19" s="145">
        <v>2020</v>
      </c>
      <c r="E19" s="497" t="s">
        <v>33</v>
      </c>
      <c r="F19" s="1458">
        <v>383962655.92000002</v>
      </c>
      <c r="G19" s="30"/>
    </row>
    <row r="20" spans="1:7" ht="13">
      <c r="A20" s="109">
        <f t="shared" si="0"/>
        <v>12</v>
      </c>
      <c r="B20" s="14"/>
      <c r="C20" s="800" t="s">
        <v>190</v>
      </c>
      <c r="D20" s="145">
        <v>2020</v>
      </c>
      <c r="E20" s="497" t="s">
        <v>33</v>
      </c>
      <c r="F20" s="493">
        <v>397326696.20999998</v>
      </c>
      <c r="G20" s="30"/>
    </row>
    <row r="21" spans="1:7" ht="13">
      <c r="A21" s="109">
        <f t="shared" si="0"/>
        <v>13</v>
      </c>
      <c r="B21" s="14"/>
      <c r="C21" s="21" t="s">
        <v>180</v>
      </c>
      <c r="D21" s="145">
        <v>2020</v>
      </c>
      <c r="E21" s="30" t="s">
        <v>547</v>
      </c>
      <c r="F21" s="1046">
        <v>402935061</v>
      </c>
      <c r="G21" s="16" t="s">
        <v>89</v>
      </c>
    </row>
    <row r="22" spans="1:7" ht="13">
      <c r="A22" s="14"/>
      <c r="B22" s="14"/>
      <c r="C22" s="22"/>
      <c r="D22" s="22"/>
      <c r="E22" s="18"/>
      <c r="G22" s="30"/>
    </row>
    <row r="23" spans="1:7" ht="13">
      <c r="A23" s="109">
        <f>A21+1</f>
        <v>14</v>
      </c>
      <c r="B23" s="14"/>
      <c r="C23" s="22"/>
      <c r="D23" s="22"/>
      <c r="E23" s="495" t="s">
        <v>1813</v>
      </c>
      <c r="F23" s="33">
        <f>SUM(F9:F21)/13</f>
        <v>377351798.82999998</v>
      </c>
      <c r="G23" s="112" t="str">
        <f>"(Sum Line "&amp;A9&amp;" to Line "&amp;A21&amp;") / 13"</f>
        <v>(Sum Line 1 to Line 13) / 13</v>
      </c>
    </row>
    <row r="24" spans="1:7" ht="13">
      <c r="A24" s="109">
        <f>A23+1</f>
        <v>15</v>
      </c>
      <c r="B24" s="14"/>
      <c r="C24" s="22"/>
      <c r="D24" s="22"/>
      <c r="E24" s="34" t="s">
        <v>309</v>
      </c>
      <c r="F24" s="36">
        <f>'27-Allocators'!G15</f>
        <v>6.9804259326257695E-2</v>
      </c>
      <c r="G24" s="112" t="str">
        <f>"27-Allocators, Line "&amp;'27-Allocators'!A15&amp;""</f>
        <v>27-Allocators, Line 9</v>
      </c>
    </row>
    <row r="25" spans="1:7" ht="13">
      <c r="A25" s="14"/>
      <c r="B25" s="14"/>
      <c r="C25" s="14"/>
      <c r="D25" s="22"/>
      <c r="E25" s="34"/>
      <c r="F25" s="33"/>
      <c r="G25" s="112"/>
    </row>
    <row r="26" spans="1:7" ht="13">
      <c r="A26" s="109">
        <f>A24+1</f>
        <v>16</v>
      </c>
      <c r="B26" s="14"/>
      <c r="C26" s="22" t="s">
        <v>91</v>
      </c>
      <c r="D26" s="22"/>
      <c r="E26" s="356" t="s">
        <v>156</v>
      </c>
      <c r="F26" s="33">
        <f>F21*F24</f>
        <v>28126583.489685465</v>
      </c>
      <c r="G26" s="46" t="str">
        <f>"Line "&amp;A21&amp;" * Line "&amp;A24&amp;""</f>
        <v>Line 13 * Line 15</v>
      </c>
    </row>
    <row r="27" spans="1:7" ht="13">
      <c r="A27" s="109">
        <f>A26+1</f>
        <v>17</v>
      </c>
      <c r="B27" s="14"/>
      <c r="C27" s="22"/>
      <c r="D27" s="22"/>
      <c r="E27" s="495" t="s">
        <v>1814</v>
      </c>
      <c r="F27" s="33">
        <f>F23*F24</f>
        <v>26340762.822759144</v>
      </c>
      <c r="G27" s="46" t="str">
        <f>"Line "&amp;A23&amp;" * Line "&amp;A24&amp;""</f>
        <v>Line 14 * Line 15</v>
      </c>
    </row>
    <row r="28" spans="1:7">
      <c r="A28" s="14"/>
      <c r="B28" s="14"/>
      <c r="C28" s="14"/>
      <c r="D28" s="14"/>
      <c r="E28" s="14"/>
      <c r="F28" s="14"/>
    </row>
    <row r="29" spans="1:7" ht="13">
      <c r="A29" s="14"/>
      <c r="B29" s="44" t="s">
        <v>158</v>
      </c>
      <c r="C29" s="14"/>
      <c r="D29" s="14"/>
      <c r="E29" s="14"/>
      <c r="F29" s="14"/>
    </row>
    <row r="30" spans="1:7">
      <c r="A30" s="14"/>
      <c r="B30" s="14"/>
      <c r="C30" s="14" t="s">
        <v>7</v>
      </c>
      <c r="D30" s="14"/>
      <c r="E30" s="504"/>
      <c r="F30" s="28"/>
      <c r="G30" s="27"/>
    </row>
    <row r="31" spans="1:7">
      <c r="A31" s="14"/>
      <c r="B31" s="14"/>
      <c r="C31" s="14" t="s">
        <v>1751</v>
      </c>
      <c r="D31" s="14"/>
      <c r="E31" s="504"/>
      <c r="F31" s="28"/>
      <c r="G31" s="27"/>
    </row>
    <row r="32" spans="1:7" ht="13">
      <c r="C32" s="21"/>
      <c r="D32" s="17"/>
      <c r="E32" s="26" t="s">
        <v>194</v>
      </c>
      <c r="F32" s="74" t="s">
        <v>242</v>
      </c>
      <c r="G32" s="26"/>
    </row>
    <row r="33" spans="1:11" ht="13">
      <c r="C33" s="25" t="s">
        <v>192</v>
      </c>
      <c r="D33" s="25" t="s">
        <v>193</v>
      </c>
      <c r="E33" s="25" t="s">
        <v>179</v>
      </c>
      <c r="F33" s="31" t="s">
        <v>2</v>
      </c>
      <c r="G33" s="29" t="s">
        <v>168</v>
      </c>
    </row>
    <row r="34" spans="1:11" ht="13">
      <c r="A34" s="109">
        <f>A27+1</f>
        <v>18</v>
      </c>
      <c r="B34" s="14"/>
      <c r="C34" s="283" t="s">
        <v>180</v>
      </c>
      <c r="D34" s="145">
        <v>2019</v>
      </c>
      <c r="E34" s="1037" t="s">
        <v>2298</v>
      </c>
      <c r="F34" s="63">
        <f>F63</f>
        <v>213194393</v>
      </c>
      <c r="G34" s="1037" t="s">
        <v>2296</v>
      </c>
    </row>
    <row r="35" spans="1:11" ht="13">
      <c r="A35" s="109">
        <f>A34+1</f>
        <v>19</v>
      </c>
      <c r="B35" s="14"/>
      <c r="C35" s="800" t="s">
        <v>181</v>
      </c>
      <c r="D35" s="145">
        <v>2020</v>
      </c>
      <c r="E35" s="497" t="s">
        <v>33</v>
      </c>
      <c r="F35" s="977">
        <v>246061106.99000001</v>
      </c>
      <c r="G35" s="1037"/>
      <c r="J35" s="7"/>
      <c r="K35" s="7"/>
    </row>
    <row r="36" spans="1:11" ht="13">
      <c r="A36" s="109">
        <f t="shared" ref="A36:A46" si="1">A35+1</f>
        <v>20</v>
      </c>
      <c r="B36" s="14"/>
      <c r="C36" s="800" t="s">
        <v>182</v>
      </c>
      <c r="D36" s="145">
        <v>2020</v>
      </c>
      <c r="E36" s="497" t="s">
        <v>33</v>
      </c>
      <c r="F36" s="977">
        <v>202116161.55000001</v>
      </c>
      <c r="G36" s="1037"/>
      <c r="J36" s="7"/>
      <c r="K36" s="7"/>
    </row>
    <row r="37" spans="1:11" ht="13">
      <c r="A37" s="109">
        <f t="shared" si="1"/>
        <v>21</v>
      </c>
      <c r="B37" s="14"/>
      <c r="C37" s="800" t="s">
        <v>195</v>
      </c>
      <c r="D37" s="145">
        <v>2020</v>
      </c>
      <c r="E37" s="497" t="s">
        <v>33</v>
      </c>
      <c r="F37" s="977">
        <v>157932030.94</v>
      </c>
      <c r="G37" s="1037"/>
      <c r="J37" s="7"/>
      <c r="K37" s="7"/>
    </row>
    <row r="38" spans="1:11" ht="13">
      <c r="A38" s="109">
        <f t="shared" si="1"/>
        <v>22</v>
      </c>
      <c r="B38" s="14"/>
      <c r="C38" s="800" t="s">
        <v>183</v>
      </c>
      <c r="D38" s="145">
        <v>2020</v>
      </c>
      <c r="E38" s="497" t="s">
        <v>33</v>
      </c>
      <c r="F38" s="977">
        <v>199928279.40000001</v>
      </c>
      <c r="G38" s="1037"/>
      <c r="J38" s="7"/>
      <c r="K38" s="7"/>
    </row>
    <row r="39" spans="1:11" ht="13">
      <c r="A39" s="109">
        <f t="shared" si="1"/>
        <v>23</v>
      </c>
      <c r="B39" s="14"/>
      <c r="C39" s="800" t="s">
        <v>184</v>
      </c>
      <c r="D39" s="145">
        <v>2020</v>
      </c>
      <c r="E39" s="497" t="s">
        <v>33</v>
      </c>
      <c r="F39" s="977">
        <v>125105157.75</v>
      </c>
      <c r="G39" s="1037"/>
      <c r="J39" s="7"/>
      <c r="K39" s="7"/>
    </row>
    <row r="40" spans="1:11" ht="13">
      <c r="A40" s="109">
        <f t="shared" si="1"/>
        <v>24</v>
      </c>
      <c r="B40" s="14"/>
      <c r="C40" s="800" t="s">
        <v>1458</v>
      </c>
      <c r="D40" s="145">
        <v>2020</v>
      </c>
      <c r="E40" s="497" t="s">
        <v>33</v>
      </c>
      <c r="F40" s="977">
        <v>48988512.350000001</v>
      </c>
      <c r="G40" s="1037"/>
      <c r="J40" s="7"/>
      <c r="K40" s="7"/>
    </row>
    <row r="41" spans="1:11" ht="13">
      <c r="A41" s="109">
        <f t="shared" si="1"/>
        <v>25</v>
      </c>
      <c r="B41" s="14"/>
      <c r="C41" s="800" t="s">
        <v>186</v>
      </c>
      <c r="D41" s="145">
        <v>2020</v>
      </c>
      <c r="E41" s="497" t="s">
        <v>33</v>
      </c>
      <c r="F41" s="977">
        <v>416380573.32999998</v>
      </c>
      <c r="G41" s="1037"/>
      <c r="J41" s="7"/>
      <c r="K41" s="7"/>
    </row>
    <row r="42" spans="1:11" ht="13">
      <c r="A42" s="109">
        <f t="shared" si="1"/>
        <v>26</v>
      </c>
      <c r="B42" s="14"/>
      <c r="C42" s="800" t="s">
        <v>187</v>
      </c>
      <c r="D42" s="145">
        <v>2020</v>
      </c>
      <c r="E42" s="497" t="s">
        <v>33</v>
      </c>
      <c r="F42" s="977">
        <v>384389158.19</v>
      </c>
      <c r="G42" s="1037"/>
      <c r="J42" s="7"/>
      <c r="K42" s="7"/>
    </row>
    <row r="43" spans="1:11" ht="13">
      <c r="A43" s="109">
        <f t="shared" si="1"/>
        <v>27</v>
      </c>
      <c r="B43" s="14"/>
      <c r="C43" s="800" t="s">
        <v>188</v>
      </c>
      <c r="D43" s="145">
        <v>2020</v>
      </c>
      <c r="E43" s="497" t="s">
        <v>33</v>
      </c>
      <c r="F43" s="977">
        <v>337805346.69999999</v>
      </c>
      <c r="G43" s="1037"/>
      <c r="J43" s="7"/>
      <c r="K43" s="7"/>
    </row>
    <row r="44" spans="1:11" ht="13">
      <c r="A44" s="109">
        <f t="shared" si="1"/>
        <v>28</v>
      </c>
      <c r="B44" s="14"/>
      <c r="C44" s="800" t="s">
        <v>191</v>
      </c>
      <c r="D44" s="145">
        <v>2020</v>
      </c>
      <c r="E44" s="497" t="s">
        <v>33</v>
      </c>
      <c r="F44" s="977">
        <v>307482426.23000002</v>
      </c>
      <c r="G44" s="1037"/>
      <c r="J44" s="7"/>
      <c r="K44" s="7"/>
    </row>
    <row r="45" spans="1:11" ht="14.5">
      <c r="A45" s="109">
        <f t="shared" si="1"/>
        <v>29</v>
      </c>
      <c r="B45" s="14"/>
      <c r="C45" s="800" t="s">
        <v>190</v>
      </c>
      <c r="D45" s="145">
        <v>2020</v>
      </c>
      <c r="E45" s="497" t="s">
        <v>33</v>
      </c>
      <c r="F45" s="1459">
        <v>300680528.75</v>
      </c>
      <c r="G45" s="1037"/>
      <c r="J45" s="7"/>
      <c r="K45" s="7"/>
    </row>
    <row r="46" spans="1:11" ht="13">
      <c r="A46" s="109">
        <f t="shared" si="1"/>
        <v>30</v>
      </c>
      <c r="B46" s="14"/>
      <c r="C46" s="21" t="s">
        <v>180</v>
      </c>
      <c r="D46" s="145">
        <v>2020</v>
      </c>
      <c r="E46" s="1037" t="s">
        <v>2299</v>
      </c>
      <c r="F46" s="63">
        <f>F69</f>
        <v>280079123</v>
      </c>
      <c r="G46" s="1037" t="s">
        <v>2297</v>
      </c>
    </row>
    <row r="47" spans="1:11">
      <c r="A47" s="14"/>
      <c r="B47" s="14"/>
      <c r="C47" s="21"/>
      <c r="D47" s="24"/>
      <c r="E47" s="23"/>
      <c r="F47" s="33"/>
      <c r="G47" s="16"/>
    </row>
    <row r="48" spans="1:11" ht="13">
      <c r="A48" s="14"/>
      <c r="B48" s="14"/>
      <c r="C48" s="615" t="s">
        <v>1750</v>
      </c>
      <c r="D48" s="615"/>
      <c r="E48" s="869"/>
      <c r="F48" s="14"/>
      <c r="G48" s="30"/>
    </row>
    <row r="49" spans="1:8" ht="13">
      <c r="A49" s="109">
        <f>A46+1</f>
        <v>31</v>
      </c>
      <c r="B49" s="14"/>
      <c r="C49" s="22"/>
      <c r="D49" s="22"/>
      <c r="E49" s="651" t="s">
        <v>1814</v>
      </c>
      <c r="F49" s="33">
        <f>SUM(F34:F46)/13</f>
        <v>247703292.1676923</v>
      </c>
      <c r="G49" s="112" t="str">
        <f>"(Sum Line "&amp;A34&amp;" to Line "&amp;A46&amp;") / 13"</f>
        <v>(Sum Line 18 to Line 30) / 13</v>
      </c>
    </row>
    <row r="50" spans="1:8" ht="13">
      <c r="A50" s="109">
        <f>A49+1</f>
        <v>32</v>
      </c>
      <c r="B50" s="14"/>
      <c r="C50" s="22"/>
      <c r="D50" s="22"/>
      <c r="E50" s="495" t="s">
        <v>309</v>
      </c>
      <c r="F50" s="36">
        <f>'27-Allocators'!G15</f>
        <v>6.9804259326257695E-2</v>
      </c>
      <c r="G50" s="112" t="str">
        <f>"27-Allocators, Line "&amp;'27-Allocators'!A15&amp;""</f>
        <v>27-Allocators, Line 9</v>
      </c>
    </row>
    <row r="51" spans="1:8" ht="13">
      <c r="A51" s="109">
        <f>A50+1</f>
        <v>33</v>
      </c>
      <c r="B51" s="14"/>
      <c r="C51" s="22"/>
      <c r="D51" s="22"/>
      <c r="E51" s="870" t="s">
        <v>162</v>
      </c>
      <c r="F51" s="33">
        <f>F49*F50</f>
        <v>17290744.842441369</v>
      </c>
      <c r="G51" s="46" t="str">
        <f>"Line "&amp;A49&amp;" * Line "&amp;A50&amp;""</f>
        <v>Line 31 * Line 32</v>
      </c>
    </row>
    <row r="52" spans="1:8" ht="13">
      <c r="A52" s="14"/>
      <c r="B52" s="14"/>
      <c r="C52" s="22" t="s">
        <v>241</v>
      </c>
      <c r="D52" s="22"/>
      <c r="E52" s="504"/>
      <c r="F52" s="14"/>
      <c r="G52" s="35"/>
    </row>
    <row r="53" spans="1:8" ht="13">
      <c r="A53" s="109">
        <f>A51+1</f>
        <v>34</v>
      </c>
      <c r="B53" s="14"/>
      <c r="C53" s="22"/>
      <c r="D53" s="22"/>
      <c r="E53" s="34" t="s">
        <v>156</v>
      </c>
      <c r="F53" s="33">
        <f>F46</f>
        <v>280079123</v>
      </c>
      <c r="G53" s="35" t="str">
        <f>"Line "&amp;A46&amp;""</f>
        <v>Line 30</v>
      </c>
    </row>
    <row r="54" spans="1:8" ht="13">
      <c r="A54" s="109">
        <f>A53+1</f>
        <v>35</v>
      </c>
      <c r="B54" s="14"/>
      <c r="C54" s="22"/>
      <c r="D54" s="22"/>
      <c r="E54" s="34" t="s">
        <v>309</v>
      </c>
      <c r="F54" s="36">
        <f>'27-Allocators'!G15</f>
        <v>6.9804259326257695E-2</v>
      </c>
      <c r="G54" s="112" t="str">
        <f>"27-Allocators, Line "&amp;'27-Allocators'!A15&amp;""</f>
        <v>27-Allocators, Line 9</v>
      </c>
    </row>
    <row r="55" spans="1:8" ht="13">
      <c r="A55" s="109">
        <f>A54+1</f>
        <v>36</v>
      </c>
      <c r="B55" s="14"/>
      <c r="C55" s="22"/>
      <c r="D55" s="22"/>
      <c r="E55" s="32" t="s">
        <v>162</v>
      </c>
      <c r="F55" s="33">
        <f>F53*F54</f>
        <v>19550715.733762827</v>
      </c>
      <c r="G55" s="46" t="str">
        <f>"Line "&amp;A53&amp;" * Line "&amp;A54&amp;""</f>
        <v>Line 34 * Line 35</v>
      </c>
    </row>
    <row r="56" spans="1:8" ht="13">
      <c r="B56" s="51" t="s">
        <v>230</v>
      </c>
      <c r="C56" s="465"/>
      <c r="D56" s="463"/>
      <c r="E56" s="465"/>
      <c r="F56" s="463"/>
      <c r="G56" s="463"/>
    </row>
    <row r="57" spans="1:8">
      <c r="B57" s="463" t="s">
        <v>2300</v>
      </c>
      <c r="C57" s="465" t="str">
        <f>"Remove any amounts related to years prior to 2012 on "&amp;B62&amp;" and "&amp;B68&amp;" below."</f>
        <v>Remove any amounts related to years prior to 2012 on b and e below.</v>
      </c>
      <c r="D57" s="463"/>
      <c r="E57" s="465"/>
      <c r="F57" s="463"/>
      <c r="G57" s="463"/>
    </row>
    <row r="58" spans="1:8" ht="13">
      <c r="A58" s="2"/>
      <c r="B58" s="463"/>
      <c r="C58" s="465"/>
      <c r="D58" s="463"/>
      <c r="E58" s="842"/>
      <c r="F58" s="470"/>
      <c r="G58" s="467"/>
      <c r="H58" s="1"/>
    </row>
    <row r="59" spans="1:8" ht="13">
      <c r="A59" s="2"/>
      <c r="B59" s="463"/>
      <c r="C59" s="465" t="s">
        <v>2301</v>
      </c>
      <c r="D59" s="463"/>
      <c r="E59" s="842"/>
      <c r="F59" s="1038" t="s">
        <v>92</v>
      </c>
      <c r="G59" s="462"/>
    </row>
    <row r="60" spans="1:8" ht="13">
      <c r="A60" s="2"/>
      <c r="B60" s="463"/>
      <c r="C60" s="465"/>
      <c r="D60" s="463"/>
      <c r="E60" s="842"/>
      <c r="F60" s="619" t="s">
        <v>2</v>
      </c>
      <c r="G60" s="376" t="s">
        <v>179</v>
      </c>
    </row>
    <row r="61" spans="1:8" ht="13">
      <c r="A61" s="547"/>
      <c r="B61" s="549" t="s">
        <v>1667</v>
      </c>
      <c r="C61" s="1039"/>
      <c r="D61" s="463"/>
      <c r="E61" s="842" t="s">
        <v>2302</v>
      </c>
      <c r="F61" s="1046">
        <v>213194393</v>
      </c>
      <c r="G61" s="1037" t="s">
        <v>160</v>
      </c>
    </row>
    <row r="62" spans="1:8" ht="13">
      <c r="A62" s="547"/>
      <c r="B62" s="549" t="s">
        <v>1668</v>
      </c>
      <c r="C62" s="465"/>
      <c r="D62" s="463"/>
      <c r="E62" s="842" t="s">
        <v>2303</v>
      </c>
      <c r="F62" s="115">
        <v>0</v>
      </c>
      <c r="G62" s="467" t="s">
        <v>359</v>
      </c>
    </row>
    <row r="63" spans="1:8" ht="13">
      <c r="A63" s="547"/>
      <c r="B63" s="549" t="s">
        <v>1669</v>
      </c>
      <c r="C63" s="465"/>
      <c r="D63" s="463"/>
      <c r="E63" s="842" t="s">
        <v>2304</v>
      </c>
      <c r="F63" s="477">
        <f>F61-F62</f>
        <v>213194393</v>
      </c>
      <c r="G63" s="462" t="str">
        <f>""&amp;B61&amp;" - "&amp;B62&amp;""</f>
        <v>a - b</v>
      </c>
    </row>
    <row r="64" spans="1:8" ht="13">
      <c r="A64" s="547"/>
      <c r="B64" s="463"/>
      <c r="C64" s="465"/>
      <c r="D64" s="463"/>
      <c r="E64" s="465"/>
      <c r="F64" s="463"/>
      <c r="G64" s="463"/>
    </row>
    <row r="65" spans="1:7" ht="13">
      <c r="A65" s="547"/>
      <c r="B65" s="463"/>
      <c r="C65" s="465" t="s">
        <v>2305</v>
      </c>
      <c r="D65" s="463"/>
      <c r="E65" s="842"/>
      <c r="F65" s="1038" t="s">
        <v>92</v>
      </c>
      <c r="G65" s="462"/>
    </row>
    <row r="66" spans="1:7" ht="13">
      <c r="A66" s="547"/>
      <c r="B66" s="463"/>
      <c r="C66" s="465"/>
      <c r="D66" s="463"/>
      <c r="E66" s="842"/>
      <c r="F66" s="619" t="s">
        <v>2</v>
      </c>
      <c r="G66" s="376" t="s">
        <v>179</v>
      </c>
    </row>
    <row r="67" spans="1:7" ht="13">
      <c r="A67" s="547"/>
      <c r="B67" s="549" t="s">
        <v>1670</v>
      </c>
      <c r="C67" s="1039"/>
      <c r="D67" s="463"/>
      <c r="E67" s="842" t="s">
        <v>2302</v>
      </c>
      <c r="F67" s="1046">
        <v>280079123</v>
      </c>
      <c r="G67" s="1037" t="s">
        <v>161</v>
      </c>
    </row>
    <row r="68" spans="1:7" ht="13">
      <c r="A68" s="547"/>
      <c r="B68" s="549" t="s">
        <v>1671</v>
      </c>
      <c r="C68" s="465"/>
      <c r="D68" s="463"/>
      <c r="E68" s="842" t="s">
        <v>2303</v>
      </c>
      <c r="F68" s="115">
        <v>0</v>
      </c>
      <c r="G68" s="467" t="s">
        <v>359</v>
      </c>
    </row>
    <row r="69" spans="1:7" ht="13">
      <c r="A69" s="547"/>
      <c r="B69" s="549" t="s">
        <v>1672</v>
      </c>
      <c r="C69" s="465"/>
      <c r="D69" s="465"/>
      <c r="E69" s="842" t="s">
        <v>2306</v>
      </c>
      <c r="F69" s="477">
        <f>F67-F68</f>
        <v>280079123</v>
      </c>
      <c r="G69" s="462" t="str">
        <f>""&amp;B67&amp;" - "&amp;B68&amp;""</f>
        <v>d - e</v>
      </c>
    </row>
    <row r="73" spans="1:7">
      <c r="F73" s="548"/>
    </row>
  </sheetData>
  <phoneticPr fontId="23" type="noConversion"/>
  <pageMargins left="0.75" right="0.75" top="1" bottom="1" header="0.5" footer="0.5"/>
  <pageSetup scale="73" orientation="portrait" cellComments="asDisplayed" r:id="rId1"/>
  <headerFooter alignWithMargins="0">
    <oddHeader>&amp;CSchedule 13
Working Capital
&amp;RTO2022 Draft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5"/>
  <cols>
    <col min="1" max="1" width="2.54296875" customWidth="1"/>
    <col min="2" max="2" width="18.54296875" customWidth="1"/>
    <col min="3" max="3" width="10.54296875" customWidth="1"/>
    <col min="4" max="4" width="66.54296875" customWidth="1"/>
  </cols>
  <sheetData>
    <row r="1" spans="1:4" ht="13">
      <c r="A1" s="1" t="s">
        <v>1123</v>
      </c>
      <c r="C1" s="1"/>
    </row>
    <row r="3" spans="1:4" ht="13">
      <c r="B3" s="3" t="s">
        <v>1124</v>
      </c>
      <c r="C3" s="3" t="s">
        <v>1192</v>
      </c>
      <c r="D3" s="376" t="s">
        <v>519</v>
      </c>
    </row>
    <row r="4" spans="1:4">
      <c r="B4" s="364" t="s">
        <v>1078</v>
      </c>
      <c r="C4" s="61"/>
      <c r="D4" s="12" t="s">
        <v>1126</v>
      </c>
    </row>
    <row r="5" spans="1:4">
      <c r="B5" s="568" t="s">
        <v>1125</v>
      </c>
      <c r="C5" s="61">
        <v>1</v>
      </c>
      <c r="D5" s="463" t="s">
        <v>2148</v>
      </c>
    </row>
    <row r="6" spans="1:4">
      <c r="B6" s="568" t="s">
        <v>1089</v>
      </c>
      <c r="C6" s="61">
        <v>2</v>
      </c>
      <c r="D6" s="12" t="s">
        <v>1133</v>
      </c>
    </row>
    <row r="7" spans="1:4">
      <c r="B7" s="568" t="s">
        <v>1090</v>
      </c>
      <c r="C7" s="61">
        <v>3</v>
      </c>
      <c r="D7" s="12" t="s">
        <v>1134</v>
      </c>
    </row>
    <row r="8" spans="1:4">
      <c r="B8" s="568" t="s">
        <v>1481</v>
      </c>
      <c r="C8" s="61">
        <v>4</v>
      </c>
      <c r="D8" s="463" t="s">
        <v>1482</v>
      </c>
    </row>
    <row r="9" spans="1:4">
      <c r="B9" s="568" t="s">
        <v>1079</v>
      </c>
      <c r="C9" s="61">
        <v>5</v>
      </c>
      <c r="D9" s="12" t="s">
        <v>1127</v>
      </c>
    </row>
    <row r="10" spans="1:4">
      <c r="B10" s="568" t="s">
        <v>1082</v>
      </c>
      <c r="C10" s="61">
        <v>6</v>
      </c>
      <c r="D10" s="12" t="s">
        <v>1130</v>
      </c>
    </row>
    <row r="11" spans="1:4">
      <c r="B11" s="568" t="s">
        <v>1083</v>
      </c>
      <c r="C11" s="61">
        <v>7</v>
      </c>
      <c r="D11" s="12" t="s">
        <v>1428</v>
      </c>
    </row>
    <row r="12" spans="1:4">
      <c r="B12" s="568" t="s">
        <v>1092</v>
      </c>
      <c r="C12" s="61">
        <v>8</v>
      </c>
      <c r="D12" s="12" t="s">
        <v>1135</v>
      </c>
    </row>
    <row r="13" spans="1:4">
      <c r="B13" s="568" t="s">
        <v>201</v>
      </c>
      <c r="C13" s="61">
        <v>9</v>
      </c>
      <c r="D13" s="12" t="s">
        <v>98</v>
      </c>
    </row>
    <row r="14" spans="1:4">
      <c r="B14" s="568" t="s">
        <v>1</v>
      </c>
      <c r="C14" s="61">
        <v>10</v>
      </c>
      <c r="D14" s="463" t="s">
        <v>2149</v>
      </c>
    </row>
    <row r="15" spans="1:4">
      <c r="B15" s="568" t="s">
        <v>1084</v>
      </c>
      <c r="C15" s="61">
        <v>11</v>
      </c>
      <c r="D15" s="12" t="s">
        <v>1178</v>
      </c>
    </row>
    <row r="16" spans="1:4">
      <c r="B16" s="568" t="s">
        <v>1085</v>
      </c>
      <c r="C16" s="61">
        <v>12</v>
      </c>
      <c r="D16" s="12" t="s">
        <v>1131</v>
      </c>
    </row>
    <row r="17" spans="2:4">
      <c r="B17" s="568" t="s">
        <v>1091</v>
      </c>
      <c r="C17" s="61">
        <v>13</v>
      </c>
      <c r="D17" s="12" t="s">
        <v>1145</v>
      </c>
    </row>
    <row r="18" spans="2:4">
      <c r="B18" s="568" t="s">
        <v>1086</v>
      </c>
      <c r="C18" s="61">
        <v>14</v>
      </c>
      <c r="D18" s="12" t="s">
        <v>1132</v>
      </c>
    </row>
    <row r="19" spans="2:4">
      <c r="B19" s="568" t="s">
        <v>1087</v>
      </c>
      <c r="C19" s="61">
        <v>15</v>
      </c>
      <c r="D19" s="463" t="s">
        <v>1675</v>
      </c>
    </row>
    <row r="20" spans="2:4">
      <c r="B20" s="568" t="s">
        <v>1088</v>
      </c>
      <c r="C20" s="61">
        <v>16</v>
      </c>
      <c r="D20" s="12" t="s">
        <v>1185</v>
      </c>
    </row>
    <row r="21" spans="2:4">
      <c r="B21" s="568" t="s">
        <v>1080</v>
      </c>
      <c r="C21" s="61">
        <v>17</v>
      </c>
      <c r="D21" s="12" t="s">
        <v>1128</v>
      </c>
    </row>
    <row r="22" spans="2:4">
      <c r="B22" s="568" t="s">
        <v>1081</v>
      </c>
      <c r="C22" s="61">
        <v>18</v>
      </c>
      <c r="D22" s="12" t="s">
        <v>1129</v>
      </c>
    </row>
    <row r="23" spans="2:4">
      <c r="B23" s="568" t="s">
        <v>1093</v>
      </c>
      <c r="C23" s="61">
        <v>19</v>
      </c>
      <c r="D23" s="12" t="s">
        <v>1136</v>
      </c>
    </row>
    <row r="24" spans="2:4">
      <c r="B24" s="568" t="s">
        <v>1094</v>
      </c>
      <c r="C24" s="61">
        <v>20</v>
      </c>
      <c r="D24" s="463" t="s">
        <v>280</v>
      </c>
    </row>
    <row r="25" spans="2:4">
      <c r="B25" s="568" t="s">
        <v>1102</v>
      </c>
      <c r="C25" s="61">
        <v>21</v>
      </c>
      <c r="D25" s="12" t="s">
        <v>1137</v>
      </c>
    </row>
    <row r="26" spans="2:4">
      <c r="B26" s="568" t="s">
        <v>1103</v>
      </c>
      <c r="C26" s="61">
        <v>22</v>
      </c>
      <c r="D26" s="12" t="s">
        <v>1184</v>
      </c>
    </row>
    <row r="27" spans="2:4">
      <c r="B27" s="568" t="s">
        <v>1104</v>
      </c>
      <c r="C27" s="61">
        <v>23</v>
      </c>
      <c r="D27" s="12" t="s">
        <v>1138</v>
      </c>
    </row>
    <row r="28" spans="2:4" ht="12.75" customHeight="1">
      <c r="B28" s="568" t="s">
        <v>1415</v>
      </c>
      <c r="C28" s="61">
        <v>24</v>
      </c>
      <c r="D28" s="12" t="s">
        <v>1416</v>
      </c>
    </row>
    <row r="29" spans="2:4">
      <c r="B29" s="568" t="s">
        <v>1356</v>
      </c>
      <c r="C29" s="61">
        <v>25</v>
      </c>
      <c r="D29" s="12" t="s">
        <v>1357</v>
      </c>
    </row>
    <row r="30" spans="2:4">
      <c r="B30" s="568" t="s">
        <v>1107</v>
      </c>
      <c r="C30" s="61">
        <v>26</v>
      </c>
      <c r="D30" s="12" t="s">
        <v>1139</v>
      </c>
    </row>
    <row r="31" spans="2:4">
      <c r="B31" s="568" t="s">
        <v>1106</v>
      </c>
      <c r="C31" s="61">
        <v>27</v>
      </c>
      <c r="D31" s="12" t="s">
        <v>202</v>
      </c>
    </row>
    <row r="32" spans="2:4">
      <c r="B32" s="568" t="s">
        <v>1105</v>
      </c>
      <c r="C32" s="61">
        <v>28</v>
      </c>
      <c r="D32" s="12" t="s">
        <v>1140</v>
      </c>
    </row>
    <row r="33" spans="2:4">
      <c r="B33" s="568" t="s">
        <v>1108</v>
      </c>
      <c r="C33" s="61">
        <v>29</v>
      </c>
      <c r="D33" s="12" t="s">
        <v>1141</v>
      </c>
    </row>
    <row r="34" spans="2:4">
      <c r="B34" s="568" t="s">
        <v>1109</v>
      </c>
      <c r="C34" s="61">
        <v>30</v>
      </c>
      <c r="D34" s="12" t="s">
        <v>1186</v>
      </c>
    </row>
    <row r="35" spans="2:4">
      <c r="B35" s="568" t="s">
        <v>1110</v>
      </c>
      <c r="C35" s="61">
        <v>31</v>
      </c>
      <c r="D35" s="12" t="s">
        <v>1142</v>
      </c>
    </row>
    <row r="36" spans="2:4">
      <c r="B36" s="568" t="s">
        <v>1111</v>
      </c>
      <c r="C36" s="61">
        <v>32</v>
      </c>
      <c r="D36" s="12" t="s">
        <v>1143</v>
      </c>
    </row>
    <row r="37" spans="2:4">
      <c r="B37" s="568" t="s">
        <v>1112</v>
      </c>
      <c r="C37" s="454">
        <v>33</v>
      </c>
      <c r="D37" s="12" t="s">
        <v>1144</v>
      </c>
    </row>
    <row r="38" spans="2:4">
      <c r="B38" s="568" t="s">
        <v>1953</v>
      </c>
      <c r="C38" s="838">
        <v>34</v>
      </c>
      <c r="D38" s="465" t="s">
        <v>1976</v>
      </c>
    </row>
    <row r="39" spans="2:4">
      <c r="B39" s="12"/>
    </row>
    <row r="40" spans="2:4">
      <c r="B40" s="12"/>
    </row>
    <row r="41" spans="2:4">
      <c r="B41" s="12"/>
    </row>
    <row r="42" spans="2:4">
      <c r="B42" s="12"/>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Print_Area" display="Unfunded Reserves" xr:uid="{00000000-0004-0000-0100-000022000000}"/>
  </hyperlinks>
  <pageMargins left="0.7" right="0.7" top="0.75" bottom="0.75" header="0.3" footer="0.3"/>
  <pageSetup scale="90" orientation="portrait" cellComments="asDisplayed" r:id="rId1"/>
  <headerFooter>
    <oddHeader>&amp;RTO2022 Draft Annual Update 
Attachment 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40"/>
  <sheetViews>
    <sheetView zoomScaleNormal="100" zoomScalePageLayoutView="80" workbookViewId="0"/>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244</v>
      </c>
    </row>
    <row r="2" spans="1:10" ht="13">
      <c r="A2" s="1" t="s">
        <v>245</v>
      </c>
      <c r="E2" s="68" t="s">
        <v>2531</v>
      </c>
      <c r="F2" s="1488" t="s">
        <v>2736</v>
      </c>
      <c r="G2" s="96"/>
    </row>
    <row r="3" spans="1:10" ht="13">
      <c r="B3" s="1"/>
      <c r="H3" s="184" t="s">
        <v>246</v>
      </c>
      <c r="I3" s="96"/>
      <c r="J3" s="56"/>
    </row>
    <row r="4" spans="1:10" ht="13">
      <c r="B4" s="1" t="s">
        <v>247</v>
      </c>
      <c r="H4" s="1124"/>
    </row>
    <row r="5" spans="1:10" ht="13">
      <c r="B5" s="55" t="s">
        <v>248</v>
      </c>
    </row>
    <row r="6" spans="1:10" ht="13">
      <c r="B6" s="55" t="s">
        <v>297</v>
      </c>
    </row>
    <row r="7" spans="1:10" ht="13">
      <c r="B7" s="102" t="s">
        <v>991</v>
      </c>
    </row>
    <row r="8" spans="1:10" ht="13">
      <c r="B8" s="102" t="s">
        <v>1483</v>
      </c>
    </row>
    <row r="9" spans="1:10" ht="13">
      <c r="B9" s="102" t="s">
        <v>1484</v>
      </c>
      <c r="D9" s="1"/>
      <c r="E9" s="1"/>
    </row>
    <row r="10" spans="1:10" ht="13">
      <c r="B10" s="55"/>
    </row>
    <row r="11" spans="1:10" ht="13">
      <c r="B11" s="55"/>
      <c r="C11" s="12" t="s">
        <v>355</v>
      </c>
    </row>
    <row r="12" spans="1:10" ht="13">
      <c r="B12" s="55"/>
      <c r="C12" s="467" t="s">
        <v>1486</v>
      </c>
    </row>
    <row r="13" spans="1:10" ht="13">
      <c r="B13" s="55"/>
      <c r="C13" s="462" t="s">
        <v>1764</v>
      </c>
      <c r="D13" s="14"/>
      <c r="E13" s="14"/>
      <c r="F13" s="14"/>
      <c r="G13" s="14"/>
      <c r="H13" s="14"/>
      <c r="I13" s="14"/>
    </row>
    <row r="14" spans="1:10" ht="13">
      <c r="B14" s="55"/>
      <c r="C14" s="462" t="s">
        <v>1487</v>
      </c>
      <c r="D14" s="14"/>
      <c r="E14" s="14"/>
      <c r="F14" s="14"/>
      <c r="G14" s="14"/>
      <c r="H14" s="14"/>
      <c r="I14" s="14"/>
    </row>
    <row r="15" spans="1:10" ht="13">
      <c r="B15" s="55"/>
      <c r="C15" s="845" t="s">
        <v>1488</v>
      </c>
      <c r="D15" s="14"/>
      <c r="E15" s="14"/>
      <c r="F15" s="14"/>
      <c r="G15" s="14"/>
      <c r="H15" s="14"/>
      <c r="I15" s="14"/>
    </row>
    <row r="16" spans="1:10" ht="13">
      <c r="B16" s="55"/>
      <c r="C16" s="462" t="s">
        <v>1490</v>
      </c>
      <c r="D16" s="14"/>
      <c r="E16" s="14"/>
      <c r="F16" s="14"/>
      <c r="G16" s="14"/>
      <c r="H16" s="14"/>
      <c r="I16" s="14"/>
    </row>
    <row r="17" spans="1:10" ht="13">
      <c r="B17" s="55"/>
      <c r="C17" s="462" t="s">
        <v>1489</v>
      </c>
      <c r="D17" s="14"/>
      <c r="E17" s="14"/>
      <c r="F17" s="14"/>
      <c r="G17" s="14"/>
      <c r="H17" s="14"/>
      <c r="I17" s="14"/>
    </row>
    <row r="18" spans="1:10" ht="13">
      <c r="B18" s="55"/>
      <c r="C18" s="46"/>
      <c r="D18" s="14"/>
      <c r="E18" s="14"/>
      <c r="F18" s="14"/>
      <c r="G18" s="14"/>
      <c r="H18" s="14"/>
      <c r="I18" s="14"/>
    </row>
    <row r="19" spans="1:10" ht="13">
      <c r="C19" s="44" t="s">
        <v>990</v>
      </c>
      <c r="D19" s="14"/>
      <c r="E19" s="14"/>
      <c r="F19" s="14"/>
      <c r="G19" s="14"/>
      <c r="H19" s="14"/>
      <c r="I19" s="14"/>
    </row>
    <row r="20" spans="1:10" ht="13">
      <c r="C20" s="44"/>
      <c r="D20" s="14"/>
      <c r="E20" s="122" t="s">
        <v>358</v>
      </c>
      <c r="F20" s="122" t="s">
        <v>342</v>
      </c>
      <c r="G20" s="122" t="s">
        <v>343</v>
      </c>
      <c r="H20" s="14"/>
      <c r="I20" s="14"/>
    </row>
    <row r="21" spans="1:10" ht="13">
      <c r="B21" s="1"/>
      <c r="C21" s="14"/>
      <c r="D21" s="14"/>
      <c r="E21" s="14"/>
      <c r="F21" s="109" t="s">
        <v>63</v>
      </c>
      <c r="G21" s="109" t="s">
        <v>18</v>
      </c>
      <c r="H21" s="14"/>
      <c r="I21" s="14"/>
    </row>
    <row r="22" spans="1:10" ht="13">
      <c r="B22" s="1"/>
      <c r="C22" s="14"/>
      <c r="D22" s="14"/>
      <c r="E22" s="109" t="s">
        <v>63</v>
      </c>
      <c r="F22" s="854" t="s">
        <v>228</v>
      </c>
      <c r="G22" s="109" t="s">
        <v>296</v>
      </c>
      <c r="H22" s="14"/>
      <c r="I22" s="14"/>
    </row>
    <row r="23" spans="1:10" ht="13">
      <c r="B23" s="1"/>
      <c r="C23" s="15"/>
      <c r="D23" s="14"/>
      <c r="E23" s="109" t="s">
        <v>227</v>
      </c>
      <c r="F23" s="109" t="s">
        <v>229</v>
      </c>
      <c r="G23" s="109" t="s">
        <v>1</v>
      </c>
      <c r="H23" s="14"/>
      <c r="I23" s="14"/>
    </row>
    <row r="24" spans="1:10" ht="13">
      <c r="B24" s="1"/>
      <c r="C24" s="109" t="s">
        <v>8</v>
      </c>
      <c r="D24" s="14"/>
      <c r="E24" s="109" t="s">
        <v>240</v>
      </c>
      <c r="F24" s="109" t="s">
        <v>240</v>
      </c>
      <c r="G24" s="854" t="s">
        <v>10</v>
      </c>
      <c r="H24" s="14"/>
      <c r="I24" s="14"/>
    </row>
    <row r="25" spans="1:10" ht="13">
      <c r="A25" s="51" t="s">
        <v>329</v>
      </c>
      <c r="B25" s="1"/>
      <c r="C25" s="122" t="s">
        <v>224</v>
      </c>
      <c r="D25" s="14"/>
      <c r="E25" s="122" t="s">
        <v>175</v>
      </c>
      <c r="F25" s="122" t="s">
        <v>175</v>
      </c>
      <c r="G25" s="122" t="s">
        <v>175</v>
      </c>
      <c r="H25" s="122" t="s">
        <v>230</v>
      </c>
      <c r="I25" s="108"/>
      <c r="J25" s="50"/>
    </row>
    <row r="26" spans="1:10" ht="13">
      <c r="A26" s="2">
        <v>1</v>
      </c>
      <c r="B26" s="1"/>
      <c r="C26" s="15" t="s">
        <v>336</v>
      </c>
      <c r="D26" s="14"/>
      <c r="E26" s="63">
        <f>'10-CWIP'!E25</f>
        <v>160227</v>
      </c>
      <c r="F26" s="63">
        <f>'10-CWIP'!E26</f>
        <v>158247.98461538463</v>
      </c>
      <c r="G26" s="63">
        <f>'10-CWIP'!K113</f>
        <v>7624571.0523076914</v>
      </c>
      <c r="H26" s="46" t="str">
        <f>"10-CWIP Lines "&amp;'10-CWIP'!A25&amp;", "&amp;'10-CWIP'!A26&amp;", and "&amp;'10-CWIP'!A113&amp;""</f>
        <v>10-CWIP Lines 13, 14, and 80</v>
      </c>
      <c r="I26" s="14"/>
    </row>
    <row r="27" spans="1:10" ht="13">
      <c r="A27" s="2">
        <f t="shared" ref="A27:A38" si="0">A26+1</f>
        <v>2</v>
      </c>
      <c r="B27" s="1"/>
      <c r="C27" s="15" t="s">
        <v>337</v>
      </c>
      <c r="D27" s="14"/>
      <c r="E27" s="63">
        <f>'10-CWIP'!F25</f>
        <v>0</v>
      </c>
      <c r="F27" s="63">
        <f>'10-CWIP'!F26</f>
        <v>0</v>
      </c>
      <c r="G27" s="63">
        <f>'10-CWIP'!K146</f>
        <v>0</v>
      </c>
      <c r="H27" s="46" t="str">
        <f>"10-CWIP Lines "&amp;'10-CWIP'!A25&amp;", "&amp;'10-CWIP'!A26&amp;", and "&amp;'10-CWIP'!A146&amp;""</f>
        <v>10-CWIP Lines 13, 14, and 106</v>
      </c>
      <c r="I27" s="14"/>
    </row>
    <row r="28" spans="1:10" ht="13">
      <c r="A28" s="2">
        <f t="shared" si="0"/>
        <v>3</v>
      </c>
      <c r="B28" s="1"/>
      <c r="C28" s="465" t="s">
        <v>2331</v>
      </c>
      <c r="D28" s="14"/>
      <c r="E28" s="63">
        <f>'10-CWIP'!G25</f>
        <v>5772572.9199999999</v>
      </c>
      <c r="F28" s="63">
        <f>'10-CWIP'!G26</f>
        <v>5634482.1292307684</v>
      </c>
      <c r="G28" s="63">
        <f>'10-CWIP'!K179</f>
        <v>2437769.2307692319</v>
      </c>
      <c r="H28" s="46" t="str">
        <f>"10-CWIP Lines "&amp;'10-CWIP'!A25&amp;", "&amp;'10-CWIP'!A26&amp;", and "&amp;'10-CWIP'!A179&amp;""</f>
        <v>10-CWIP Lines 13, 14, and 132</v>
      </c>
      <c r="I28" s="14"/>
    </row>
    <row r="29" spans="1:10" ht="13">
      <c r="A29" s="2">
        <f t="shared" si="0"/>
        <v>4</v>
      </c>
      <c r="B29" s="1"/>
      <c r="C29" s="465" t="s">
        <v>2332</v>
      </c>
      <c r="D29" s="14"/>
      <c r="E29" s="63">
        <f>'10-CWIP'!H25</f>
        <v>650835316.65999997</v>
      </c>
      <c r="F29" s="63">
        <f>'10-CWIP'!H26</f>
        <v>561949690.21384621</v>
      </c>
      <c r="G29" s="63">
        <f>'10-CWIP'!K212</f>
        <v>-650835316.65999985</v>
      </c>
      <c r="H29" s="46" t="str">
        <f>"10-CWIP Lines "&amp;'10-CWIP'!A25&amp;", "&amp;'10-CWIP'!A26&amp;", and "&amp;'10-CWIP'!A212&amp;""</f>
        <v>10-CWIP Lines 13, 14, and 158</v>
      </c>
      <c r="I29" s="14"/>
    </row>
    <row r="30" spans="1:10" ht="13">
      <c r="A30" s="2">
        <f t="shared" si="0"/>
        <v>5</v>
      </c>
      <c r="B30" s="1"/>
      <c r="C30" s="15" t="s">
        <v>996</v>
      </c>
      <c r="D30" s="14"/>
      <c r="E30" s="63">
        <f>'10-CWIP'!I25</f>
        <v>0</v>
      </c>
      <c r="F30" s="63">
        <f>'10-CWIP'!I26</f>
        <v>0</v>
      </c>
      <c r="G30" s="63">
        <f>'10-CWIP'!K245</f>
        <v>0</v>
      </c>
      <c r="H30" s="46" t="str">
        <f>"10-CWIP Lines "&amp;'10-CWIP'!A25&amp;", "&amp;'10-CWIP'!A26&amp;", and "&amp;'10-CWIP'!A245&amp;""</f>
        <v>10-CWIP Lines 13, 14, and 184</v>
      </c>
      <c r="I30" s="14"/>
    </row>
    <row r="31" spans="1:10" ht="13">
      <c r="A31" s="2">
        <f t="shared" si="0"/>
        <v>6</v>
      </c>
      <c r="B31" s="1"/>
      <c r="C31" s="15" t="s">
        <v>997</v>
      </c>
      <c r="D31" s="14"/>
      <c r="E31" s="63">
        <f>'10-CWIP'!D45</f>
        <v>0</v>
      </c>
      <c r="F31" s="63">
        <f>'10-CWIP'!D46</f>
        <v>0</v>
      </c>
      <c r="G31" s="63">
        <f>'10-CWIP'!K278</f>
        <v>0</v>
      </c>
      <c r="H31" s="46" t="str">
        <f>"10-CWIP Lines "&amp;'10-CWIP'!A45&amp;", "&amp;'10-CWIP'!A46&amp;", and "&amp;'10-CWIP'!A278&amp;""</f>
        <v>10-CWIP Lines 27, 28, and 210</v>
      </c>
      <c r="I31" s="14"/>
    </row>
    <row r="32" spans="1:10" ht="13">
      <c r="A32" s="2">
        <f t="shared" si="0"/>
        <v>7</v>
      </c>
      <c r="B32" s="1"/>
      <c r="C32" s="15" t="s">
        <v>998</v>
      </c>
      <c r="D32" s="14"/>
      <c r="E32" s="63">
        <f>'10-CWIP'!E45</f>
        <v>5327831.78</v>
      </c>
      <c r="F32" s="63">
        <f>'10-CWIP'!E46</f>
        <v>1882516.0330769231</v>
      </c>
      <c r="G32" s="63">
        <f>'10-CWIP'!K311</f>
        <v>-5327831.7800000021</v>
      </c>
      <c r="H32" s="46" t="str">
        <f>"10-CWIP Lines "&amp;'10-CWIP'!A45&amp;", "&amp;'10-CWIP'!A46&amp;", and "&amp;'10-CWIP'!A311&amp;""</f>
        <v>10-CWIP Lines 27, 28, and 236</v>
      </c>
      <c r="I32" s="14"/>
    </row>
    <row r="33" spans="1:10" ht="13">
      <c r="A33" s="2">
        <f t="shared" si="0"/>
        <v>8</v>
      </c>
      <c r="B33" s="1"/>
      <c r="C33" s="465" t="s">
        <v>2420</v>
      </c>
      <c r="D33" s="14"/>
      <c r="E33" s="63">
        <f>'10-CWIP'!F45</f>
        <v>130044184.2</v>
      </c>
      <c r="F33" s="63">
        <f>'10-CWIP'!F46</f>
        <v>82731749.68923077</v>
      </c>
      <c r="G33" s="63">
        <f>'10-CWIP'!K344</f>
        <v>-127003605.75269237</v>
      </c>
      <c r="H33" s="46" t="str">
        <f>"10-CWIP Lines "&amp;'10-CWIP'!A45&amp;", "&amp;'10-CWIP'!A46&amp;", and "&amp;'10-CWIP'!A344&amp;""</f>
        <v>10-CWIP Lines 27, 28, and 262</v>
      </c>
      <c r="I33" s="14"/>
    </row>
    <row r="34" spans="1:10" ht="13">
      <c r="A34" s="2">
        <f t="shared" si="0"/>
        <v>9</v>
      </c>
      <c r="B34" s="1"/>
      <c r="C34" s="465" t="s">
        <v>2421</v>
      </c>
      <c r="D34" s="14"/>
      <c r="E34" s="63">
        <f>'10-CWIP'!G45</f>
        <v>23818399.359999999</v>
      </c>
      <c r="F34" s="63">
        <f>'10-CWIP'!G46</f>
        <v>22821065.029999997</v>
      </c>
      <c r="G34" s="63">
        <f>'10-CWIP'!K377</f>
        <v>1577239.0467230794</v>
      </c>
      <c r="H34" s="46" t="str">
        <f>"10-CWIP Lines "&amp;'10-CWIP'!A45&amp;", "&amp;'10-CWIP'!A46&amp;", and "&amp;'10-CWIP'!A377&amp;""</f>
        <v>10-CWIP Lines 27, 28, and 288</v>
      </c>
      <c r="I34" s="14"/>
    </row>
    <row r="35" spans="1:10" ht="13">
      <c r="A35" s="2">
        <f t="shared" si="0"/>
        <v>10</v>
      </c>
      <c r="B35" s="1"/>
      <c r="C35" s="465" t="s">
        <v>2422</v>
      </c>
      <c r="E35" s="63">
        <f>'10-CWIP'!H45</f>
        <v>134608216.12</v>
      </c>
      <c r="F35" s="63">
        <f>'10-CWIP'!H46</f>
        <v>111791646.83615384</v>
      </c>
      <c r="G35" s="63">
        <f>'10-CWIP'!K410</f>
        <v>-91657226.751538485</v>
      </c>
      <c r="H35" s="46" t="str">
        <f>"10-CWIP Lines "&amp;'10-CWIP'!A45&amp;", "&amp;'10-CWIP'!A46&amp;", and "&amp;'10-CWIP'!A410&amp;""</f>
        <v>10-CWIP Lines 27, 28, and 314</v>
      </c>
      <c r="I35" s="14"/>
      <c r="J35" s="14"/>
    </row>
    <row r="36" spans="1:10" s="955" customFormat="1" ht="13">
      <c r="A36" s="549">
        <f t="shared" si="0"/>
        <v>11</v>
      </c>
      <c r="B36" s="1"/>
      <c r="C36" s="465" t="s">
        <v>2737</v>
      </c>
      <c r="D36" s="14"/>
      <c r="E36" s="63">
        <f>'10-CWIP'!I45</f>
        <v>23607954.079999998</v>
      </c>
      <c r="F36" s="63">
        <f>'10-CWIP'!I46</f>
        <v>5363187.307692308</v>
      </c>
      <c r="G36" s="63">
        <f>'10-CWIP'!K443</f>
        <v>43070582.672003858</v>
      </c>
      <c r="H36" s="46" t="str">
        <f>"10-CWIP Lines "&amp;'10-CWIP'!A45&amp;", "&amp;'10-CWIP'!A46&amp;", and "&amp;'10-CWIP'!A443&amp;""</f>
        <v>10-CWIP Lines 27, 28, and 340</v>
      </c>
      <c r="I36" s="14"/>
      <c r="J36" s="14"/>
    </row>
    <row r="37" spans="1:10" ht="13">
      <c r="A37" s="549">
        <f t="shared" si="0"/>
        <v>12</v>
      </c>
      <c r="B37" s="1"/>
      <c r="C37" s="524" t="s">
        <v>504</v>
      </c>
      <c r="D37" s="96"/>
      <c r="E37" s="871" t="str">
        <f>'10-CWIP'!J46</f>
        <v>---</v>
      </c>
      <c r="F37" s="871" t="str">
        <f>'10-CWIP'!J46</f>
        <v>---</v>
      </c>
      <c r="G37" s="63">
        <f>'10-CWIP'!K476</f>
        <v>0</v>
      </c>
      <c r="H37" s="46" t="str">
        <f>"10-CWIP Lines "&amp;'10-CWIP'!A45&amp;", "&amp;'10-CWIP'!A46&amp;", and "&amp;'10-CWIP'!A476&amp;""</f>
        <v>10-CWIP Lines 27, 28, and 366</v>
      </c>
      <c r="I37" s="14"/>
    </row>
    <row r="38" spans="1:10" ht="13">
      <c r="A38" s="549">
        <f t="shared" si="0"/>
        <v>13</v>
      </c>
      <c r="B38" s="1"/>
      <c r="D38" s="79" t="s">
        <v>197</v>
      </c>
      <c r="E38" s="7">
        <f>SUM(E26:E37)</f>
        <v>974174702.12</v>
      </c>
      <c r="F38" s="7">
        <f>SUM(F26:F37)</f>
        <v>792332585.2238462</v>
      </c>
      <c r="G38" s="7">
        <f>SUM(G26:G37)</f>
        <v>-820113818.9424268</v>
      </c>
      <c r="H38" s="52"/>
    </row>
    <row r="39" spans="1:10" ht="13">
      <c r="B39" s="1"/>
    </row>
    <row r="40" spans="1:10" ht="13">
      <c r="B40" s="1"/>
      <c r="C40" s="1" t="s">
        <v>1239</v>
      </c>
    </row>
    <row r="41" spans="1:10" ht="13">
      <c r="B41" s="1"/>
      <c r="C41" s="1"/>
    </row>
    <row r="42" spans="1:10" ht="13">
      <c r="B42" s="1"/>
      <c r="E42" s="3" t="s">
        <v>358</v>
      </c>
      <c r="F42" s="3" t="s">
        <v>342</v>
      </c>
      <c r="G42" s="3" t="s">
        <v>343</v>
      </c>
    </row>
    <row r="43" spans="1:10" ht="13">
      <c r="B43" s="1"/>
      <c r="E43" s="525" t="s">
        <v>1461</v>
      </c>
      <c r="F43" s="3"/>
      <c r="G43" s="3"/>
    </row>
    <row r="44" spans="1:10" ht="13">
      <c r="B44" s="1"/>
      <c r="E44" s="2" t="s">
        <v>63</v>
      </c>
      <c r="F44" s="2" t="s">
        <v>299</v>
      </c>
      <c r="G44" s="2" t="s">
        <v>299</v>
      </c>
    </row>
    <row r="45" spans="1:10" ht="13">
      <c r="B45" s="1"/>
      <c r="E45" s="2" t="s">
        <v>8</v>
      </c>
      <c r="F45" s="2" t="s">
        <v>1</v>
      </c>
      <c r="G45" s="2" t="s">
        <v>298</v>
      </c>
    </row>
    <row r="46" spans="1:10" ht="13">
      <c r="B46" s="1"/>
      <c r="E46" s="3" t="s">
        <v>173</v>
      </c>
      <c r="F46" s="3" t="s">
        <v>249</v>
      </c>
      <c r="G46" s="3" t="s">
        <v>3</v>
      </c>
      <c r="H46" s="3" t="s">
        <v>230</v>
      </c>
    </row>
    <row r="47" spans="1:10" ht="13">
      <c r="A47" s="2">
        <f>A38+1</f>
        <v>14</v>
      </c>
      <c r="B47" s="1"/>
      <c r="C47" t="s">
        <v>225</v>
      </c>
      <c r="E47" s="100">
        <f>F47+G47</f>
        <v>136014895.64741364</v>
      </c>
      <c r="F47" s="63">
        <v>0</v>
      </c>
      <c r="G47" s="63">
        <f>H85</f>
        <v>136014895.64741364</v>
      </c>
      <c r="H47" s="46" t="str">
        <f>"Line "&amp;A85&amp;", C4"</f>
        <v>Line 38, C4</v>
      </c>
      <c r="I47" s="14"/>
    </row>
    <row r="48" spans="1:10" ht="13">
      <c r="A48" s="2">
        <f>A47+1</f>
        <v>15</v>
      </c>
      <c r="B48" s="1"/>
      <c r="C48" t="s">
        <v>226</v>
      </c>
      <c r="E48" s="100">
        <f>F48+G48</f>
        <v>2517273959.592175</v>
      </c>
      <c r="F48" s="63">
        <f>E26</f>
        <v>160227</v>
      </c>
      <c r="G48" s="63">
        <f>F85</f>
        <v>2517113732.592175</v>
      </c>
      <c r="H48" s="46" t="str">
        <f>"Line "&amp;A26&amp;", C1, and Line "&amp;A85&amp;", C2"</f>
        <v>Line 1, C1, and Line 38, C2</v>
      </c>
      <c r="I48" s="14"/>
    </row>
    <row r="49" spans="1:9" ht="13">
      <c r="A49" s="2">
        <f>A48+1</f>
        <v>16</v>
      </c>
      <c r="B49" s="1"/>
      <c r="C49" s="463" t="s">
        <v>1642</v>
      </c>
      <c r="E49" s="100">
        <f>F49+G49</f>
        <v>629713992.18976367</v>
      </c>
      <c r="F49" s="63">
        <f>E27</f>
        <v>0</v>
      </c>
      <c r="G49" s="63">
        <f>G85</f>
        <v>629713992.18976367</v>
      </c>
      <c r="H49" s="46" t="str">
        <f>"Line "&amp;A27&amp;", C1, and Line "&amp;A85&amp;", C3"</f>
        <v>Line 2, C1, and Line 38, C3</v>
      </c>
      <c r="I49" s="14"/>
    </row>
    <row r="50" spans="1:9" ht="13">
      <c r="A50" s="2">
        <f>A49+1</f>
        <v>17</v>
      </c>
      <c r="B50" s="1"/>
      <c r="C50" s="524" t="s">
        <v>504</v>
      </c>
      <c r="D50" s="96"/>
      <c r="E50" s="1407" t="s">
        <v>76</v>
      </c>
      <c r="F50" s="1407" t="s">
        <v>76</v>
      </c>
      <c r="G50" s="1407" t="s">
        <v>76</v>
      </c>
      <c r="H50" s="524" t="s">
        <v>504</v>
      </c>
      <c r="I50" s="96"/>
    </row>
    <row r="51" spans="1:9" ht="13">
      <c r="A51" s="2">
        <f>A50+1</f>
        <v>18</v>
      </c>
      <c r="B51" s="1"/>
      <c r="C51" s="185"/>
      <c r="E51" s="95"/>
      <c r="F51" s="95"/>
      <c r="G51" s="95"/>
      <c r="H51" s="13"/>
    </row>
    <row r="52" spans="1:9" ht="13">
      <c r="A52" s="2">
        <f>A51+1</f>
        <v>19</v>
      </c>
      <c r="B52" s="1"/>
      <c r="D52" s="461" t="s">
        <v>1646</v>
      </c>
      <c r="E52" s="7">
        <f>SUM(E47:E49)</f>
        <v>3283002847.4293523</v>
      </c>
      <c r="F52" s="95"/>
      <c r="G52" s="95"/>
      <c r="H52" s="467" t="s">
        <v>1647</v>
      </c>
    </row>
    <row r="53" spans="1:9" ht="13">
      <c r="B53" s="1"/>
    </row>
    <row r="54" spans="1:9" ht="13">
      <c r="B54" s="1"/>
      <c r="C54" s="1" t="s">
        <v>1485</v>
      </c>
    </row>
    <row r="55" spans="1:9" ht="13">
      <c r="B55" s="1"/>
      <c r="C55" s="1"/>
    </row>
    <row r="56" spans="1:9" ht="13">
      <c r="B56" s="1"/>
      <c r="C56" s="1"/>
      <c r="E56" s="3" t="s">
        <v>358</v>
      </c>
      <c r="F56" s="3" t="s">
        <v>342</v>
      </c>
      <c r="G56" s="3" t="s">
        <v>343</v>
      </c>
    </row>
    <row r="57" spans="1:9" ht="13">
      <c r="B57" s="1"/>
      <c r="E57" s="525" t="s">
        <v>1461</v>
      </c>
      <c r="G57" s="2" t="s">
        <v>10</v>
      </c>
    </row>
    <row r="58" spans="1:9" ht="13">
      <c r="B58" s="1"/>
      <c r="E58" s="2" t="s">
        <v>63</v>
      </c>
      <c r="F58" s="2" t="s">
        <v>10</v>
      </c>
      <c r="G58" s="2" t="s">
        <v>298</v>
      </c>
    </row>
    <row r="59" spans="1:9" ht="13">
      <c r="B59" s="1"/>
      <c r="C59" s="2" t="s">
        <v>8</v>
      </c>
      <c r="E59" s="2" t="s">
        <v>8</v>
      </c>
      <c r="F59" s="2" t="s">
        <v>1</v>
      </c>
      <c r="G59" s="2" t="s">
        <v>3</v>
      </c>
    </row>
    <row r="60" spans="1:9" ht="12.75" customHeight="1">
      <c r="B60" s="1"/>
      <c r="C60" s="3" t="s">
        <v>224</v>
      </c>
      <c r="E60" s="3" t="s">
        <v>173</v>
      </c>
      <c r="F60" s="3" t="s">
        <v>249</v>
      </c>
      <c r="G60" s="3" t="s">
        <v>249</v>
      </c>
      <c r="H60" s="3" t="s">
        <v>230</v>
      </c>
    </row>
    <row r="61" spans="1:9" ht="13">
      <c r="A61" s="2">
        <f>A52+1</f>
        <v>20</v>
      </c>
      <c r="B61" s="1"/>
      <c r="C61" t="s">
        <v>225</v>
      </c>
      <c r="E61" s="100">
        <f>F61+G61</f>
        <v>138378365.31053418</v>
      </c>
      <c r="F61" s="63">
        <v>0</v>
      </c>
      <c r="G61" s="103">
        <f>H86</f>
        <v>138378365.31053418</v>
      </c>
      <c r="H61" s="46" t="str">
        <f>"Line "&amp;A86&amp;", C4"</f>
        <v>Line 39, C4</v>
      </c>
      <c r="I61" s="14"/>
    </row>
    <row r="62" spans="1:9" ht="13">
      <c r="A62" s="2">
        <f>A61+1</f>
        <v>21</v>
      </c>
      <c r="B62" s="1"/>
      <c r="C62" t="s">
        <v>226</v>
      </c>
      <c r="E62" s="100">
        <f>F62+G62</f>
        <v>2555469461.3082299</v>
      </c>
      <c r="F62" s="63">
        <f>F26</f>
        <v>158247.98461538463</v>
      </c>
      <c r="G62" s="103">
        <f>F86</f>
        <v>2555311213.3236146</v>
      </c>
      <c r="H62" s="46" t="str">
        <f>"Line "&amp;A26&amp;", C2, and Line "&amp;A86&amp;", C2"</f>
        <v>Line 1, C2, and Line 39, C2</v>
      </c>
      <c r="I62" s="14"/>
    </row>
    <row r="63" spans="1:9" ht="13">
      <c r="A63" s="2">
        <f>A62+1</f>
        <v>22</v>
      </c>
      <c r="B63" s="1"/>
      <c r="C63" s="12" t="s">
        <v>539</v>
      </c>
      <c r="E63" s="100">
        <f>F63+G63</f>
        <v>639557237.65767205</v>
      </c>
      <c r="F63" s="63">
        <f>F27</f>
        <v>0</v>
      </c>
      <c r="G63" s="103">
        <f>G86</f>
        <v>639557237.65767205</v>
      </c>
      <c r="H63" s="46" t="str">
        <f>"Line "&amp;A27&amp;", C2, and Line "&amp;A86&amp;", C3"</f>
        <v>Line 2, C2, and Line 39, C3</v>
      </c>
      <c r="I63" s="14"/>
    </row>
    <row r="64" spans="1:9" ht="13">
      <c r="A64" s="2">
        <f>A63+1</f>
        <v>23</v>
      </c>
      <c r="B64" s="1"/>
      <c r="C64" s="524" t="s">
        <v>504</v>
      </c>
      <c r="D64" s="96"/>
      <c r="E64" s="1407" t="s">
        <v>76</v>
      </c>
      <c r="F64" s="1407" t="s">
        <v>76</v>
      </c>
      <c r="G64" s="1407" t="s">
        <v>76</v>
      </c>
      <c r="H64" s="524" t="s">
        <v>504</v>
      </c>
      <c r="I64" s="96"/>
    </row>
    <row r="65" spans="1:11" ht="13">
      <c r="A65" s="2">
        <f>A64+1</f>
        <v>24</v>
      </c>
      <c r="B65" s="1"/>
      <c r="C65" s="185"/>
      <c r="E65" s="95"/>
      <c r="F65" s="95"/>
      <c r="G65" s="95"/>
      <c r="H65" s="13"/>
    </row>
    <row r="66" spans="1:11" ht="13">
      <c r="A66" s="2">
        <f>A65+1</f>
        <v>25</v>
      </c>
      <c r="B66" s="1"/>
      <c r="D66" s="461" t="s">
        <v>1646</v>
      </c>
      <c r="E66" s="7">
        <f>SUM(E61:E63)</f>
        <v>3333405064.2764359</v>
      </c>
      <c r="H66" s="540" t="s">
        <v>1648</v>
      </c>
    </row>
    <row r="67" spans="1:11" ht="13">
      <c r="A67" s="505"/>
      <c r="B67" s="1"/>
      <c r="D67" s="93"/>
      <c r="E67" s="7"/>
    </row>
    <row r="68" spans="1:11" ht="13">
      <c r="C68" s="1" t="s">
        <v>999</v>
      </c>
    </row>
    <row r="69" spans="1:11" ht="13">
      <c r="E69" s="84" t="s">
        <v>358</v>
      </c>
      <c r="F69" s="84" t="s">
        <v>342</v>
      </c>
      <c r="G69" s="84" t="s">
        <v>343</v>
      </c>
      <c r="H69" s="84" t="s">
        <v>344</v>
      </c>
      <c r="I69" s="84" t="s">
        <v>345</v>
      </c>
      <c r="J69" s="84"/>
    </row>
    <row r="70" spans="1:11" ht="13">
      <c r="C70" s="2" t="s">
        <v>528</v>
      </c>
      <c r="E70" s="2" t="s">
        <v>531</v>
      </c>
      <c r="F70" s="838" t="str">
        <f>"L "&amp;A118&amp;" to L "&amp;A130&amp;", C3"</f>
        <v>L 54 to L 66, C3</v>
      </c>
      <c r="G70" s="838" t="str">
        <f>"L "&amp;A158&amp;" to L "&amp;A170&amp;", C3"</f>
        <v>L 80 to L 92, C3</v>
      </c>
      <c r="H70" s="838" t="str">
        <f>"L "&amp;A138&amp;" to L "&amp;A150&amp;", C3"</f>
        <v>L 67 to L 79, C3</v>
      </c>
      <c r="I70" s="96"/>
      <c r="K70" s="2"/>
    </row>
    <row r="71" spans="1:11" ht="13">
      <c r="C71" s="2" t="s">
        <v>193</v>
      </c>
      <c r="E71" s="2" t="s">
        <v>532</v>
      </c>
      <c r="F71" s="14"/>
      <c r="G71" s="109" t="s">
        <v>340</v>
      </c>
      <c r="H71" s="109" t="s">
        <v>529</v>
      </c>
      <c r="I71" s="186"/>
      <c r="J71" s="355"/>
      <c r="K71" s="2"/>
    </row>
    <row r="72" spans="1:11" ht="13">
      <c r="A72" s="51"/>
      <c r="C72" s="25" t="s">
        <v>192</v>
      </c>
      <c r="D72" s="25" t="s">
        <v>193</v>
      </c>
      <c r="E72" s="3" t="s">
        <v>3</v>
      </c>
      <c r="F72" s="122" t="s">
        <v>223</v>
      </c>
      <c r="G72" s="122" t="s">
        <v>341</v>
      </c>
      <c r="H72" s="122" t="s">
        <v>530</v>
      </c>
      <c r="I72" s="187"/>
      <c r="J72" s="3" t="s">
        <v>168</v>
      </c>
    </row>
    <row r="73" spans="1:11" ht="13">
      <c r="A73" s="2">
        <f>A66+1</f>
        <v>26</v>
      </c>
      <c r="C73" s="20" t="s">
        <v>180</v>
      </c>
      <c r="D73" s="1047">
        <v>2019</v>
      </c>
      <c r="E73" s="59">
        <f>SUM(F73:H73)</f>
        <v>3382278971.2172151</v>
      </c>
      <c r="F73" s="871">
        <f>G118</f>
        <v>2592436383.5972152</v>
      </c>
      <c r="G73" s="871">
        <f>G158</f>
        <v>649167356.07999992</v>
      </c>
      <c r="H73" s="871">
        <f>G138</f>
        <v>140675231.53999996</v>
      </c>
      <c r="I73" s="355" t="s">
        <v>76</v>
      </c>
      <c r="J73" s="50" t="s">
        <v>1003</v>
      </c>
    </row>
    <row r="74" spans="1:11" ht="13">
      <c r="A74" s="2">
        <f>A73+1</f>
        <v>27</v>
      </c>
      <c r="C74" s="20" t="s">
        <v>181</v>
      </c>
      <c r="D74" s="609">
        <v>2020</v>
      </c>
      <c r="E74" s="59">
        <f t="shared" ref="E74:E85" si="1">SUM(F74:H74)</f>
        <v>3374887603.7977877</v>
      </c>
      <c r="F74" s="871">
        <f t="shared" ref="F74:F85" si="2">G119</f>
        <v>2586729783.1405182</v>
      </c>
      <c r="G74" s="871">
        <f t="shared" ref="G74:G85" si="3">G159</f>
        <v>647798796.72185922</v>
      </c>
      <c r="H74" s="871">
        <f t="shared" ref="H74:H85" si="4">G139</f>
        <v>140359023.93541038</v>
      </c>
      <c r="I74" s="355" t="s">
        <v>76</v>
      </c>
      <c r="J74" s="13" t="s">
        <v>1002</v>
      </c>
    </row>
    <row r="75" spans="1:11" ht="13">
      <c r="A75" s="2">
        <f t="shared" ref="A75:A86" si="5">A74+1</f>
        <v>28</v>
      </c>
      <c r="C75" s="21" t="s">
        <v>182</v>
      </c>
      <c r="D75" s="609">
        <v>2020</v>
      </c>
      <c r="E75" s="59">
        <f t="shared" si="1"/>
        <v>3366859021.5617576</v>
      </c>
      <c r="F75" s="871">
        <f t="shared" si="2"/>
        <v>2580740194.7972236</v>
      </c>
      <c r="G75" s="871">
        <f t="shared" si="3"/>
        <v>646154723.58257782</v>
      </c>
      <c r="H75" s="871">
        <f t="shared" si="4"/>
        <v>139964103.18195614</v>
      </c>
      <c r="I75" s="355" t="s">
        <v>76</v>
      </c>
      <c r="J75" s="355" t="s">
        <v>1001</v>
      </c>
      <c r="K75" s="2"/>
    </row>
    <row r="76" spans="1:11" ht="13">
      <c r="A76" s="2">
        <f t="shared" si="5"/>
        <v>29</v>
      </c>
      <c r="C76" s="21" t="s">
        <v>195</v>
      </c>
      <c r="D76" s="609">
        <v>2020</v>
      </c>
      <c r="E76" s="59">
        <f t="shared" si="1"/>
        <v>3358720398.3413043</v>
      </c>
      <c r="F76" s="871">
        <f t="shared" si="2"/>
        <v>2574640565.4695058</v>
      </c>
      <c r="G76" s="871">
        <f t="shared" si="3"/>
        <v>644510650.44329643</v>
      </c>
      <c r="H76" s="871">
        <f t="shared" si="4"/>
        <v>139569182.42850187</v>
      </c>
      <c r="I76" s="355" t="s">
        <v>76</v>
      </c>
      <c r="J76" s="355"/>
      <c r="K76" s="2"/>
    </row>
    <row r="77" spans="1:11" ht="13">
      <c r="A77" s="2">
        <f t="shared" si="5"/>
        <v>30</v>
      </c>
      <c r="C77" s="20" t="s">
        <v>183</v>
      </c>
      <c r="D77" s="609">
        <v>2020</v>
      </c>
      <c r="E77" s="59">
        <f t="shared" si="1"/>
        <v>3350381573.8898764</v>
      </c>
      <c r="F77" s="871">
        <f t="shared" si="2"/>
        <v>2568340734.9108138</v>
      </c>
      <c r="G77" s="871">
        <f t="shared" si="3"/>
        <v>642866577.30401492</v>
      </c>
      <c r="H77" s="871">
        <f t="shared" si="4"/>
        <v>139174261.67504764</v>
      </c>
      <c r="I77" s="355" t="s">
        <v>76</v>
      </c>
      <c r="J77" s="355"/>
      <c r="K77" s="2"/>
    </row>
    <row r="78" spans="1:11" ht="13">
      <c r="A78" s="2">
        <f t="shared" si="5"/>
        <v>31</v>
      </c>
      <c r="C78" s="21" t="s">
        <v>184</v>
      </c>
      <c r="D78" s="609">
        <v>2020</v>
      </c>
      <c r="E78" s="59">
        <f t="shared" si="1"/>
        <v>3342037141.8384027</v>
      </c>
      <c r="F78" s="871">
        <f t="shared" si="2"/>
        <v>2562035296.7520761</v>
      </c>
      <c r="G78" s="871">
        <f t="shared" si="3"/>
        <v>641222504.16473353</v>
      </c>
      <c r="H78" s="871">
        <f t="shared" si="4"/>
        <v>138779340.9215934</v>
      </c>
      <c r="I78" s="355" t="s">
        <v>76</v>
      </c>
      <c r="J78" s="355"/>
      <c r="K78" s="2"/>
    </row>
    <row r="79" spans="1:11" ht="13">
      <c r="A79" s="2">
        <f t="shared" si="5"/>
        <v>32</v>
      </c>
      <c r="C79" s="21" t="s">
        <v>185</v>
      </c>
      <c r="D79" s="609">
        <v>2020</v>
      </c>
      <c r="E79" s="59">
        <f t="shared" si="1"/>
        <v>3333655786.537271</v>
      </c>
      <c r="F79" s="871">
        <f t="shared" si="2"/>
        <v>2555692935.3436799</v>
      </c>
      <c r="G79" s="871">
        <f t="shared" si="3"/>
        <v>639578431.02545214</v>
      </c>
      <c r="H79" s="871">
        <f t="shared" si="4"/>
        <v>138384420.16813913</v>
      </c>
      <c r="I79" s="355" t="s">
        <v>76</v>
      </c>
      <c r="J79" s="355"/>
      <c r="K79" s="2"/>
    </row>
    <row r="80" spans="1:11" ht="13">
      <c r="A80" s="2">
        <f t="shared" si="5"/>
        <v>33</v>
      </c>
      <c r="C80" s="20" t="s">
        <v>186</v>
      </c>
      <c r="D80" s="609">
        <v>2020</v>
      </c>
      <c r="E80" s="59">
        <f t="shared" si="1"/>
        <v>3325456063.2540331</v>
      </c>
      <c r="F80" s="871">
        <f t="shared" si="2"/>
        <v>2549532205.9531775</v>
      </c>
      <c r="G80" s="871">
        <f t="shared" si="3"/>
        <v>637934357.88617074</v>
      </c>
      <c r="H80" s="871">
        <f t="shared" si="4"/>
        <v>137989499.41468489</v>
      </c>
      <c r="I80" s="355" t="s">
        <v>76</v>
      </c>
      <c r="J80" s="355"/>
      <c r="K80" s="83"/>
    </row>
    <row r="81" spans="1:11" ht="13">
      <c r="A81" s="2">
        <f t="shared" si="5"/>
        <v>34</v>
      </c>
      <c r="C81" s="21" t="s">
        <v>187</v>
      </c>
      <c r="D81" s="609">
        <v>2020</v>
      </c>
      <c r="E81" s="59">
        <f t="shared" si="1"/>
        <v>3317081161.7866597</v>
      </c>
      <c r="F81" s="871">
        <f t="shared" si="2"/>
        <v>2543196298.3785396</v>
      </c>
      <c r="G81" s="871">
        <f t="shared" si="3"/>
        <v>636290284.74688935</v>
      </c>
      <c r="H81" s="871">
        <f t="shared" si="4"/>
        <v>137594578.66123062</v>
      </c>
      <c r="I81" s="355" t="s">
        <v>76</v>
      </c>
      <c r="J81" s="355"/>
      <c r="K81" s="2"/>
    </row>
    <row r="82" spans="1:11" ht="13">
      <c r="A82" s="2">
        <f t="shared" si="5"/>
        <v>35</v>
      </c>
      <c r="C82" s="21" t="s">
        <v>188</v>
      </c>
      <c r="D82" s="609">
        <v>2020</v>
      </c>
      <c r="E82" s="59">
        <f t="shared" si="1"/>
        <v>3307165152.4203649</v>
      </c>
      <c r="F82" s="871">
        <f t="shared" si="2"/>
        <v>2535319282.9049807</v>
      </c>
      <c r="G82" s="871">
        <f t="shared" si="3"/>
        <v>634646211.60760784</v>
      </c>
      <c r="H82" s="871">
        <f t="shared" si="4"/>
        <v>137199657.90777639</v>
      </c>
      <c r="I82" s="355" t="s">
        <v>76</v>
      </c>
      <c r="J82" s="355"/>
      <c r="K82" s="2"/>
    </row>
    <row r="83" spans="1:11" ht="13">
      <c r="A83" s="2">
        <f t="shared" si="5"/>
        <v>36</v>
      </c>
      <c r="C83" s="20" t="s">
        <v>189</v>
      </c>
      <c r="D83" s="609">
        <v>2020</v>
      </c>
      <c r="E83" s="59">
        <f t="shared" si="1"/>
        <v>3299625210.4877958</v>
      </c>
      <c r="F83" s="871">
        <f t="shared" si="2"/>
        <v>2529818334.8651471</v>
      </c>
      <c r="G83" s="871">
        <f t="shared" si="3"/>
        <v>633002138.46832645</v>
      </c>
      <c r="H83" s="871">
        <f t="shared" si="4"/>
        <v>136804737.15432215</v>
      </c>
      <c r="I83" s="355" t="s">
        <v>76</v>
      </c>
      <c r="J83" s="355"/>
      <c r="K83" s="2"/>
    </row>
    <row r="84" spans="1:11" ht="13">
      <c r="A84" s="2">
        <f t="shared" si="5"/>
        <v>37</v>
      </c>
      <c r="C84" s="20" t="s">
        <v>190</v>
      </c>
      <c r="D84" s="609">
        <v>2020</v>
      </c>
      <c r="E84" s="59">
        <f t="shared" si="1"/>
        <v>3291217906.2318482</v>
      </c>
      <c r="F84" s="871">
        <f t="shared" si="2"/>
        <v>2523450024.501935</v>
      </c>
      <c r="G84" s="871">
        <f t="shared" si="3"/>
        <v>631358065.32904506</v>
      </c>
      <c r="H84" s="871">
        <f t="shared" si="4"/>
        <v>136409816.40086788</v>
      </c>
      <c r="I84" s="355" t="s">
        <v>76</v>
      </c>
      <c r="J84" s="355"/>
      <c r="K84" s="2"/>
    </row>
    <row r="85" spans="1:11" ht="13">
      <c r="A85" s="2">
        <f t="shared" si="5"/>
        <v>38</v>
      </c>
      <c r="C85" s="20" t="s">
        <v>180</v>
      </c>
      <c r="D85" s="609">
        <v>2020</v>
      </c>
      <c r="E85" s="58">
        <f t="shared" si="1"/>
        <v>3282842620.4293523</v>
      </c>
      <c r="F85" s="357">
        <f t="shared" si="2"/>
        <v>2517113732.592175</v>
      </c>
      <c r="G85" s="357">
        <f t="shared" si="3"/>
        <v>629713992.18976367</v>
      </c>
      <c r="H85" s="357">
        <f t="shared" si="4"/>
        <v>136014895.64741364</v>
      </c>
      <c r="I85" s="355" t="s">
        <v>76</v>
      </c>
      <c r="J85" s="355"/>
      <c r="K85" s="2"/>
    </row>
    <row r="86" spans="1:11" ht="13">
      <c r="A86" s="2">
        <f t="shared" si="5"/>
        <v>39</v>
      </c>
      <c r="C86" s="20"/>
      <c r="D86" s="1141" t="s">
        <v>536</v>
      </c>
      <c r="E86" s="104">
        <f>SUM(E73:E85)/13</f>
        <v>3333246816.29182</v>
      </c>
      <c r="F86" s="104">
        <f>SUM(F73:F85)/13</f>
        <v>2555311213.3236146</v>
      </c>
      <c r="G86" s="104">
        <f>SUM(G73:G85)/13</f>
        <v>639557237.65767205</v>
      </c>
      <c r="H86" s="104">
        <f>SUM(H73:H85)/13</f>
        <v>138378365.31053418</v>
      </c>
      <c r="I86" s="44"/>
      <c r="J86" s="1"/>
      <c r="K86" s="2"/>
    </row>
    <row r="88" spans="1:11" ht="13">
      <c r="A88" s="505"/>
      <c r="C88" s="506" t="s">
        <v>1531</v>
      </c>
      <c r="D88" s="507"/>
      <c r="E88" s="508"/>
      <c r="F88" s="508"/>
      <c r="G88" s="508"/>
      <c r="H88" s="508"/>
      <c r="I88" s="1"/>
      <c r="J88" s="1"/>
    </row>
    <row r="89" spans="1:11" ht="13">
      <c r="A89" s="505"/>
      <c r="C89" s="506"/>
      <c r="D89" s="507"/>
      <c r="E89" s="84" t="s">
        <v>358</v>
      </c>
      <c r="F89" s="84" t="s">
        <v>342</v>
      </c>
      <c r="G89" s="84" t="s">
        <v>343</v>
      </c>
      <c r="H89" s="508"/>
      <c r="I89" s="1"/>
      <c r="J89" s="1"/>
    </row>
    <row r="90" spans="1:11" ht="13">
      <c r="A90" s="505"/>
      <c r="C90" s="494"/>
      <c r="D90" s="507"/>
      <c r="G90" s="472" t="s">
        <v>1643</v>
      </c>
      <c r="H90" s="508"/>
      <c r="I90" s="1"/>
      <c r="J90" s="1"/>
    </row>
    <row r="91" spans="1:11" ht="13">
      <c r="A91" s="505"/>
      <c r="C91" s="494"/>
      <c r="D91" s="507"/>
      <c r="E91" s="352" t="s">
        <v>431</v>
      </c>
      <c r="F91" s="508"/>
      <c r="G91" s="509" t="s">
        <v>1532</v>
      </c>
      <c r="H91" s="508"/>
      <c r="I91" s="1"/>
      <c r="J91" s="1"/>
    </row>
    <row r="92" spans="1:11" ht="13">
      <c r="A92" s="505"/>
      <c r="C92" s="505" t="s">
        <v>528</v>
      </c>
      <c r="E92" s="352" t="s">
        <v>1533</v>
      </c>
      <c r="F92" s="352" t="s">
        <v>99</v>
      </c>
      <c r="G92" s="352" t="s">
        <v>1533</v>
      </c>
      <c r="H92" s="508"/>
      <c r="I92" s="1"/>
      <c r="J92" s="1"/>
    </row>
    <row r="93" spans="1:11" ht="13">
      <c r="A93" s="505"/>
      <c r="C93" s="505" t="s">
        <v>193</v>
      </c>
      <c r="E93" s="352" t="s">
        <v>8</v>
      </c>
      <c r="F93" s="4" t="s">
        <v>1534</v>
      </c>
      <c r="G93" s="352" t="s">
        <v>8</v>
      </c>
      <c r="H93" s="508"/>
      <c r="I93" s="1"/>
      <c r="J93" s="1"/>
    </row>
    <row r="94" spans="1:11" ht="13">
      <c r="A94" s="505"/>
      <c r="C94" s="25" t="s">
        <v>192</v>
      </c>
      <c r="D94" s="25" t="s">
        <v>193</v>
      </c>
      <c r="E94" s="353" t="s">
        <v>1535</v>
      </c>
      <c r="F94" s="3" t="s">
        <v>1536</v>
      </c>
      <c r="G94" s="353" t="s">
        <v>1535</v>
      </c>
      <c r="H94" s="353" t="s">
        <v>1537</v>
      </c>
      <c r="I94" s="1"/>
      <c r="J94" s="1"/>
    </row>
    <row r="95" spans="1:11" ht="12.75" customHeight="1">
      <c r="A95" s="505">
        <f>A86+1</f>
        <v>40</v>
      </c>
      <c r="C95" s="494" t="s">
        <v>180</v>
      </c>
      <c r="D95" s="1047">
        <v>2019</v>
      </c>
      <c r="E95" s="7">
        <f t="shared" ref="E95:E107" si="6">H118+H138+H158+H177+H196+H215+H234+H253+H272+H291+H310+H330</f>
        <v>0</v>
      </c>
      <c r="F95" s="510">
        <v>0</v>
      </c>
      <c r="G95" s="508">
        <f>E95-F95</f>
        <v>0</v>
      </c>
      <c r="H95" s="515" t="s">
        <v>1547</v>
      </c>
      <c r="I95" s="1"/>
      <c r="J95" s="7"/>
    </row>
    <row r="96" spans="1:11" ht="13">
      <c r="A96" s="505">
        <f>A95+1</f>
        <v>41</v>
      </c>
      <c r="C96" s="494" t="s">
        <v>181</v>
      </c>
      <c r="D96" s="609">
        <v>2020</v>
      </c>
      <c r="E96" s="7">
        <f t="shared" si="6"/>
        <v>1870687.6209477633</v>
      </c>
      <c r="F96" s="510">
        <v>0</v>
      </c>
      <c r="G96" s="508">
        <f t="shared" ref="G96:G107" si="7">E96-F96</f>
        <v>1870687.6209477633</v>
      </c>
      <c r="H96" s="515" t="s">
        <v>1546</v>
      </c>
      <c r="I96" s="73"/>
      <c r="J96" s="7"/>
    </row>
    <row r="97" spans="1:10" ht="13">
      <c r="A97" s="505">
        <f t="shared" ref="A97:A108" si="8">A96+1</f>
        <v>42</v>
      </c>
      <c r="C97" s="492" t="s">
        <v>182</v>
      </c>
      <c r="D97" s="609">
        <v>2020</v>
      </c>
      <c r="E97" s="7">
        <f t="shared" si="6"/>
        <v>7918949.9297281541</v>
      </c>
      <c r="F97" s="510">
        <v>0</v>
      </c>
      <c r="G97" s="508">
        <f t="shared" si="7"/>
        <v>7918949.9297281541</v>
      </c>
      <c r="H97" s="515"/>
      <c r="I97" s="73"/>
      <c r="J97" s="7"/>
    </row>
    <row r="98" spans="1:10" ht="13">
      <c r="A98" s="505">
        <f t="shared" si="8"/>
        <v>43</v>
      </c>
      <c r="C98" s="492" t="s">
        <v>195</v>
      </c>
      <c r="D98" s="609">
        <v>2020</v>
      </c>
      <c r="E98" s="7">
        <f t="shared" si="6"/>
        <v>1411780.950645715</v>
      </c>
      <c r="F98" s="510">
        <v>0</v>
      </c>
      <c r="G98" s="508">
        <f t="shared" si="7"/>
        <v>1411780.950645715</v>
      </c>
      <c r="H98" s="508"/>
      <c r="I98" s="73"/>
      <c r="J98" s="7"/>
    </row>
    <row r="99" spans="1:10" ht="13">
      <c r="A99" s="505">
        <f t="shared" si="8"/>
        <v>44</v>
      </c>
      <c r="C99" s="494" t="s">
        <v>183</v>
      </c>
      <c r="D99" s="609">
        <v>2020</v>
      </c>
      <c r="E99" s="7">
        <f t="shared" si="6"/>
        <v>4205932.3342519421</v>
      </c>
      <c r="F99" s="510">
        <v>0</v>
      </c>
      <c r="G99" s="508">
        <f t="shared" si="7"/>
        <v>4205932.3342519421</v>
      </c>
      <c r="H99" s="508"/>
      <c r="I99" s="73"/>
      <c r="J99" s="7"/>
    </row>
    <row r="100" spans="1:10" ht="13">
      <c r="A100" s="505">
        <f t="shared" si="8"/>
        <v>45</v>
      </c>
      <c r="C100" s="492" t="s">
        <v>184</v>
      </c>
      <c r="D100" s="609">
        <v>2020</v>
      </c>
      <c r="E100" s="7">
        <f t="shared" si="6"/>
        <v>1377483.2028322779</v>
      </c>
      <c r="F100" s="510">
        <v>0</v>
      </c>
      <c r="G100" s="508">
        <f t="shared" si="7"/>
        <v>1377483.2028322779</v>
      </c>
      <c r="H100" s="508"/>
      <c r="I100" s="73"/>
      <c r="J100" s="7"/>
    </row>
    <row r="101" spans="1:10" ht="13">
      <c r="A101" s="505">
        <f t="shared" si="8"/>
        <v>46</v>
      </c>
      <c r="C101" s="492" t="s">
        <v>185</v>
      </c>
      <c r="D101" s="609">
        <v>2020</v>
      </c>
      <c r="E101" s="7">
        <f t="shared" si="6"/>
        <v>14855695.706188645</v>
      </c>
      <c r="F101" s="510">
        <v>0</v>
      </c>
      <c r="G101" s="508">
        <f t="shared" si="7"/>
        <v>14855695.706188645</v>
      </c>
      <c r="H101" s="508"/>
      <c r="I101" s="73"/>
      <c r="J101" s="7"/>
    </row>
    <row r="102" spans="1:10" ht="13">
      <c r="A102" s="505">
        <f t="shared" si="8"/>
        <v>47</v>
      </c>
      <c r="C102" s="494" t="s">
        <v>186</v>
      </c>
      <c r="D102" s="609">
        <v>2020</v>
      </c>
      <c r="E102" s="7">
        <f t="shared" si="6"/>
        <v>451975.24124367163</v>
      </c>
      <c r="F102" s="510">
        <v>0</v>
      </c>
      <c r="G102" s="508">
        <f t="shared" si="7"/>
        <v>451975.24124367163</v>
      </c>
      <c r="H102" s="508"/>
      <c r="I102" s="73"/>
      <c r="J102" s="7"/>
    </row>
    <row r="103" spans="1:10" ht="13">
      <c r="A103" s="505">
        <f t="shared" si="8"/>
        <v>48</v>
      </c>
      <c r="C103" s="492" t="s">
        <v>187</v>
      </c>
      <c r="D103" s="609">
        <v>2020</v>
      </c>
      <c r="E103" s="7">
        <f t="shared" si="6"/>
        <v>305564.89399595186</v>
      </c>
      <c r="F103" s="510">
        <v>0</v>
      </c>
      <c r="G103" s="508">
        <f t="shared" si="7"/>
        <v>305564.89399595186</v>
      </c>
      <c r="H103" s="508"/>
      <c r="I103" s="73"/>
      <c r="J103" s="7"/>
    </row>
    <row r="104" spans="1:10" ht="13">
      <c r="A104" s="505">
        <f t="shared" si="8"/>
        <v>49</v>
      </c>
      <c r="C104" s="492" t="s">
        <v>188</v>
      </c>
      <c r="D104" s="609">
        <v>2020</v>
      </c>
      <c r="E104" s="7">
        <f t="shared" si="6"/>
        <v>-1949677.4652179722</v>
      </c>
      <c r="F104" s="510">
        <v>0</v>
      </c>
      <c r="G104" s="508">
        <f t="shared" si="7"/>
        <v>-1949677.4652179722</v>
      </c>
      <c r="H104" s="508"/>
      <c r="I104" s="73"/>
      <c r="J104" s="7"/>
    </row>
    <row r="105" spans="1:10" ht="13">
      <c r="A105" s="505">
        <f t="shared" si="8"/>
        <v>50</v>
      </c>
      <c r="C105" s="494" t="s">
        <v>189</v>
      </c>
      <c r="D105" s="609">
        <v>2020</v>
      </c>
      <c r="E105" s="7">
        <f t="shared" si="6"/>
        <v>2008919.4651258122</v>
      </c>
      <c r="F105" s="510">
        <v>0</v>
      </c>
      <c r="G105" s="508">
        <f t="shared" si="7"/>
        <v>2008919.4651258122</v>
      </c>
      <c r="H105" s="508"/>
      <c r="I105" s="73"/>
      <c r="J105" s="7"/>
    </row>
    <row r="106" spans="1:10" ht="13">
      <c r="A106" s="505">
        <f t="shared" si="8"/>
        <v>51</v>
      </c>
      <c r="C106" s="494" t="s">
        <v>190</v>
      </c>
      <c r="D106" s="609">
        <v>2020</v>
      </c>
      <c r="E106" s="7">
        <f t="shared" si="6"/>
        <v>8442537.3980944138</v>
      </c>
      <c r="F106" s="510">
        <v>0</v>
      </c>
      <c r="G106" s="508">
        <f t="shared" si="7"/>
        <v>8442537.3980944138</v>
      </c>
      <c r="H106" s="508"/>
      <c r="I106" s="73"/>
      <c r="J106" s="7"/>
    </row>
    <row r="107" spans="1:10" ht="13">
      <c r="A107" s="505">
        <f t="shared" si="8"/>
        <v>52</v>
      </c>
      <c r="C107" s="494" t="s">
        <v>180</v>
      </c>
      <c r="D107" s="609">
        <v>2020</v>
      </c>
      <c r="E107" s="91">
        <f t="shared" si="6"/>
        <v>-5128367.2410283349</v>
      </c>
      <c r="F107" s="395">
        <v>0</v>
      </c>
      <c r="G107" s="357">
        <f t="shared" si="7"/>
        <v>-5128367.2410283349</v>
      </c>
      <c r="H107" s="508"/>
      <c r="I107" s="73"/>
      <c r="J107" s="7"/>
    </row>
    <row r="108" spans="1:10" ht="13">
      <c r="A108" s="505">
        <f t="shared" si="8"/>
        <v>53</v>
      </c>
      <c r="C108" s="494" t="s">
        <v>196</v>
      </c>
      <c r="D108" s="498"/>
      <c r="E108" s="63">
        <f>SUM(E95:E107)</f>
        <v>35771482.036808044</v>
      </c>
      <c r="F108" s="63">
        <f t="shared" ref="F108:G108" si="9">SUM(F95:F107)</f>
        <v>0</v>
      </c>
      <c r="G108" s="63">
        <f t="shared" si="9"/>
        <v>35771482.036808044</v>
      </c>
      <c r="H108" s="508"/>
      <c r="I108" s="73"/>
      <c r="J108" s="1"/>
    </row>
    <row r="109" spans="1:10" ht="13">
      <c r="A109" s="505"/>
      <c r="C109" s="494"/>
      <c r="D109" s="498"/>
      <c r="E109" s="63"/>
      <c r="F109" s="508"/>
      <c r="G109" s="508"/>
      <c r="H109" s="508"/>
      <c r="I109" s="73"/>
      <c r="J109" s="1"/>
    </row>
    <row r="111" spans="1:10" ht="13">
      <c r="C111" s="188" t="s">
        <v>1538</v>
      </c>
    </row>
    <row r="113" spans="1:9" ht="13">
      <c r="C113" s="1" t="s">
        <v>1539</v>
      </c>
      <c r="E113" s="84" t="s">
        <v>358</v>
      </c>
      <c r="F113" s="84" t="s">
        <v>342</v>
      </c>
      <c r="G113" s="84" t="s">
        <v>343</v>
      </c>
      <c r="H113" s="84" t="s">
        <v>344</v>
      </c>
    </row>
    <row r="114" spans="1:9">
      <c r="G114" s="525" t="s">
        <v>1643</v>
      </c>
      <c r="H114" s="525" t="s">
        <v>1644</v>
      </c>
    </row>
    <row r="115" spans="1:9" ht="13">
      <c r="C115" s="505" t="s">
        <v>528</v>
      </c>
      <c r="G115" s="14"/>
      <c r="H115" s="1142" t="s">
        <v>1645</v>
      </c>
    </row>
    <row r="116" spans="1:9" ht="13">
      <c r="C116" s="505" t="s">
        <v>193</v>
      </c>
      <c r="E116" s="505" t="s">
        <v>371</v>
      </c>
      <c r="F116" s="505" t="s">
        <v>1540</v>
      </c>
      <c r="G116" s="505" t="s">
        <v>992</v>
      </c>
      <c r="H116" s="505" t="s">
        <v>1116</v>
      </c>
    </row>
    <row r="117" spans="1:9" ht="13">
      <c r="C117" s="25" t="s">
        <v>192</v>
      </c>
      <c r="D117" s="25" t="s">
        <v>193</v>
      </c>
      <c r="E117" s="3" t="s">
        <v>1541</v>
      </c>
      <c r="F117" s="3" t="s">
        <v>1080</v>
      </c>
      <c r="G117" s="3" t="s">
        <v>3</v>
      </c>
      <c r="H117" s="3" t="s">
        <v>1536</v>
      </c>
    </row>
    <row r="118" spans="1:9" ht="13">
      <c r="A118" s="505">
        <f>A108+1</f>
        <v>54</v>
      </c>
      <c r="C118" s="494" t="s">
        <v>180</v>
      </c>
      <c r="D118" s="1047">
        <v>2019</v>
      </c>
      <c r="E118" s="977">
        <v>3061615451.5972152</v>
      </c>
      <c r="F118" s="977">
        <v>469179068</v>
      </c>
      <c r="G118" s="7">
        <f t="shared" ref="G118:G130" si="10">E118-F118</f>
        <v>2592436383.5972152</v>
      </c>
      <c r="H118" s="7">
        <f>E118-E118</f>
        <v>0</v>
      </c>
      <c r="I118" s="550"/>
    </row>
    <row r="119" spans="1:9" ht="13">
      <c r="A119" s="505">
        <f>A118+1</f>
        <v>55</v>
      </c>
      <c r="C119" s="494" t="s">
        <v>181</v>
      </c>
      <c r="D119" s="609">
        <v>2020</v>
      </c>
      <c r="E119" s="977">
        <v>3061686236.3372149</v>
      </c>
      <c r="F119" s="977">
        <v>474956453.1966967</v>
      </c>
      <c r="G119" s="7">
        <f t="shared" si="10"/>
        <v>2586729783.1405182</v>
      </c>
      <c r="H119" s="7">
        <f>E119-E118</f>
        <v>70784.739999771118</v>
      </c>
    </row>
    <row r="120" spans="1:9" ht="13">
      <c r="A120" s="505">
        <f t="shared" ref="A120:A130" si="11">A119+1</f>
        <v>56</v>
      </c>
      <c r="C120" s="492" t="s">
        <v>182</v>
      </c>
      <c r="D120" s="609">
        <v>2020</v>
      </c>
      <c r="E120" s="977">
        <v>3062091071.1572151</v>
      </c>
      <c r="F120" s="977">
        <v>481350876.35999149</v>
      </c>
      <c r="G120" s="7">
        <f t="shared" si="10"/>
        <v>2580740194.7972236</v>
      </c>
      <c r="H120" s="7">
        <f t="shared" ref="H120:H130" si="12">E120-E119</f>
        <v>404834.82000017166</v>
      </c>
    </row>
    <row r="121" spans="1:9" ht="13">
      <c r="A121" s="505">
        <f t="shared" si="11"/>
        <v>57</v>
      </c>
      <c r="C121" s="492" t="s">
        <v>195</v>
      </c>
      <c r="D121" s="609">
        <v>2020</v>
      </c>
      <c r="E121" s="977">
        <v>3062386759.7072148</v>
      </c>
      <c r="F121" s="977">
        <v>487746194.23770899</v>
      </c>
      <c r="G121" s="7">
        <f t="shared" si="10"/>
        <v>2574640565.4695058</v>
      </c>
      <c r="H121" s="7">
        <f t="shared" si="12"/>
        <v>295688.5499997139</v>
      </c>
    </row>
    <row r="122" spans="1:9" ht="13">
      <c r="A122" s="505">
        <f t="shared" si="11"/>
        <v>58</v>
      </c>
      <c r="C122" s="494" t="s">
        <v>183</v>
      </c>
      <c r="D122" s="609">
        <v>2020</v>
      </c>
      <c r="E122" s="977">
        <v>3062483029.2672148</v>
      </c>
      <c r="F122" s="977">
        <v>494142294.35640115</v>
      </c>
      <c r="G122" s="7">
        <f t="shared" si="10"/>
        <v>2568340734.9108138</v>
      </c>
      <c r="H122" s="7">
        <f t="shared" si="12"/>
        <v>96269.55999994278</v>
      </c>
    </row>
    <row r="123" spans="1:9" ht="13">
      <c r="A123" s="505">
        <f t="shared" si="11"/>
        <v>59</v>
      </c>
      <c r="C123" s="492" t="s">
        <v>184</v>
      </c>
      <c r="D123" s="609">
        <v>2020</v>
      </c>
      <c r="E123" s="977">
        <v>3062573855.987215</v>
      </c>
      <c r="F123" s="977">
        <v>500538559.23513907</v>
      </c>
      <c r="G123" s="7">
        <f t="shared" si="10"/>
        <v>2562035296.7520761</v>
      </c>
      <c r="H123" s="7">
        <f t="shared" si="12"/>
        <v>90826.720000267029</v>
      </c>
    </row>
    <row r="124" spans="1:9" ht="13">
      <c r="A124" s="505">
        <f t="shared" si="11"/>
        <v>60</v>
      </c>
      <c r="C124" s="492" t="s">
        <v>185</v>
      </c>
      <c r="D124" s="609">
        <v>2020</v>
      </c>
      <c r="E124" s="977">
        <v>3062627940.0572157</v>
      </c>
      <c r="F124" s="977">
        <v>506935004.71353573</v>
      </c>
      <c r="G124" s="7">
        <f t="shared" si="10"/>
        <v>2555692935.3436799</v>
      </c>
      <c r="H124" s="7">
        <f t="shared" si="12"/>
        <v>54084.070000648499</v>
      </c>
    </row>
    <row r="125" spans="1:9" ht="13">
      <c r="A125" s="505">
        <f t="shared" si="11"/>
        <v>61</v>
      </c>
      <c r="C125" s="494" t="s">
        <v>186</v>
      </c>
      <c r="D125" s="609">
        <v>2020</v>
      </c>
      <c r="E125" s="977">
        <v>3062863758.8972154</v>
      </c>
      <c r="F125" s="977">
        <v>513331552.94403797</v>
      </c>
      <c r="G125" s="7">
        <f t="shared" si="10"/>
        <v>2549532205.9531775</v>
      </c>
      <c r="H125" s="7">
        <f t="shared" si="12"/>
        <v>235818.83999967575</v>
      </c>
    </row>
    <row r="126" spans="1:9" ht="13">
      <c r="A126" s="505">
        <f t="shared" si="11"/>
        <v>62</v>
      </c>
      <c r="C126" s="492" t="s">
        <v>187</v>
      </c>
      <c r="D126" s="609">
        <v>2020</v>
      </c>
      <c r="E126" s="977">
        <v>3062924895.4372153</v>
      </c>
      <c r="F126" s="977">
        <v>519728597.05867571</v>
      </c>
      <c r="G126" s="7">
        <f t="shared" si="10"/>
        <v>2543196298.3785396</v>
      </c>
      <c r="H126" s="7">
        <f t="shared" si="12"/>
        <v>61136.539999961853</v>
      </c>
    </row>
    <row r="127" spans="1:9" ht="13">
      <c r="A127" s="505">
        <f t="shared" si="11"/>
        <v>63</v>
      </c>
      <c r="C127" s="492" t="s">
        <v>188</v>
      </c>
      <c r="D127" s="609">
        <v>2020</v>
      </c>
      <c r="E127" s="977">
        <v>3061445126.6272154</v>
      </c>
      <c r="F127" s="977">
        <v>526125843.72223485</v>
      </c>
      <c r="G127" s="7">
        <f t="shared" si="10"/>
        <v>2535319282.9049807</v>
      </c>
      <c r="H127" s="7">
        <f t="shared" si="12"/>
        <v>-1479768.8099999428</v>
      </c>
    </row>
    <row r="128" spans="1:9" ht="13">
      <c r="A128" s="505">
        <f t="shared" si="11"/>
        <v>64</v>
      </c>
      <c r="C128" s="494" t="s">
        <v>189</v>
      </c>
      <c r="D128" s="609">
        <v>2020</v>
      </c>
      <c r="E128" s="977">
        <v>3062337964.3272152</v>
      </c>
      <c r="F128" s="977">
        <v>532519629.4620682</v>
      </c>
      <c r="G128" s="7">
        <f t="shared" si="10"/>
        <v>2529818334.8651471</v>
      </c>
      <c r="H128" s="7">
        <f t="shared" si="12"/>
        <v>892837.69999980927</v>
      </c>
    </row>
    <row r="129" spans="1:8" ht="13">
      <c r="A129" s="505">
        <f t="shared" si="11"/>
        <v>65</v>
      </c>
      <c r="C129" s="494" t="s">
        <v>190</v>
      </c>
      <c r="D129" s="609">
        <v>2020</v>
      </c>
      <c r="E129" s="977">
        <v>3062360908.8872156</v>
      </c>
      <c r="F129" s="977">
        <v>538910884.38528049</v>
      </c>
      <c r="G129" s="7">
        <f t="shared" si="10"/>
        <v>2523450024.501935</v>
      </c>
      <c r="H129" s="7">
        <f t="shared" si="12"/>
        <v>22944.560000419617</v>
      </c>
    </row>
    <row r="130" spans="1:8" ht="13">
      <c r="A130" s="505">
        <f t="shared" si="11"/>
        <v>66</v>
      </c>
      <c r="C130" s="494" t="s">
        <v>180</v>
      </c>
      <c r="D130" s="609">
        <v>2020</v>
      </c>
      <c r="E130" s="977">
        <v>3062416114.7472153</v>
      </c>
      <c r="F130" s="977">
        <v>545302382.15504014</v>
      </c>
      <c r="G130" s="7">
        <f t="shared" si="10"/>
        <v>2517113732.592175</v>
      </c>
      <c r="H130" s="7">
        <f t="shared" si="12"/>
        <v>55205.859999656677</v>
      </c>
    </row>
    <row r="131" spans="1:8" ht="13">
      <c r="A131" s="505"/>
      <c r="C131" s="494"/>
      <c r="D131" s="498"/>
    </row>
    <row r="133" spans="1:8" ht="13">
      <c r="C133" s="188" t="s">
        <v>1542</v>
      </c>
      <c r="E133" s="84" t="s">
        <v>358</v>
      </c>
      <c r="F133" s="84" t="s">
        <v>342</v>
      </c>
      <c r="G133" s="84" t="s">
        <v>343</v>
      </c>
      <c r="H133" s="84" t="s">
        <v>344</v>
      </c>
    </row>
    <row r="134" spans="1:8">
      <c r="G134" s="525" t="s">
        <v>1643</v>
      </c>
      <c r="H134" s="525" t="s">
        <v>1644</v>
      </c>
    </row>
    <row r="135" spans="1:8" ht="13">
      <c r="C135" s="505" t="s">
        <v>528</v>
      </c>
      <c r="G135" s="14"/>
      <c r="H135" s="1142" t="s">
        <v>1645</v>
      </c>
    </row>
    <row r="136" spans="1:8" ht="13">
      <c r="C136" s="505" t="s">
        <v>193</v>
      </c>
      <c r="E136" s="505" t="s">
        <v>371</v>
      </c>
      <c r="F136" s="505" t="s">
        <v>1540</v>
      </c>
      <c r="G136" s="109" t="s">
        <v>992</v>
      </c>
      <c r="H136" s="109" t="s">
        <v>1116</v>
      </c>
    </row>
    <row r="137" spans="1:8" ht="13">
      <c r="C137" s="25" t="s">
        <v>192</v>
      </c>
      <c r="D137" s="25" t="s">
        <v>193</v>
      </c>
      <c r="E137" s="3" t="s">
        <v>1541</v>
      </c>
      <c r="F137" s="3" t="s">
        <v>1080</v>
      </c>
      <c r="G137" s="3" t="s">
        <v>3</v>
      </c>
      <c r="H137" s="3" t="s">
        <v>1536</v>
      </c>
    </row>
    <row r="138" spans="1:8" ht="13">
      <c r="A138" s="505">
        <f>A130+1</f>
        <v>67</v>
      </c>
      <c r="C138" s="494" t="s">
        <v>180</v>
      </c>
      <c r="D138" s="1047">
        <v>2019</v>
      </c>
      <c r="E138" s="977">
        <v>191500873.53999996</v>
      </c>
      <c r="F138" s="977">
        <v>50825642</v>
      </c>
      <c r="G138" s="7">
        <f>E138-F138</f>
        <v>140675231.53999996</v>
      </c>
      <c r="H138" s="7">
        <f>E138-E138</f>
        <v>0</v>
      </c>
    </row>
    <row r="139" spans="1:8" ht="13">
      <c r="A139" s="505">
        <f>A138+1</f>
        <v>68</v>
      </c>
      <c r="C139" s="494" t="s">
        <v>181</v>
      </c>
      <c r="D139" s="609">
        <v>2020</v>
      </c>
      <c r="E139" s="977">
        <v>191500873.53999996</v>
      </c>
      <c r="F139" s="977">
        <v>51141849.604589574</v>
      </c>
      <c r="G139" s="7">
        <f t="shared" ref="G139:G150" si="13">E139-F139</f>
        <v>140359023.93541038</v>
      </c>
      <c r="H139" s="7">
        <f>E139-E138</f>
        <v>0</v>
      </c>
    </row>
    <row r="140" spans="1:8" ht="13">
      <c r="A140" s="505">
        <f t="shared" ref="A140:A150" si="14">A139+1</f>
        <v>69</v>
      </c>
      <c r="C140" s="492" t="s">
        <v>182</v>
      </c>
      <c r="D140" s="609">
        <v>2020</v>
      </c>
      <c r="E140" s="977">
        <v>191500873.53999996</v>
      </c>
      <c r="F140" s="977">
        <v>51536770.358043827</v>
      </c>
      <c r="G140" s="7">
        <f t="shared" si="13"/>
        <v>139964103.18195614</v>
      </c>
      <c r="H140" s="7">
        <f t="shared" ref="H140:H150" si="15">E140-E139</f>
        <v>0</v>
      </c>
    </row>
    <row r="141" spans="1:8" ht="13">
      <c r="A141" s="505">
        <f t="shared" si="14"/>
        <v>70</v>
      </c>
      <c r="C141" s="492" t="s">
        <v>195</v>
      </c>
      <c r="D141" s="609">
        <v>2020</v>
      </c>
      <c r="E141" s="977">
        <v>191500873.53999996</v>
      </c>
      <c r="F141" s="977">
        <v>51931691.11149808</v>
      </c>
      <c r="G141" s="7">
        <f t="shared" si="13"/>
        <v>139569182.42850187</v>
      </c>
      <c r="H141" s="7">
        <f t="shared" si="15"/>
        <v>0</v>
      </c>
    </row>
    <row r="142" spans="1:8" ht="13">
      <c r="A142" s="505">
        <f t="shared" si="14"/>
        <v>71</v>
      </c>
      <c r="C142" s="494" t="s">
        <v>183</v>
      </c>
      <c r="D142" s="609">
        <v>2020</v>
      </c>
      <c r="E142" s="977">
        <v>191500873.53999996</v>
      </c>
      <c r="F142" s="977">
        <v>52326611.864952326</v>
      </c>
      <c r="G142" s="7">
        <f t="shared" si="13"/>
        <v>139174261.67504764</v>
      </c>
      <c r="H142" s="7">
        <f t="shared" si="15"/>
        <v>0</v>
      </c>
    </row>
    <row r="143" spans="1:8" ht="13">
      <c r="A143" s="505">
        <f t="shared" si="14"/>
        <v>72</v>
      </c>
      <c r="C143" s="492" t="s">
        <v>184</v>
      </c>
      <c r="D143" s="609">
        <v>2020</v>
      </c>
      <c r="E143" s="977">
        <v>191500873.53999996</v>
      </c>
      <c r="F143" s="977">
        <v>52721532.618406571</v>
      </c>
      <c r="G143" s="7">
        <f t="shared" si="13"/>
        <v>138779340.9215934</v>
      </c>
      <c r="H143" s="7">
        <f t="shared" si="15"/>
        <v>0</v>
      </c>
    </row>
    <row r="144" spans="1:8" ht="13">
      <c r="A144" s="505">
        <f t="shared" si="14"/>
        <v>73</v>
      </c>
      <c r="C144" s="492" t="s">
        <v>185</v>
      </c>
      <c r="D144" s="609">
        <v>2020</v>
      </c>
      <c r="E144" s="977">
        <v>191500873.53999996</v>
      </c>
      <c r="F144" s="977">
        <v>53116453.371860832</v>
      </c>
      <c r="G144" s="7">
        <f t="shared" si="13"/>
        <v>138384420.16813913</v>
      </c>
      <c r="H144" s="7">
        <f t="shared" si="15"/>
        <v>0</v>
      </c>
    </row>
    <row r="145" spans="1:8" ht="13">
      <c r="A145" s="505">
        <f t="shared" si="14"/>
        <v>74</v>
      </c>
      <c r="C145" s="494" t="s">
        <v>186</v>
      </c>
      <c r="D145" s="609">
        <v>2020</v>
      </c>
      <c r="E145" s="977">
        <v>191500873.53999996</v>
      </c>
      <c r="F145" s="977">
        <v>53511374.125315078</v>
      </c>
      <c r="G145" s="7">
        <f t="shared" si="13"/>
        <v>137989499.41468489</v>
      </c>
      <c r="H145" s="7">
        <f t="shared" si="15"/>
        <v>0</v>
      </c>
    </row>
    <row r="146" spans="1:8" ht="13">
      <c r="A146" s="505">
        <f t="shared" si="14"/>
        <v>75</v>
      </c>
      <c r="C146" s="492" t="s">
        <v>187</v>
      </c>
      <c r="D146" s="609">
        <v>2020</v>
      </c>
      <c r="E146" s="977">
        <v>191500873.53999996</v>
      </c>
      <c r="F146" s="977">
        <v>53906294.878769323</v>
      </c>
      <c r="G146" s="7">
        <f t="shared" si="13"/>
        <v>137594578.66123062</v>
      </c>
      <c r="H146" s="7">
        <f t="shared" si="15"/>
        <v>0</v>
      </c>
    </row>
    <row r="147" spans="1:8" ht="13">
      <c r="A147" s="505">
        <f t="shared" si="14"/>
        <v>76</v>
      </c>
      <c r="C147" s="492" t="s">
        <v>188</v>
      </c>
      <c r="D147" s="609">
        <v>2020</v>
      </c>
      <c r="E147" s="977">
        <v>191500873.53999996</v>
      </c>
      <c r="F147" s="977">
        <v>54301215.632223569</v>
      </c>
      <c r="G147" s="7">
        <f t="shared" si="13"/>
        <v>137199657.90777639</v>
      </c>
      <c r="H147" s="7">
        <f t="shared" si="15"/>
        <v>0</v>
      </c>
    </row>
    <row r="148" spans="1:8" ht="13">
      <c r="A148" s="505">
        <f t="shared" si="14"/>
        <v>77</v>
      </c>
      <c r="C148" s="494" t="s">
        <v>189</v>
      </c>
      <c r="D148" s="609">
        <v>2020</v>
      </c>
      <c r="E148" s="977">
        <v>191500873.53999996</v>
      </c>
      <c r="F148" s="977">
        <v>54696136.385677829</v>
      </c>
      <c r="G148" s="7">
        <f t="shared" si="13"/>
        <v>136804737.15432215</v>
      </c>
      <c r="H148" s="7">
        <f t="shared" si="15"/>
        <v>0</v>
      </c>
    </row>
    <row r="149" spans="1:8" ht="13">
      <c r="A149" s="505">
        <f t="shared" si="14"/>
        <v>78</v>
      </c>
      <c r="C149" s="494" t="s">
        <v>190</v>
      </c>
      <c r="D149" s="609">
        <v>2020</v>
      </c>
      <c r="E149" s="977">
        <v>191500873.53999996</v>
      </c>
      <c r="F149" s="977">
        <v>55091057.139132075</v>
      </c>
      <c r="G149" s="7">
        <f t="shared" si="13"/>
        <v>136409816.40086788</v>
      </c>
      <c r="H149" s="7">
        <f t="shared" si="15"/>
        <v>0</v>
      </c>
    </row>
    <row r="150" spans="1:8" ht="13">
      <c r="A150" s="505">
        <f t="shared" si="14"/>
        <v>79</v>
      </c>
      <c r="C150" s="494" t="s">
        <v>180</v>
      </c>
      <c r="D150" s="609">
        <v>2020</v>
      </c>
      <c r="E150" s="977">
        <v>191500873.53999996</v>
      </c>
      <c r="F150" s="977">
        <v>55485977.892586321</v>
      </c>
      <c r="G150" s="7">
        <f t="shared" si="13"/>
        <v>136014895.64741364</v>
      </c>
      <c r="H150" s="7">
        <f t="shared" si="15"/>
        <v>0</v>
      </c>
    </row>
    <row r="151" spans="1:8" ht="13">
      <c r="A151" s="505"/>
    </row>
    <row r="152" spans="1:8" ht="12.75" customHeight="1"/>
    <row r="153" spans="1:8" ht="13">
      <c r="C153" s="188" t="s">
        <v>1543</v>
      </c>
      <c r="E153" s="84" t="s">
        <v>358</v>
      </c>
      <c r="F153" s="84" t="s">
        <v>342</v>
      </c>
      <c r="G153" s="84" t="s">
        <v>343</v>
      </c>
      <c r="H153" s="84" t="s">
        <v>344</v>
      </c>
    </row>
    <row r="154" spans="1:8">
      <c r="G154" s="525" t="s">
        <v>1643</v>
      </c>
      <c r="H154" s="472" t="s">
        <v>1644</v>
      </c>
    </row>
    <row r="155" spans="1:8" ht="13">
      <c r="C155" s="505" t="s">
        <v>528</v>
      </c>
      <c r="H155" s="464" t="s">
        <v>1645</v>
      </c>
    </row>
    <row r="156" spans="1:8" ht="13">
      <c r="C156" s="505" t="s">
        <v>193</v>
      </c>
      <c r="E156" s="505" t="s">
        <v>371</v>
      </c>
      <c r="F156" s="505" t="s">
        <v>1540</v>
      </c>
      <c r="G156" s="505" t="s">
        <v>992</v>
      </c>
      <c r="H156" s="505" t="s">
        <v>1116</v>
      </c>
    </row>
    <row r="157" spans="1:8" ht="13">
      <c r="C157" s="25" t="s">
        <v>192</v>
      </c>
      <c r="D157" s="25" t="s">
        <v>193</v>
      </c>
      <c r="E157" s="3" t="s">
        <v>1541</v>
      </c>
      <c r="F157" s="3" t="s">
        <v>1080</v>
      </c>
      <c r="G157" s="3" t="s">
        <v>3</v>
      </c>
      <c r="H157" s="3" t="s">
        <v>1536</v>
      </c>
    </row>
    <row r="158" spans="1:8" ht="13">
      <c r="A158" s="505">
        <f>A150+1</f>
        <v>80</v>
      </c>
      <c r="C158" s="494" t="s">
        <v>180</v>
      </c>
      <c r="D158" s="1047">
        <v>2019</v>
      </c>
      <c r="E158" s="977">
        <v>774699350.07999992</v>
      </c>
      <c r="F158" s="977">
        <v>125531994</v>
      </c>
      <c r="G158" s="7">
        <f t="shared" ref="G158:G170" si="16">E158-F158</f>
        <v>649167356.07999992</v>
      </c>
      <c r="H158" s="7">
        <f>E158-E158</f>
        <v>0</v>
      </c>
    </row>
    <row r="159" spans="1:8" ht="13">
      <c r="A159" s="505">
        <f>A158+1</f>
        <v>81</v>
      </c>
      <c r="C159" s="494" t="s">
        <v>181</v>
      </c>
      <c r="D159" s="609">
        <v>2020</v>
      </c>
      <c r="E159" s="977">
        <v>774699350.07999992</v>
      </c>
      <c r="F159" s="977">
        <v>126900553.35814071</v>
      </c>
      <c r="G159" s="7">
        <f t="shared" si="16"/>
        <v>647798796.72185922</v>
      </c>
      <c r="H159" s="7">
        <f>E159-E158</f>
        <v>0</v>
      </c>
    </row>
    <row r="160" spans="1:8" ht="13">
      <c r="A160" s="505">
        <f t="shared" ref="A160:A170" si="17">A159+1</f>
        <v>82</v>
      </c>
      <c r="C160" s="492" t="s">
        <v>182</v>
      </c>
      <c r="D160" s="609">
        <v>2020</v>
      </c>
      <c r="E160" s="977">
        <v>774699350.07999992</v>
      </c>
      <c r="F160" s="977">
        <v>128544626.49742213</v>
      </c>
      <c r="G160" s="7">
        <f t="shared" si="16"/>
        <v>646154723.58257782</v>
      </c>
      <c r="H160" s="7">
        <f t="shared" ref="H160:H170" si="18">E160-E159</f>
        <v>0</v>
      </c>
    </row>
    <row r="161" spans="1:8" ht="13">
      <c r="A161" s="505">
        <f t="shared" si="17"/>
        <v>83</v>
      </c>
      <c r="C161" s="492" t="s">
        <v>195</v>
      </c>
      <c r="D161" s="609">
        <v>2020</v>
      </c>
      <c r="E161" s="977">
        <v>774699350.07999992</v>
      </c>
      <c r="F161" s="977">
        <v>130188699.63670354</v>
      </c>
      <c r="G161" s="7">
        <f t="shared" si="16"/>
        <v>644510650.44329643</v>
      </c>
      <c r="H161" s="7">
        <f t="shared" si="18"/>
        <v>0</v>
      </c>
    </row>
    <row r="162" spans="1:8" ht="13">
      <c r="A162" s="505">
        <f t="shared" si="17"/>
        <v>84</v>
      </c>
      <c r="C162" s="494" t="s">
        <v>183</v>
      </c>
      <c r="D162" s="609">
        <v>2020</v>
      </c>
      <c r="E162" s="977">
        <v>774699350.07999992</v>
      </c>
      <c r="F162" s="977">
        <v>131832772.77598496</v>
      </c>
      <c r="G162" s="7">
        <f t="shared" si="16"/>
        <v>642866577.30401492</v>
      </c>
      <c r="H162" s="7">
        <f t="shared" si="18"/>
        <v>0</v>
      </c>
    </row>
    <row r="163" spans="1:8" ht="13">
      <c r="A163" s="505">
        <f t="shared" si="17"/>
        <v>85</v>
      </c>
      <c r="C163" s="492" t="s">
        <v>184</v>
      </c>
      <c r="D163" s="609">
        <v>2020</v>
      </c>
      <c r="E163" s="977">
        <v>774699350.07999992</v>
      </c>
      <c r="F163" s="977">
        <v>133476845.91526635</v>
      </c>
      <c r="G163" s="7">
        <f t="shared" si="16"/>
        <v>641222504.16473353</v>
      </c>
      <c r="H163" s="7">
        <f t="shared" si="18"/>
        <v>0</v>
      </c>
    </row>
    <row r="164" spans="1:8" ht="13">
      <c r="A164" s="505">
        <f t="shared" si="17"/>
        <v>86</v>
      </c>
      <c r="C164" s="492" t="s">
        <v>185</v>
      </c>
      <c r="D164" s="609">
        <v>2020</v>
      </c>
      <c r="E164" s="977">
        <v>774699350.07999992</v>
      </c>
      <c r="F164" s="977">
        <v>135120919.05454779</v>
      </c>
      <c r="G164" s="7">
        <f t="shared" si="16"/>
        <v>639578431.02545214</v>
      </c>
      <c r="H164" s="7">
        <f t="shared" si="18"/>
        <v>0</v>
      </c>
    </row>
    <row r="165" spans="1:8" ht="13">
      <c r="A165" s="505">
        <f t="shared" si="17"/>
        <v>87</v>
      </c>
      <c r="C165" s="494" t="s">
        <v>186</v>
      </c>
      <c r="D165" s="609">
        <v>2020</v>
      </c>
      <c r="E165" s="977">
        <v>774699350.07999992</v>
      </c>
      <c r="F165" s="977">
        <v>136764992.19382921</v>
      </c>
      <c r="G165" s="7">
        <f t="shared" si="16"/>
        <v>637934357.88617074</v>
      </c>
      <c r="H165" s="7">
        <f t="shared" si="18"/>
        <v>0</v>
      </c>
    </row>
    <row r="166" spans="1:8" ht="13">
      <c r="A166" s="505">
        <f t="shared" si="17"/>
        <v>88</v>
      </c>
      <c r="C166" s="492" t="s">
        <v>187</v>
      </c>
      <c r="D166" s="609">
        <v>2020</v>
      </c>
      <c r="E166" s="977">
        <v>774699350.07999992</v>
      </c>
      <c r="F166" s="977">
        <v>138409065.33311063</v>
      </c>
      <c r="G166" s="7">
        <f t="shared" si="16"/>
        <v>636290284.74688935</v>
      </c>
      <c r="H166" s="7">
        <f t="shared" si="18"/>
        <v>0</v>
      </c>
    </row>
    <row r="167" spans="1:8" ht="13">
      <c r="A167" s="505">
        <f t="shared" si="17"/>
        <v>89</v>
      </c>
      <c r="C167" s="492" t="s">
        <v>188</v>
      </c>
      <c r="D167" s="609">
        <v>2020</v>
      </c>
      <c r="E167" s="977">
        <v>774699350.07999992</v>
      </c>
      <c r="F167" s="977">
        <v>140053138.47239205</v>
      </c>
      <c r="G167" s="7">
        <f t="shared" si="16"/>
        <v>634646211.60760784</v>
      </c>
      <c r="H167" s="7">
        <f t="shared" si="18"/>
        <v>0</v>
      </c>
    </row>
    <row r="168" spans="1:8" ht="13">
      <c r="A168" s="505">
        <f t="shared" si="17"/>
        <v>90</v>
      </c>
      <c r="C168" s="494" t="s">
        <v>189</v>
      </c>
      <c r="D168" s="609">
        <v>2020</v>
      </c>
      <c r="E168" s="977">
        <v>774699350.07999992</v>
      </c>
      <c r="F168" s="977">
        <v>141697211.61167344</v>
      </c>
      <c r="G168" s="7">
        <f t="shared" si="16"/>
        <v>633002138.46832645</v>
      </c>
      <c r="H168" s="7">
        <f t="shared" si="18"/>
        <v>0</v>
      </c>
    </row>
    <row r="169" spans="1:8" ht="13">
      <c r="A169" s="505">
        <f t="shared" si="17"/>
        <v>91</v>
      </c>
      <c r="C169" s="494" t="s">
        <v>190</v>
      </c>
      <c r="D169" s="609">
        <v>2020</v>
      </c>
      <c r="E169" s="977">
        <v>774699350.07999992</v>
      </c>
      <c r="F169" s="977">
        <v>143341284.75095487</v>
      </c>
      <c r="G169" s="7">
        <f t="shared" si="16"/>
        <v>631358065.32904506</v>
      </c>
      <c r="H169" s="7">
        <f t="shared" si="18"/>
        <v>0</v>
      </c>
    </row>
    <row r="170" spans="1:8" ht="13">
      <c r="A170" s="505">
        <f t="shared" si="17"/>
        <v>92</v>
      </c>
      <c r="C170" s="494" t="s">
        <v>180</v>
      </c>
      <c r="D170" s="609">
        <v>2020</v>
      </c>
      <c r="E170" s="977">
        <v>774699350.07999992</v>
      </c>
      <c r="F170" s="977">
        <v>144985357.89023629</v>
      </c>
      <c r="G170" s="7">
        <f t="shared" si="16"/>
        <v>629713992.18976367</v>
      </c>
      <c r="H170" s="7">
        <f t="shared" si="18"/>
        <v>0</v>
      </c>
    </row>
    <row r="172" spans="1:8" ht="13">
      <c r="C172" s="188" t="s">
        <v>2333</v>
      </c>
      <c r="E172" s="84" t="s">
        <v>358</v>
      </c>
      <c r="F172" s="84" t="s">
        <v>342</v>
      </c>
      <c r="G172" s="84" t="s">
        <v>343</v>
      </c>
      <c r="H172" s="84" t="s">
        <v>344</v>
      </c>
    </row>
    <row r="173" spans="1:8">
      <c r="G173" s="525" t="s">
        <v>1643</v>
      </c>
      <c r="H173" s="525" t="s">
        <v>1644</v>
      </c>
    </row>
    <row r="174" spans="1:8" ht="13">
      <c r="C174" s="505" t="s">
        <v>528</v>
      </c>
      <c r="G174" s="14"/>
      <c r="H174" s="1142" t="s">
        <v>1645</v>
      </c>
    </row>
    <row r="175" spans="1:8" ht="13">
      <c r="C175" s="505" t="s">
        <v>193</v>
      </c>
      <c r="E175" s="505" t="s">
        <v>371</v>
      </c>
      <c r="F175" s="505" t="s">
        <v>1540</v>
      </c>
      <c r="G175" s="505" t="s">
        <v>992</v>
      </c>
      <c r="H175" s="505" t="s">
        <v>1116</v>
      </c>
    </row>
    <row r="176" spans="1:8" ht="13">
      <c r="C176" s="25" t="s">
        <v>192</v>
      </c>
      <c r="D176" s="25" t="s">
        <v>193</v>
      </c>
      <c r="E176" s="3" t="s">
        <v>1541</v>
      </c>
      <c r="F176" s="3" t="s">
        <v>1080</v>
      </c>
      <c r="G176" s="3" t="s">
        <v>3</v>
      </c>
      <c r="H176" s="3" t="s">
        <v>1536</v>
      </c>
    </row>
    <row r="177" spans="1:8" ht="13">
      <c r="A177" s="505">
        <f>A170+1</f>
        <v>93</v>
      </c>
      <c r="C177" s="494" t="s">
        <v>180</v>
      </c>
      <c r="D177" s="1047">
        <v>2019</v>
      </c>
      <c r="E177" s="977">
        <v>0</v>
      </c>
      <c r="F177" s="977">
        <v>0</v>
      </c>
      <c r="G177" s="7">
        <f t="shared" ref="G177:G189" si="19">E177-F177</f>
        <v>0</v>
      </c>
      <c r="H177" s="7">
        <f>E177-E177</f>
        <v>0</v>
      </c>
    </row>
    <row r="178" spans="1:8" ht="13">
      <c r="A178" s="505">
        <f>A177+1</f>
        <v>94</v>
      </c>
      <c r="C178" s="494" t="s">
        <v>181</v>
      </c>
      <c r="D178" s="609">
        <v>2020</v>
      </c>
      <c r="E178" s="977">
        <v>0</v>
      </c>
      <c r="F178" s="977">
        <v>0</v>
      </c>
      <c r="G178" s="7">
        <f t="shared" si="19"/>
        <v>0</v>
      </c>
      <c r="H178" s="7">
        <f>E178-E177</f>
        <v>0</v>
      </c>
    </row>
    <row r="179" spans="1:8" ht="13">
      <c r="A179" s="505">
        <f t="shared" ref="A179:A189" si="20">A178+1</f>
        <v>95</v>
      </c>
      <c r="C179" s="492" t="s">
        <v>182</v>
      </c>
      <c r="D179" s="609">
        <v>2020</v>
      </c>
      <c r="E179" s="977">
        <v>0</v>
      </c>
      <c r="F179" s="977">
        <v>0</v>
      </c>
      <c r="G179" s="7">
        <f t="shared" si="19"/>
        <v>0</v>
      </c>
      <c r="H179" s="7">
        <f t="shared" ref="H179:H189" si="21">E179-E178</f>
        <v>0</v>
      </c>
    </row>
    <row r="180" spans="1:8" ht="13">
      <c r="A180" s="505">
        <f t="shared" si="20"/>
        <v>96</v>
      </c>
      <c r="C180" s="492" t="s">
        <v>195</v>
      </c>
      <c r="D180" s="609">
        <v>2020</v>
      </c>
      <c r="E180" s="977">
        <v>0</v>
      </c>
      <c r="F180" s="977">
        <v>0</v>
      </c>
      <c r="G180" s="7">
        <f t="shared" si="19"/>
        <v>0</v>
      </c>
      <c r="H180" s="7">
        <f t="shared" si="21"/>
        <v>0</v>
      </c>
    </row>
    <row r="181" spans="1:8" ht="13">
      <c r="A181" s="505">
        <f t="shared" si="20"/>
        <v>97</v>
      </c>
      <c r="C181" s="494" t="s">
        <v>183</v>
      </c>
      <c r="D181" s="609">
        <v>2020</v>
      </c>
      <c r="E181" s="977">
        <v>0</v>
      </c>
      <c r="F181" s="977">
        <v>0</v>
      </c>
      <c r="G181" s="7">
        <f t="shared" si="19"/>
        <v>0</v>
      </c>
      <c r="H181" s="7">
        <f t="shared" si="21"/>
        <v>0</v>
      </c>
    </row>
    <row r="182" spans="1:8" ht="13">
      <c r="A182" s="505">
        <f t="shared" si="20"/>
        <v>98</v>
      </c>
      <c r="C182" s="492" t="s">
        <v>184</v>
      </c>
      <c r="D182" s="609">
        <v>2020</v>
      </c>
      <c r="E182" s="977">
        <v>0</v>
      </c>
      <c r="F182" s="977">
        <v>0</v>
      </c>
      <c r="G182" s="7">
        <f t="shared" si="19"/>
        <v>0</v>
      </c>
      <c r="H182" s="7">
        <f t="shared" si="21"/>
        <v>0</v>
      </c>
    </row>
    <row r="183" spans="1:8" ht="13">
      <c r="A183" s="505">
        <f t="shared" si="20"/>
        <v>99</v>
      </c>
      <c r="C183" s="492" t="s">
        <v>185</v>
      </c>
      <c r="D183" s="609">
        <v>2020</v>
      </c>
      <c r="E183" s="977">
        <v>0</v>
      </c>
      <c r="F183" s="977">
        <v>0</v>
      </c>
      <c r="G183" s="7">
        <f t="shared" si="19"/>
        <v>0</v>
      </c>
      <c r="H183" s="7">
        <f t="shared" si="21"/>
        <v>0</v>
      </c>
    </row>
    <row r="184" spans="1:8" ht="13">
      <c r="A184" s="505">
        <f t="shared" si="20"/>
        <v>100</v>
      </c>
      <c r="C184" s="494" t="s">
        <v>186</v>
      </c>
      <c r="D184" s="609">
        <v>2020</v>
      </c>
      <c r="E184" s="977">
        <v>0</v>
      </c>
      <c r="F184" s="977">
        <v>0</v>
      </c>
      <c r="G184" s="7">
        <f t="shared" si="19"/>
        <v>0</v>
      </c>
      <c r="H184" s="7">
        <f t="shared" si="21"/>
        <v>0</v>
      </c>
    </row>
    <row r="185" spans="1:8" ht="13">
      <c r="A185" s="505">
        <f t="shared" si="20"/>
        <v>101</v>
      </c>
      <c r="C185" s="492" t="s">
        <v>187</v>
      </c>
      <c r="D185" s="609">
        <v>2020</v>
      </c>
      <c r="E185" s="977">
        <v>0</v>
      </c>
      <c r="F185" s="977">
        <v>0</v>
      </c>
      <c r="G185" s="7">
        <f t="shared" si="19"/>
        <v>0</v>
      </c>
      <c r="H185" s="7">
        <f t="shared" si="21"/>
        <v>0</v>
      </c>
    </row>
    <row r="186" spans="1:8" ht="13">
      <c r="A186" s="505">
        <f t="shared" si="20"/>
        <v>102</v>
      </c>
      <c r="C186" s="492" t="s">
        <v>188</v>
      </c>
      <c r="D186" s="609">
        <v>2020</v>
      </c>
      <c r="E186" s="977">
        <v>0</v>
      </c>
      <c r="F186" s="977">
        <v>0</v>
      </c>
      <c r="G186" s="7">
        <f t="shared" si="19"/>
        <v>0</v>
      </c>
      <c r="H186" s="7">
        <f t="shared" si="21"/>
        <v>0</v>
      </c>
    </row>
    <row r="187" spans="1:8" ht="13">
      <c r="A187" s="505">
        <f t="shared" si="20"/>
        <v>103</v>
      </c>
      <c r="C187" s="494" t="s">
        <v>189</v>
      </c>
      <c r="D187" s="609">
        <v>2020</v>
      </c>
      <c r="E187" s="977">
        <v>0</v>
      </c>
      <c r="F187" s="977">
        <v>0</v>
      </c>
      <c r="G187" s="7">
        <f t="shared" si="19"/>
        <v>0</v>
      </c>
      <c r="H187" s="7">
        <f t="shared" si="21"/>
        <v>0</v>
      </c>
    </row>
    <row r="188" spans="1:8" ht="13">
      <c r="A188" s="505">
        <f t="shared" si="20"/>
        <v>104</v>
      </c>
      <c r="C188" s="494" t="s">
        <v>190</v>
      </c>
      <c r="D188" s="609">
        <v>2020</v>
      </c>
      <c r="E188" s="977">
        <v>0</v>
      </c>
      <c r="F188" s="977">
        <v>0</v>
      </c>
      <c r="G188" s="7">
        <f t="shared" si="19"/>
        <v>0</v>
      </c>
      <c r="H188" s="7">
        <f t="shared" si="21"/>
        <v>0</v>
      </c>
    </row>
    <row r="189" spans="1:8" ht="13">
      <c r="A189" s="505">
        <f t="shared" si="20"/>
        <v>105</v>
      </c>
      <c r="C189" s="494" t="s">
        <v>180</v>
      </c>
      <c r="D189" s="609">
        <v>2020</v>
      </c>
      <c r="E189" s="977">
        <v>0</v>
      </c>
      <c r="F189" s="977">
        <v>0</v>
      </c>
      <c r="G189" s="7">
        <f t="shared" si="19"/>
        <v>0</v>
      </c>
      <c r="H189" s="7">
        <f t="shared" si="21"/>
        <v>0</v>
      </c>
    </row>
    <row r="191" spans="1:8" ht="13">
      <c r="C191" s="188" t="s">
        <v>2334</v>
      </c>
      <c r="E191" s="84" t="s">
        <v>358</v>
      </c>
      <c r="F191" s="84" t="s">
        <v>342</v>
      </c>
      <c r="G191" s="84" t="s">
        <v>343</v>
      </c>
      <c r="H191" s="84" t="s">
        <v>344</v>
      </c>
    </row>
    <row r="192" spans="1:8">
      <c r="G192" s="525" t="s">
        <v>1643</v>
      </c>
      <c r="H192" s="525" t="s">
        <v>1644</v>
      </c>
    </row>
    <row r="193" spans="1:8" ht="13">
      <c r="C193" s="505" t="s">
        <v>528</v>
      </c>
      <c r="G193" s="14"/>
      <c r="H193" s="1142" t="s">
        <v>1645</v>
      </c>
    </row>
    <row r="194" spans="1:8" ht="13">
      <c r="C194" s="505" t="s">
        <v>193</v>
      </c>
      <c r="E194" s="505" t="s">
        <v>371</v>
      </c>
      <c r="F194" s="505" t="s">
        <v>1540</v>
      </c>
      <c r="G194" s="505" t="s">
        <v>992</v>
      </c>
      <c r="H194" s="505" t="s">
        <v>1116</v>
      </c>
    </row>
    <row r="195" spans="1:8" ht="13">
      <c r="C195" s="25" t="s">
        <v>192</v>
      </c>
      <c r="D195" s="25" t="s">
        <v>193</v>
      </c>
      <c r="E195" s="3" t="s">
        <v>1541</v>
      </c>
      <c r="F195" s="3" t="s">
        <v>1080</v>
      </c>
      <c r="G195" s="3" t="s">
        <v>3</v>
      </c>
      <c r="H195" s="3" t="s">
        <v>1536</v>
      </c>
    </row>
    <row r="196" spans="1:8" ht="13">
      <c r="A196" s="505">
        <f>A189+1</f>
        <v>106</v>
      </c>
      <c r="C196" s="494" t="s">
        <v>180</v>
      </c>
      <c r="D196" s="1047">
        <v>2019</v>
      </c>
      <c r="E196" s="977">
        <v>3156346.3000000007</v>
      </c>
      <c r="F196" s="977">
        <v>103900</v>
      </c>
      <c r="G196" s="7">
        <f t="shared" ref="G196:G208" si="22">E196-F196</f>
        <v>3052446.3000000007</v>
      </c>
      <c r="H196" s="7">
        <f>E196-E196</f>
        <v>0</v>
      </c>
    </row>
    <row r="197" spans="1:8" ht="13">
      <c r="A197" s="505">
        <f>A196+1</f>
        <v>107</v>
      </c>
      <c r="C197" s="494" t="s">
        <v>181</v>
      </c>
      <c r="D197" s="609">
        <v>2020</v>
      </c>
      <c r="E197" s="977">
        <v>3156346.3000000007</v>
      </c>
      <c r="F197" s="977">
        <v>108806.77847216668</v>
      </c>
      <c r="G197" s="7">
        <f t="shared" si="22"/>
        <v>3047539.5215278342</v>
      </c>
      <c r="H197" s="7">
        <f>E197-E196</f>
        <v>0</v>
      </c>
    </row>
    <row r="198" spans="1:8" ht="13">
      <c r="A198" s="505">
        <f t="shared" ref="A198:A208" si="23">A197+1</f>
        <v>108</v>
      </c>
      <c r="C198" s="492" t="s">
        <v>182</v>
      </c>
      <c r="D198" s="609">
        <v>2020</v>
      </c>
      <c r="E198" s="977">
        <v>8597420.2400000021</v>
      </c>
      <c r="F198" s="977">
        <v>115303.59127300003</v>
      </c>
      <c r="G198" s="7">
        <f t="shared" si="22"/>
        <v>8482116.6487270016</v>
      </c>
      <c r="H198" s="7">
        <f t="shared" ref="H198:H208" si="24">E198-E197</f>
        <v>5441073.9400000013</v>
      </c>
    </row>
    <row r="199" spans="1:8" ht="13">
      <c r="A199" s="505">
        <f t="shared" si="23"/>
        <v>109</v>
      </c>
      <c r="C199" s="492" t="s">
        <v>195</v>
      </c>
      <c r="D199" s="609">
        <v>2020</v>
      </c>
      <c r="E199" s="977">
        <v>9035781.4900000021</v>
      </c>
      <c r="F199" s="977">
        <v>132999.9479336667</v>
      </c>
      <c r="G199" s="7">
        <f t="shared" si="22"/>
        <v>8902781.5420663357</v>
      </c>
      <c r="H199" s="7">
        <f t="shared" si="24"/>
        <v>438361.25</v>
      </c>
    </row>
    <row r="200" spans="1:8" ht="13">
      <c r="A200" s="505">
        <f t="shared" si="23"/>
        <v>110</v>
      </c>
      <c r="C200" s="494" t="s">
        <v>183</v>
      </c>
      <c r="D200" s="609">
        <v>2020</v>
      </c>
      <c r="E200" s="977">
        <v>9051812.9300000016</v>
      </c>
      <c r="F200" s="977">
        <v>151598.59816725002</v>
      </c>
      <c r="G200" s="7">
        <f t="shared" si="22"/>
        <v>8900214.3318327516</v>
      </c>
      <c r="H200" s="7">
        <f t="shared" si="24"/>
        <v>16031.439999999478</v>
      </c>
    </row>
    <row r="201" spans="1:8" ht="13">
      <c r="A201" s="505">
        <f t="shared" si="23"/>
        <v>111</v>
      </c>
      <c r="C201" s="492" t="s">
        <v>184</v>
      </c>
      <c r="D201" s="609">
        <v>2020</v>
      </c>
      <c r="E201" s="977">
        <v>9110638.2700000014</v>
      </c>
      <c r="F201" s="977">
        <v>170230.2464481667</v>
      </c>
      <c r="G201" s="7">
        <f t="shared" si="22"/>
        <v>8940408.0235518347</v>
      </c>
      <c r="H201" s="7">
        <f t="shared" si="24"/>
        <v>58825.339999999851</v>
      </c>
    </row>
    <row r="202" spans="1:8" ht="13">
      <c r="A202" s="505">
        <f t="shared" si="23"/>
        <v>112</v>
      </c>
      <c r="C202" s="492" t="s">
        <v>185</v>
      </c>
      <c r="D202" s="609">
        <v>2020</v>
      </c>
      <c r="E202" s="977">
        <v>9143952.7200000007</v>
      </c>
      <c r="F202" s="977">
        <v>188982.97688725003</v>
      </c>
      <c r="G202" s="7">
        <f t="shared" si="22"/>
        <v>8954969.7431127504</v>
      </c>
      <c r="H202" s="7">
        <f t="shared" si="24"/>
        <v>33314.449999999255</v>
      </c>
    </row>
    <row r="203" spans="1:8" ht="13">
      <c r="A203" s="505">
        <f t="shared" si="23"/>
        <v>113</v>
      </c>
      <c r="C203" s="494" t="s">
        <v>186</v>
      </c>
      <c r="D203" s="609">
        <v>2020</v>
      </c>
      <c r="E203" s="977">
        <v>9161733.7000000011</v>
      </c>
      <c r="F203" s="977">
        <v>207804.27956925001</v>
      </c>
      <c r="G203" s="7">
        <f t="shared" si="22"/>
        <v>8953929.4204307515</v>
      </c>
      <c r="H203" s="7">
        <f t="shared" si="24"/>
        <v>17780.980000000447</v>
      </c>
    </row>
    <row r="204" spans="1:8" ht="13">
      <c r="A204" s="505">
        <f t="shared" si="23"/>
        <v>114</v>
      </c>
      <c r="C204" s="492" t="s">
        <v>187</v>
      </c>
      <c r="D204" s="609">
        <v>2020</v>
      </c>
      <c r="E204" s="977">
        <v>9187384.1800000016</v>
      </c>
      <c r="F204" s="977">
        <v>226662.18143508336</v>
      </c>
      <c r="G204" s="7">
        <f t="shared" si="22"/>
        <v>8960721.9985649176</v>
      </c>
      <c r="H204" s="7">
        <f t="shared" si="24"/>
        <v>25650.480000000447</v>
      </c>
    </row>
    <row r="205" spans="1:8" ht="13">
      <c r="A205" s="505">
        <f t="shared" si="23"/>
        <v>115</v>
      </c>
      <c r="C205" s="492" t="s">
        <v>188</v>
      </c>
      <c r="D205" s="609">
        <v>2020</v>
      </c>
      <c r="E205" s="977">
        <v>9205696.0300000012</v>
      </c>
      <c r="F205" s="977">
        <v>245572.88053891671</v>
      </c>
      <c r="G205" s="7">
        <f t="shared" si="22"/>
        <v>8960123.149461085</v>
      </c>
      <c r="H205" s="7">
        <f t="shared" si="24"/>
        <v>18311.849999999627</v>
      </c>
    </row>
    <row r="206" spans="1:8" ht="13">
      <c r="A206" s="505">
        <f t="shared" si="23"/>
        <v>116</v>
      </c>
      <c r="C206" s="494" t="s">
        <v>189</v>
      </c>
      <c r="D206" s="609">
        <v>2020</v>
      </c>
      <c r="E206" s="977">
        <v>9250610.7000000011</v>
      </c>
      <c r="F206" s="977">
        <v>264521.27153400006</v>
      </c>
      <c r="G206" s="7">
        <f t="shared" si="22"/>
        <v>8986089.4284660015</v>
      </c>
      <c r="H206" s="7">
        <f t="shared" si="24"/>
        <v>44914.669999999925</v>
      </c>
    </row>
    <row r="207" spans="1:8" ht="13">
      <c r="A207" s="505">
        <f t="shared" si="23"/>
        <v>117</v>
      </c>
      <c r="C207" s="494" t="s">
        <v>190</v>
      </c>
      <c r="D207" s="609">
        <v>2020</v>
      </c>
      <c r="E207" s="977">
        <v>17404943.48</v>
      </c>
      <c r="F207" s="977">
        <v>283562.11189150007</v>
      </c>
      <c r="G207" s="7">
        <f t="shared" si="22"/>
        <v>17121381.3681085</v>
      </c>
      <c r="H207" s="7">
        <f t="shared" si="24"/>
        <v>8154332.7799999993</v>
      </c>
    </row>
    <row r="208" spans="1:8" ht="13">
      <c r="A208" s="505">
        <f t="shared" si="23"/>
        <v>118</v>
      </c>
      <c r="C208" s="494" t="s">
        <v>180</v>
      </c>
      <c r="D208" s="609">
        <v>2020</v>
      </c>
      <c r="E208" s="977">
        <v>9270643.8900000006</v>
      </c>
      <c r="F208" s="977">
        <v>319387.28722116677</v>
      </c>
      <c r="G208" s="7">
        <f t="shared" si="22"/>
        <v>8951256.6027788334</v>
      </c>
      <c r="H208" s="7">
        <f t="shared" si="24"/>
        <v>-8134299.5899999999</v>
      </c>
    </row>
    <row r="210" spans="1:8" ht="13">
      <c r="C210" s="188" t="s">
        <v>1544</v>
      </c>
      <c r="E210" s="84" t="s">
        <v>358</v>
      </c>
      <c r="F210" s="84" t="s">
        <v>342</v>
      </c>
      <c r="G210" s="84" t="s">
        <v>343</v>
      </c>
      <c r="H210" s="84" t="s">
        <v>344</v>
      </c>
    </row>
    <row r="211" spans="1:8">
      <c r="G211" s="525" t="s">
        <v>1643</v>
      </c>
      <c r="H211" s="525" t="s">
        <v>1644</v>
      </c>
    </row>
    <row r="212" spans="1:8" ht="13">
      <c r="C212" s="505" t="s">
        <v>528</v>
      </c>
      <c r="G212" s="14"/>
      <c r="H212" s="1142" t="s">
        <v>1645</v>
      </c>
    </row>
    <row r="213" spans="1:8" ht="13">
      <c r="C213" s="505" t="s">
        <v>193</v>
      </c>
      <c r="E213" s="505" t="s">
        <v>371</v>
      </c>
      <c r="F213" s="505" t="s">
        <v>1540</v>
      </c>
      <c r="G213" s="505" t="s">
        <v>992</v>
      </c>
      <c r="H213" s="505" t="s">
        <v>1116</v>
      </c>
    </row>
    <row r="214" spans="1:8" ht="13">
      <c r="C214" s="25" t="s">
        <v>192</v>
      </c>
      <c r="D214" s="25" t="s">
        <v>193</v>
      </c>
      <c r="E214" s="3" t="s">
        <v>1541</v>
      </c>
      <c r="F214" s="3" t="s">
        <v>1080</v>
      </c>
      <c r="G214" s="3" t="s">
        <v>3</v>
      </c>
      <c r="H214" s="3" t="s">
        <v>1536</v>
      </c>
    </row>
    <row r="215" spans="1:8" ht="13">
      <c r="A215" s="505">
        <f>A208+1</f>
        <v>119</v>
      </c>
      <c r="C215" s="494" t="s">
        <v>180</v>
      </c>
      <c r="D215" s="1047">
        <v>2019</v>
      </c>
      <c r="E215" s="977">
        <v>235653780.98999995</v>
      </c>
      <c r="F215" s="977">
        <v>37515266</v>
      </c>
      <c r="G215" s="7">
        <f t="shared" ref="G215:G227" si="25">E215-F215</f>
        <v>198138514.98999995</v>
      </c>
      <c r="H215" s="7">
        <f>E215-E215</f>
        <v>0</v>
      </c>
    </row>
    <row r="216" spans="1:8" ht="13">
      <c r="A216" s="505">
        <f>A215+1</f>
        <v>120</v>
      </c>
      <c r="C216" s="494" t="s">
        <v>181</v>
      </c>
      <c r="D216" s="609">
        <v>2020</v>
      </c>
      <c r="E216" s="977">
        <v>235653780.98999995</v>
      </c>
      <c r="F216" s="977">
        <v>37965620.7296395</v>
      </c>
      <c r="G216" s="7">
        <f t="shared" si="25"/>
        <v>197688160.26036045</v>
      </c>
      <c r="H216" s="7">
        <f>E216-E215</f>
        <v>0</v>
      </c>
    </row>
    <row r="217" spans="1:8" ht="13">
      <c r="A217" s="505">
        <f t="shared" ref="A217:A227" si="26">A216+1</f>
        <v>121</v>
      </c>
      <c r="C217" s="492" t="s">
        <v>182</v>
      </c>
      <c r="D217" s="609">
        <v>2020</v>
      </c>
      <c r="E217" s="977">
        <v>235653780.98999995</v>
      </c>
      <c r="F217" s="977">
        <v>38462371.430241823</v>
      </c>
      <c r="G217" s="7">
        <f t="shared" si="25"/>
        <v>197191409.55975813</v>
      </c>
      <c r="H217" s="7">
        <f t="shared" ref="H217:H227" si="27">E217-E216</f>
        <v>0</v>
      </c>
    </row>
    <row r="218" spans="1:8" ht="13">
      <c r="A218" s="505">
        <f t="shared" si="26"/>
        <v>122</v>
      </c>
      <c r="C218" s="492" t="s">
        <v>195</v>
      </c>
      <c r="D218" s="609">
        <v>2020</v>
      </c>
      <c r="E218" s="977">
        <v>235653780.98999995</v>
      </c>
      <c r="F218" s="977">
        <v>38959122.130844161</v>
      </c>
      <c r="G218" s="7">
        <f t="shared" si="25"/>
        <v>196694658.85915577</v>
      </c>
      <c r="H218" s="7">
        <f t="shared" si="27"/>
        <v>0</v>
      </c>
    </row>
    <row r="219" spans="1:8" ht="13">
      <c r="A219" s="505">
        <f t="shared" si="26"/>
        <v>123</v>
      </c>
      <c r="C219" s="494" t="s">
        <v>183</v>
      </c>
      <c r="D219" s="609">
        <v>2020</v>
      </c>
      <c r="E219" s="977">
        <v>235653780.98999995</v>
      </c>
      <c r="F219" s="977">
        <v>39455872.831446491</v>
      </c>
      <c r="G219" s="7">
        <f t="shared" si="25"/>
        <v>196197908.15855345</v>
      </c>
      <c r="H219" s="7">
        <f t="shared" si="27"/>
        <v>0</v>
      </c>
    </row>
    <row r="220" spans="1:8" ht="13">
      <c r="A220" s="505">
        <f t="shared" si="26"/>
        <v>124</v>
      </c>
      <c r="C220" s="492" t="s">
        <v>184</v>
      </c>
      <c r="D220" s="609">
        <v>2020</v>
      </c>
      <c r="E220" s="977">
        <v>235653780.98999995</v>
      </c>
      <c r="F220" s="977">
        <v>39952623.532048829</v>
      </c>
      <c r="G220" s="7">
        <f t="shared" si="25"/>
        <v>195701157.45795113</v>
      </c>
      <c r="H220" s="7">
        <f t="shared" si="27"/>
        <v>0</v>
      </c>
    </row>
    <row r="221" spans="1:8" ht="13">
      <c r="A221" s="505">
        <f t="shared" si="26"/>
        <v>125</v>
      </c>
      <c r="C221" s="492" t="s">
        <v>185</v>
      </c>
      <c r="D221" s="609">
        <v>2020</v>
      </c>
      <c r="E221" s="977">
        <v>235653780.98999995</v>
      </c>
      <c r="F221" s="977">
        <v>40449374.232651159</v>
      </c>
      <c r="G221" s="7">
        <f t="shared" si="25"/>
        <v>195204406.75734878</v>
      </c>
      <c r="H221" s="7">
        <f t="shared" si="27"/>
        <v>0</v>
      </c>
    </row>
    <row r="222" spans="1:8" ht="13">
      <c r="A222" s="505">
        <f t="shared" si="26"/>
        <v>126</v>
      </c>
      <c r="C222" s="494" t="s">
        <v>186</v>
      </c>
      <c r="D222" s="609">
        <v>2020</v>
      </c>
      <c r="E222" s="977">
        <v>235653780.98999995</v>
      </c>
      <c r="F222" s="977">
        <v>40946124.933253504</v>
      </c>
      <c r="G222" s="7">
        <f t="shared" si="25"/>
        <v>194707656.05674645</v>
      </c>
      <c r="H222" s="7">
        <f t="shared" si="27"/>
        <v>0</v>
      </c>
    </row>
    <row r="223" spans="1:8" ht="13">
      <c r="A223" s="505">
        <f t="shared" si="26"/>
        <v>127</v>
      </c>
      <c r="C223" s="492" t="s">
        <v>187</v>
      </c>
      <c r="D223" s="609">
        <v>2020</v>
      </c>
      <c r="E223" s="977">
        <v>235653780.98999995</v>
      </c>
      <c r="F223" s="977">
        <v>41442875.633855835</v>
      </c>
      <c r="G223" s="7">
        <f t="shared" si="25"/>
        <v>194210905.35614413</v>
      </c>
      <c r="H223" s="7">
        <f t="shared" si="27"/>
        <v>0</v>
      </c>
    </row>
    <row r="224" spans="1:8" ht="13">
      <c r="A224" s="505">
        <f t="shared" si="26"/>
        <v>128</v>
      </c>
      <c r="C224" s="492" t="s">
        <v>188</v>
      </c>
      <c r="D224" s="609">
        <v>2020</v>
      </c>
      <c r="E224" s="977">
        <v>235653780.98999995</v>
      </c>
      <c r="F224" s="977">
        <v>41939626.334458172</v>
      </c>
      <c r="G224" s="7">
        <f t="shared" si="25"/>
        <v>193714154.65554178</v>
      </c>
      <c r="H224" s="7">
        <f t="shared" si="27"/>
        <v>0</v>
      </c>
    </row>
    <row r="225" spans="1:8" ht="13">
      <c r="A225" s="505">
        <f t="shared" si="26"/>
        <v>129</v>
      </c>
      <c r="C225" s="494" t="s">
        <v>189</v>
      </c>
      <c r="D225" s="609">
        <v>2020</v>
      </c>
      <c r="E225" s="977">
        <v>235653780.98999995</v>
      </c>
      <c r="F225" s="977">
        <v>42436377.035060503</v>
      </c>
      <c r="G225" s="7">
        <f t="shared" si="25"/>
        <v>193217403.95493945</v>
      </c>
      <c r="H225" s="7">
        <f t="shared" si="27"/>
        <v>0</v>
      </c>
    </row>
    <row r="226" spans="1:8" ht="13">
      <c r="A226" s="505">
        <f t="shared" si="26"/>
        <v>130</v>
      </c>
      <c r="C226" s="494" t="s">
        <v>190</v>
      </c>
      <c r="D226" s="609">
        <v>2020</v>
      </c>
      <c r="E226" s="977">
        <v>235653780.98999995</v>
      </c>
      <c r="F226" s="977">
        <v>42933127.73566284</v>
      </c>
      <c r="G226" s="7">
        <f t="shared" si="25"/>
        <v>192720653.2543371</v>
      </c>
      <c r="H226" s="7">
        <f t="shared" si="27"/>
        <v>0</v>
      </c>
    </row>
    <row r="227" spans="1:8" ht="13">
      <c r="A227" s="505">
        <f t="shared" si="26"/>
        <v>131</v>
      </c>
      <c r="C227" s="494" t="s">
        <v>180</v>
      </c>
      <c r="D227" s="609">
        <v>2020</v>
      </c>
      <c r="E227" s="977">
        <v>235653780.98999995</v>
      </c>
      <c r="F227" s="977">
        <v>43429878.436265171</v>
      </c>
      <c r="G227" s="7">
        <f t="shared" si="25"/>
        <v>192223902.55373478</v>
      </c>
      <c r="H227" s="7">
        <f t="shared" si="27"/>
        <v>0</v>
      </c>
    </row>
    <row r="229" spans="1:8" ht="13">
      <c r="C229" s="614" t="s">
        <v>2464</v>
      </c>
      <c r="H229" s="84" t="s">
        <v>344</v>
      </c>
    </row>
    <row r="230" spans="1:8" ht="13">
      <c r="E230" s="84" t="s">
        <v>358</v>
      </c>
      <c r="F230" s="84" t="s">
        <v>342</v>
      </c>
      <c r="G230" s="351" t="s">
        <v>343</v>
      </c>
      <c r="H230" s="525" t="s">
        <v>1644</v>
      </c>
    </row>
    <row r="231" spans="1:8" ht="13">
      <c r="C231" s="505" t="s">
        <v>528</v>
      </c>
      <c r="G231" s="525" t="s">
        <v>1643</v>
      </c>
      <c r="H231" s="1142" t="s">
        <v>1645</v>
      </c>
    </row>
    <row r="232" spans="1:8" ht="13">
      <c r="C232" s="505" t="s">
        <v>193</v>
      </c>
      <c r="E232" s="505" t="s">
        <v>371</v>
      </c>
      <c r="F232" s="505" t="s">
        <v>1540</v>
      </c>
      <c r="G232" s="505" t="s">
        <v>992</v>
      </c>
      <c r="H232" s="505" t="s">
        <v>1116</v>
      </c>
    </row>
    <row r="233" spans="1:8" ht="13">
      <c r="C233" s="25" t="s">
        <v>192</v>
      </c>
      <c r="D233" s="25" t="s">
        <v>193</v>
      </c>
      <c r="E233" s="3" t="s">
        <v>1541</v>
      </c>
      <c r="F233" s="3" t="s">
        <v>1080</v>
      </c>
      <c r="G233" s="3" t="s">
        <v>3</v>
      </c>
      <c r="H233" s="3" t="s">
        <v>1536</v>
      </c>
    </row>
    <row r="234" spans="1:8" ht="13">
      <c r="A234" s="505">
        <f>A227+1</f>
        <v>132</v>
      </c>
      <c r="C234" s="494" t="s">
        <v>180</v>
      </c>
      <c r="D234" s="1047">
        <v>2019</v>
      </c>
      <c r="E234" s="977">
        <v>87605814.650000021</v>
      </c>
      <c r="F234" s="977">
        <v>9268940</v>
      </c>
      <c r="G234" s="7">
        <f t="shared" ref="G234:G246" si="28">E234-F234</f>
        <v>78336874.650000021</v>
      </c>
      <c r="H234" s="7">
        <f>E234-E234</f>
        <v>0</v>
      </c>
    </row>
    <row r="235" spans="1:8" ht="13">
      <c r="A235" s="505">
        <f>A234+1</f>
        <v>133</v>
      </c>
      <c r="C235" s="494" t="s">
        <v>181</v>
      </c>
      <c r="D235" s="609">
        <v>2020</v>
      </c>
      <c r="E235" s="977">
        <v>87603872.570000023</v>
      </c>
      <c r="F235" s="977">
        <v>9406117.0946957525</v>
      </c>
      <c r="G235" s="7">
        <f t="shared" si="28"/>
        <v>78197755.475304276</v>
      </c>
      <c r="H235" s="7">
        <f>E235-E234</f>
        <v>-1942.0799999982119</v>
      </c>
    </row>
    <row r="236" spans="1:8" ht="13">
      <c r="A236" s="505">
        <f t="shared" ref="A236:A246" si="29">A235+1</f>
        <v>134</v>
      </c>
      <c r="C236" s="492" t="s">
        <v>182</v>
      </c>
      <c r="D236" s="609">
        <v>2020</v>
      </c>
      <c r="E236" s="977">
        <v>87603872.570000023</v>
      </c>
      <c r="F236" s="977">
        <v>9586535.8468640018</v>
      </c>
      <c r="G236" s="7">
        <f t="shared" si="28"/>
        <v>78017336.723136023</v>
      </c>
      <c r="H236" s="7">
        <f t="shared" ref="H236:H246" si="30">E236-E235</f>
        <v>0</v>
      </c>
    </row>
    <row r="237" spans="1:8" ht="13">
      <c r="A237" s="505">
        <f t="shared" si="29"/>
        <v>135</v>
      </c>
      <c r="C237" s="492" t="s">
        <v>195</v>
      </c>
      <c r="D237" s="609">
        <v>2020</v>
      </c>
      <c r="E237" s="977">
        <v>87603872.570000023</v>
      </c>
      <c r="F237" s="977">
        <v>9767006.9916355833</v>
      </c>
      <c r="G237" s="7">
        <f t="shared" si="28"/>
        <v>77836865.578364432</v>
      </c>
      <c r="H237" s="7">
        <f t="shared" si="30"/>
        <v>0</v>
      </c>
    </row>
    <row r="238" spans="1:8" ht="13">
      <c r="A238" s="505">
        <f t="shared" si="29"/>
        <v>136</v>
      </c>
      <c r="C238" s="494" t="s">
        <v>183</v>
      </c>
      <c r="D238" s="609">
        <v>2020</v>
      </c>
      <c r="E238" s="977">
        <v>87603872.570000023</v>
      </c>
      <c r="F238" s="977">
        <v>9947478.1364071667</v>
      </c>
      <c r="G238" s="7">
        <f t="shared" si="28"/>
        <v>77656394.433592856</v>
      </c>
      <c r="H238" s="7">
        <f t="shared" si="30"/>
        <v>0</v>
      </c>
    </row>
    <row r="239" spans="1:8" ht="13">
      <c r="A239" s="505">
        <f t="shared" si="29"/>
        <v>137</v>
      </c>
      <c r="C239" s="492" t="s">
        <v>184</v>
      </c>
      <c r="D239" s="609">
        <v>2020</v>
      </c>
      <c r="E239" s="977">
        <v>87603872.570000023</v>
      </c>
      <c r="F239" s="977">
        <v>10127949.28117875</v>
      </c>
      <c r="G239" s="7">
        <f t="shared" si="28"/>
        <v>77475923.28882128</v>
      </c>
      <c r="H239" s="7">
        <f t="shared" si="30"/>
        <v>0</v>
      </c>
    </row>
    <row r="240" spans="1:8" ht="13">
      <c r="A240" s="505">
        <f t="shared" si="29"/>
        <v>138</v>
      </c>
      <c r="C240" s="492" t="s">
        <v>185</v>
      </c>
      <c r="D240" s="609">
        <v>2020</v>
      </c>
      <c r="E240" s="977">
        <v>87604169.900000021</v>
      </c>
      <c r="F240" s="977">
        <v>10308420.425950333</v>
      </c>
      <c r="G240" s="7">
        <f t="shared" si="28"/>
        <v>77295749.474049687</v>
      </c>
      <c r="H240" s="7">
        <f t="shared" si="30"/>
        <v>297.32999999821186</v>
      </c>
    </row>
    <row r="241" spans="1:8" ht="13">
      <c r="A241" s="505">
        <f t="shared" si="29"/>
        <v>139</v>
      </c>
      <c r="C241" s="494" t="s">
        <v>186</v>
      </c>
      <c r="D241" s="609">
        <v>2020</v>
      </c>
      <c r="E241" s="977">
        <v>87604169.900000021</v>
      </c>
      <c r="F241" s="977">
        <v>10488892.186552834</v>
      </c>
      <c r="G241" s="7">
        <f t="shared" si="28"/>
        <v>77115277.713447183</v>
      </c>
      <c r="H241" s="7">
        <f t="shared" si="30"/>
        <v>0</v>
      </c>
    </row>
    <row r="242" spans="1:8" ht="13">
      <c r="A242" s="505">
        <f t="shared" si="29"/>
        <v>140</v>
      </c>
      <c r="C242" s="492" t="s">
        <v>187</v>
      </c>
      <c r="D242" s="609">
        <v>2020</v>
      </c>
      <c r="E242" s="977">
        <v>87604169.900000021</v>
      </c>
      <c r="F242" s="977">
        <v>10669363.945331167</v>
      </c>
      <c r="G242" s="7">
        <f t="shared" si="28"/>
        <v>76934805.95466885</v>
      </c>
      <c r="H242" s="7">
        <f t="shared" si="30"/>
        <v>0</v>
      </c>
    </row>
    <row r="243" spans="1:8" ht="13">
      <c r="A243" s="505">
        <f t="shared" si="29"/>
        <v>141</v>
      </c>
      <c r="C243" s="492" t="s">
        <v>188</v>
      </c>
      <c r="D243" s="609">
        <v>2020</v>
      </c>
      <c r="E243" s="977">
        <v>87604169.900000021</v>
      </c>
      <c r="F243" s="977">
        <v>10849835.704109501</v>
      </c>
      <c r="G243" s="7">
        <f t="shared" si="28"/>
        <v>76754334.195890516</v>
      </c>
      <c r="H243" s="7">
        <f t="shared" si="30"/>
        <v>0</v>
      </c>
    </row>
    <row r="244" spans="1:8" ht="13">
      <c r="A244" s="505">
        <f t="shared" si="29"/>
        <v>142</v>
      </c>
      <c r="C244" s="494" t="s">
        <v>189</v>
      </c>
      <c r="D244" s="609">
        <v>2020</v>
      </c>
      <c r="E244" s="977">
        <v>87604169.900000021</v>
      </c>
      <c r="F244" s="977">
        <v>11030307.462887835</v>
      </c>
      <c r="G244" s="7">
        <f t="shared" si="28"/>
        <v>76573862.437112182</v>
      </c>
      <c r="H244" s="7">
        <f t="shared" si="30"/>
        <v>0</v>
      </c>
    </row>
    <row r="245" spans="1:8" ht="13">
      <c r="A245" s="505">
        <f t="shared" si="29"/>
        <v>143</v>
      </c>
      <c r="C245" s="494" t="s">
        <v>190</v>
      </c>
      <c r="D245" s="609">
        <v>2020</v>
      </c>
      <c r="E245" s="977">
        <v>87604169.900000021</v>
      </c>
      <c r="F245" s="977">
        <v>11210779.221666168</v>
      </c>
      <c r="G245" s="7">
        <f t="shared" si="28"/>
        <v>76393390.678333849</v>
      </c>
      <c r="H245" s="7">
        <f t="shared" si="30"/>
        <v>0</v>
      </c>
    </row>
    <row r="246" spans="1:8" ht="13">
      <c r="A246" s="505">
        <f t="shared" si="29"/>
        <v>144</v>
      </c>
      <c r="C246" s="494" t="s">
        <v>180</v>
      </c>
      <c r="D246" s="609">
        <v>2020</v>
      </c>
      <c r="E246" s="977">
        <v>87604169.900000021</v>
      </c>
      <c r="F246" s="977">
        <v>11391250.980444502</v>
      </c>
      <c r="G246" s="7">
        <f t="shared" si="28"/>
        <v>76212918.919555515</v>
      </c>
      <c r="H246" s="7">
        <f t="shared" si="30"/>
        <v>0</v>
      </c>
    </row>
    <row r="248" spans="1:8" ht="13">
      <c r="C248" s="188" t="s">
        <v>1578</v>
      </c>
      <c r="H248" s="84" t="s">
        <v>344</v>
      </c>
    </row>
    <row r="249" spans="1:8" ht="13">
      <c r="E249" s="84" t="s">
        <v>358</v>
      </c>
      <c r="F249" s="84" t="s">
        <v>342</v>
      </c>
      <c r="G249" s="351" t="s">
        <v>343</v>
      </c>
      <c r="H249" s="525" t="s">
        <v>1644</v>
      </c>
    </row>
    <row r="250" spans="1:8" ht="13">
      <c r="C250" s="505" t="s">
        <v>528</v>
      </c>
      <c r="G250" s="525" t="s">
        <v>1643</v>
      </c>
      <c r="H250" s="1142" t="s">
        <v>1645</v>
      </c>
    </row>
    <row r="251" spans="1:8" ht="13">
      <c r="C251" s="505" t="s">
        <v>193</v>
      </c>
      <c r="E251" s="505" t="s">
        <v>371</v>
      </c>
      <c r="F251" s="505" t="s">
        <v>1540</v>
      </c>
      <c r="G251" s="505" t="s">
        <v>992</v>
      </c>
      <c r="H251" s="505" t="s">
        <v>1116</v>
      </c>
    </row>
    <row r="252" spans="1:8" ht="13">
      <c r="C252" s="25" t="s">
        <v>192</v>
      </c>
      <c r="D252" s="25" t="s">
        <v>193</v>
      </c>
      <c r="E252" s="3" t="s">
        <v>1541</v>
      </c>
      <c r="F252" s="3" t="s">
        <v>1080</v>
      </c>
      <c r="G252" s="3" t="s">
        <v>3</v>
      </c>
      <c r="H252" s="3" t="s">
        <v>1536</v>
      </c>
    </row>
    <row r="253" spans="1:8" ht="13">
      <c r="A253" s="505">
        <f>A246+1</f>
        <v>145</v>
      </c>
      <c r="C253" s="494" t="s">
        <v>180</v>
      </c>
      <c r="D253" s="1047">
        <v>2019</v>
      </c>
      <c r="E253" s="977">
        <v>71454672.110000044</v>
      </c>
      <c r="F253" s="977">
        <v>11351117</v>
      </c>
      <c r="G253" s="7">
        <f t="shared" ref="G253:G265" si="31">E253-F253</f>
        <v>60103555.110000044</v>
      </c>
      <c r="H253" s="7">
        <f>E253-E253</f>
        <v>0</v>
      </c>
    </row>
    <row r="254" spans="1:8" ht="13">
      <c r="A254" s="505">
        <f>A253+1</f>
        <v>146</v>
      </c>
      <c r="C254" s="494" t="s">
        <v>181</v>
      </c>
      <c r="D254" s="609">
        <v>2020</v>
      </c>
      <c r="E254" s="977">
        <v>71454672.110000044</v>
      </c>
      <c r="F254" s="977">
        <v>11471775.747300586</v>
      </c>
      <c r="G254" s="7">
        <f t="shared" si="31"/>
        <v>59982896.362699457</v>
      </c>
      <c r="H254" s="7">
        <f>E254-E253</f>
        <v>0</v>
      </c>
    </row>
    <row r="255" spans="1:8" ht="13">
      <c r="A255" s="505">
        <f t="shared" ref="A255:A265" si="32">A254+1</f>
        <v>147</v>
      </c>
      <c r="C255" s="492" t="s">
        <v>182</v>
      </c>
      <c r="D255" s="609">
        <v>2020</v>
      </c>
      <c r="E255" s="977">
        <v>71454672.110000044</v>
      </c>
      <c r="F255" s="977">
        <v>11619843.920764502</v>
      </c>
      <c r="G255" s="7">
        <f t="shared" si="31"/>
        <v>59834828.189235538</v>
      </c>
      <c r="H255" s="7">
        <f t="shared" ref="H255:H265" si="33">E255-E254</f>
        <v>0</v>
      </c>
    </row>
    <row r="256" spans="1:8" ht="13">
      <c r="A256" s="505">
        <f t="shared" si="32"/>
        <v>148</v>
      </c>
      <c r="C256" s="492" t="s">
        <v>195</v>
      </c>
      <c r="D256" s="609">
        <v>2020</v>
      </c>
      <c r="E256" s="977">
        <v>71454672.110000044</v>
      </c>
      <c r="F256" s="977">
        <v>11767912.094228419</v>
      </c>
      <c r="G256" s="7">
        <f t="shared" si="31"/>
        <v>59686760.015771627</v>
      </c>
      <c r="H256" s="7">
        <f t="shared" si="33"/>
        <v>0</v>
      </c>
    </row>
    <row r="257" spans="1:8" ht="13">
      <c r="A257" s="505">
        <f t="shared" si="32"/>
        <v>149</v>
      </c>
      <c r="C257" s="494" t="s">
        <v>183</v>
      </c>
      <c r="D257" s="609">
        <v>2020</v>
      </c>
      <c r="E257" s="977">
        <v>71454672.110000044</v>
      </c>
      <c r="F257" s="977">
        <v>11915980.267692335</v>
      </c>
      <c r="G257" s="7">
        <f t="shared" si="31"/>
        <v>59538691.842307709</v>
      </c>
      <c r="H257" s="7">
        <f t="shared" si="33"/>
        <v>0</v>
      </c>
    </row>
    <row r="258" spans="1:8" ht="13">
      <c r="A258" s="505">
        <f t="shared" si="32"/>
        <v>150</v>
      </c>
      <c r="C258" s="492" t="s">
        <v>184</v>
      </c>
      <c r="D258" s="609">
        <v>2020</v>
      </c>
      <c r="E258" s="977">
        <v>71454672.110000044</v>
      </c>
      <c r="F258" s="977">
        <v>12064048.441156253</v>
      </c>
      <c r="G258" s="7">
        <f t="shared" si="31"/>
        <v>59390623.668843791</v>
      </c>
      <c r="H258" s="7">
        <f t="shared" si="33"/>
        <v>0</v>
      </c>
    </row>
    <row r="259" spans="1:8" ht="13">
      <c r="A259" s="505">
        <f t="shared" si="32"/>
        <v>151</v>
      </c>
      <c r="C259" s="492" t="s">
        <v>185</v>
      </c>
      <c r="D259" s="609">
        <v>2020</v>
      </c>
      <c r="E259" s="977">
        <v>71454672.110000044</v>
      </c>
      <c r="F259" s="977">
        <v>12212116.614620168</v>
      </c>
      <c r="G259" s="7">
        <f t="shared" si="31"/>
        <v>59242555.49537988</v>
      </c>
      <c r="H259" s="7">
        <f t="shared" si="33"/>
        <v>0</v>
      </c>
    </row>
    <row r="260" spans="1:8" ht="13">
      <c r="A260" s="505">
        <f t="shared" si="32"/>
        <v>152</v>
      </c>
      <c r="C260" s="494" t="s">
        <v>186</v>
      </c>
      <c r="D260" s="609">
        <v>2020</v>
      </c>
      <c r="E260" s="977">
        <v>71454672.110000044</v>
      </c>
      <c r="F260" s="977">
        <v>12360184.788084084</v>
      </c>
      <c r="G260" s="7">
        <f t="shared" si="31"/>
        <v>59094487.321915962</v>
      </c>
      <c r="H260" s="7">
        <f t="shared" si="33"/>
        <v>0</v>
      </c>
    </row>
    <row r="261" spans="1:8" ht="13">
      <c r="A261" s="505">
        <f t="shared" si="32"/>
        <v>153</v>
      </c>
      <c r="C261" s="492" t="s">
        <v>187</v>
      </c>
      <c r="D261" s="609">
        <v>2020</v>
      </c>
      <c r="E261" s="977">
        <v>71454672.110000044</v>
      </c>
      <c r="F261" s="977">
        <v>12508252.961548001</v>
      </c>
      <c r="G261" s="7">
        <f t="shared" si="31"/>
        <v>58946419.148452044</v>
      </c>
      <c r="H261" s="7">
        <f t="shared" si="33"/>
        <v>0</v>
      </c>
    </row>
    <row r="262" spans="1:8" ht="13">
      <c r="A262" s="505">
        <f t="shared" si="32"/>
        <v>154</v>
      </c>
      <c r="C262" s="492" t="s">
        <v>188</v>
      </c>
      <c r="D262" s="609">
        <v>2020</v>
      </c>
      <c r="E262" s="977">
        <v>71454672.110000044</v>
      </c>
      <c r="F262" s="977">
        <v>12656321.135011917</v>
      </c>
      <c r="G262" s="7">
        <f t="shared" si="31"/>
        <v>58798350.974988125</v>
      </c>
      <c r="H262" s="7">
        <f t="shared" si="33"/>
        <v>0</v>
      </c>
    </row>
    <row r="263" spans="1:8" ht="13">
      <c r="A263" s="505">
        <f t="shared" si="32"/>
        <v>155</v>
      </c>
      <c r="C263" s="494" t="s">
        <v>189</v>
      </c>
      <c r="D263" s="609">
        <v>2020</v>
      </c>
      <c r="E263" s="977">
        <v>71454672.110000044</v>
      </c>
      <c r="F263" s="977">
        <v>12804389.308475833</v>
      </c>
      <c r="G263" s="7">
        <f t="shared" si="31"/>
        <v>58650282.801524207</v>
      </c>
      <c r="H263" s="7">
        <f t="shared" si="33"/>
        <v>0</v>
      </c>
    </row>
    <row r="264" spans="1:8" ht="13">
      <c r="A264" s="505">
        <f t="shared" si="32"/>
        <v>156</v>
      </c>
      <c r="C264" s="494" t="s">
        <v>190</v>
      </c>
      <c r="D264" s="609">
        <v>2020</v>
      </c>
      <c r="E264" s="977">
        <v>71454672.110000044</v>
      </c>
      <c r="F264" s="977">
        <v>12952457.48193975</v>
      </c>
      <c r="G264" s="7">
        <f t="shared" si="31"/>
        <v>58502214.628060296</v>
      </c>
      <c r="H264" s="7">
        <f t="shared" si="33"/>
        <v>0</v>
      </c>
    </row>
    <row r="265" spans="1:8" ht="13">
      <c r="A265" s="505">
        <f t="shared" si="32"/>
        <v>157</v>
      </c>
      <c r="C265" s="494" t="s">
        <v>180</v>
      </c>
      <c r="D265" s="609">
        <v>2020</v>
      </c>
      <c r="E265" s="977">
        <v>71454672.110000044</v>
      </c>
      <c r="F265" s="977">
        <v>13100525.655403666</v>
      </c>
      <c r="G265" s="7">
        <f t="shared" si="31"/>
        <v>58354146.454596378</v>
      </c>
      <c r="H265" s="7">
        <f t="shared" si="33"/>
        <v>0</v>
      </c>
    </row>
    <row r="267" spans="1:8" ht="13">
      <c r="C267" s="1350" t="s">
        <v>2559</v>
      </c>
      <c r="E267" s="84" t="s">
        <v>358</v>
      </c>
      <c r="F267" s="84" t="s">
        <v>342</v>
      </c>
      <c r="G267" s="84" t="s">
        <v>343</v>
      </c>
      <c r="H267" s="84" t="s">
        <v>344</v>
      </c>
    </row>
    <row r="268" spans="1:8">
      <c r="G268" s="525" t="s">
        <v>1643</v>
      </c>
      <c r="H268" s="525" t="s">
        <v>1644</v>
      </c>
    </row>
    <row r="269" spans="1:8" ht="13">
      <c r="C269" s="505" t="s">
        <v>528</v>
      </c>
      <c r="G269" s="14"/>
      <c r="H269" s="1142" t="s">
        <v>1645</v>
      </c>
    </row>
    <row r="270" spans="1:8" ht="13">
      <c r="C270" s="505" t="s">
        <v>193</v>
      </c>
      <c r="E270" s="505" t="s">
        <v>371</v>
      </c>
      <c r="F270" s="505" t="s">
        <v>1540</v>
      </c>
      <c r="G270" s="505" t="s">
        <v>992</v>
      </c>
      <c r="H270" s="505" t="s">
        <v>1116</v>
      </c>
    </row>
    <row r="271" spans="1:8" ht="13">
      <c r="C271" s="25" t="s">
        <v>192</v>
      </c>
      <c r="D271" s="25" t="s">
        <v>193</v>
      </c>
      <c r="E271" s="3" t="s">
        <v>1541</v>
      </c>
      <c r="F271" s="3" t="s">
        <v>1080</v>
      </c>
      <c r="G271" s="3" t="s">
        <v>3</v>
      </c>
      <c r="H271" s="3" t="s">
        <v>1536</v>
      </c>
    </row>
    <row r="272" spans="1:8" ht="13">
      <c r="A272" s="505">
        <f>A265+1</f>
        <v>158</v>
      </c>
      <c r="C272" s="494" t="s">
        <v>180</v>
      </c>
      <c r="D272" s="1047">
        <v>2019</v>
      </c>
      <c r="E272" s="106">
        <v>153777247.10671204</v>
      </c>
      <c r="F272" s="106">
        <v>297984</v>
      </c>
      <c r="G272" s="7">
        <f t="shared" ref="G272:G284" si="34">E272-F272</f>
        <v>153479263.10671204</v>
      </c>
      <c r="H272" s="7">
        <f>E272-E272</f>
        <v>0</v>
      </c>
    </row>
    <row r="273" spans="1:8" ht="13">
      <c r="A273" s="505">
        <f>A272+1</f>
        <v>159</v>
      </c>
      <c r="C273" s="494" t="s">
        <v>181</v>
      </c>
      <c r="D273" s="609">
        <v>2020</v>
      </c>
      <c r="E273" s="106">
        <v>155579092.06766003</v>
      </c>
      <c r="F273" s="106">
        <v>613556.81032676005</v>
      </c>
      <c r="G273" s="7">
        <f t="shared" si="34"/>
        <v>154965535.25733328</v>
      </c>
      <c r="H273" s="7">
        <f>E273-E272</f>
        <v>1801844.9609479904</v>
      </c>
    </row>
    <row r="274" spans="1:8" ht="13">
      <c r="A274" s="505">
        <f t="shared" ref="A274:A284" si="35">A273+1</f>
        <v>160</v>
      </c>
      <c r="C274" s="492" t="s">
        <v>182</v>
      </c>
      <c r="D274" s="609">
        <v>2020</v>
      </c>
      <c r="E274" s="106">
        <v>157652133.23738801</v>
      </c>
      <c r="F274" s="106">
        <v>936414.4100831002</v>
      </c>
      <c r="G274" s="7">
        <f t="shared" si="34"/>
        <v>156715718.8273049</v>
      </c>
      <c r="H274" s="7">
        <f t="shared" ref="H274:H284" si="36">E274-E273</f>
        <v>2073041.1697279811</v>
      </c>
    </row>
    <row r="275" spans="1:8" ht="13">
      <c r="A275" s="505">
        <f t="shared" si="35"/>
        <v>161</v>
      </c>
      <c r="C275" s="492" t="s">
        <v>195</v>
      </c>
      <c r="D275" s="609">
        <v>2020</v>
      </c>
      <c r="E275" s="106">
        <v>158329864.38803402</v>
      </c>
      <c r="F275" s="106">
        <v>1263772.9832149288</v>
      </c>
      <c r="G275" s="7">
        <f t="shared" si="34"/>
        <v>157066091.4048191</v>
      </c>
      <c r="H275" s="7">
        <f t="shared" si="36"/>
        <v>677731.1506460011</v>
      </c>
    </row>
    <row r="276" spans="1:8" ht="13">
      <c r="A276" s="505">
        <f t="shared" si="35"/>
        <v>162</v>
      </c>
      <c r="C276" s="494" t="s">
        <v>183</v>
      </c>
      <c r="D276" s="609">
        <v>2020</v>
      </c>
      <c r="E276" s="106">
        <v>162423495.72228602</v>
      </c>
      <c r="F276" s="106">
        <v>1592555.3007610042</v>
      </c>
      <c r="G276" s="7">
        <f t="shared" si="34"/>
        <v>160830940.421525</v>
      </c>
      <c r="H276" s="7">
        <f t="shared" si="36"/>
        <v>4093631.3342519999</v>
      </c>
    </row>
    <row r="277" spans="1:8" ht="13">
      <c r="A277" s="505">
        <f t="shared" si="35"/>
        <v>163</v>
      </c>
      <c r="C277" s="492" t="s">
        <v>184</v>
      </c>
      <c r="D277" s="609">
        <v>2020</v>
      </c>
      <c r="E277" s="106">
        <v>163651326.86511803</v>
      </c>
      <c r="F277" s="106">
        <v>1929783.281918763</v>
      </c>
      <c r="G277" s="7">
        <f t="shared" si="34"/>
        <v>161721543.58319926</v>
      </c>
      <c r="H277" s="7">
        <f t="shared" si="36"/>
        <v>1227831.142832011</v>
      </c>
    </row>
    <row r="278" spans="1:8" ht="13">
      <c r="A278" s="505">
        <f t="shared" si="35"/>
        <v>164</v>
      </c>
      <c r="C278" s="492" t="s">
        <v>185</v>
      </c>
      <c r="D278" s="609">
        <v>2020</v>
      </c>
      <c r="E278" s="106">
        <v>178419326.72130603</v>
      </c>
      <c r="F278" s="106">
        <v>2269564.8079785677</v>
      </c>
      <c r="G278" s="7">
        <f t="shared" si="34"/>
        <v>176149761.91332746</v>
      </c>
      <c r="H278" s="7">
        <f t="shared" si="36"/>
        <v>14767999.856187999</v>
      </c>
    </row>
    <row r="279" spans="1:8" ht="13">
      <c r="A279" s="505">
        <f t="shared" si="35"/>
        <v>165</v>
      </c>
      <c r="C279" s="494" t="s">
        <v>186</v>
      </c>
      <c r="D279" s="609">
        <v>2020</v>
      </c>
      <c r="E279" s="106">
        <v>178617702.14255002</v>
      </c>
      <c r="F279" s="106">
        <v>2647170.0066466238</v>
      </c>
      <c r="G279" s="7">
        <f t="shared" si="34"/>
        <v>175970532.13590339</v>
      </c>
      <c r="H279" s="7">
        <f t="shared" si="36"/>
        <v>198375.42124399543</v>
      </c>
    </row>
    <row r="280" spans="1:8" ht="13">
      <c r="A280" s="505">
        <f t="shared" si="35"/>
        <v>166</v>
      </c>
      <c r="C280" s="492" t="s">
        <v>187</v>
      </c>
      <c r="D280" s="609">
        <v>2020</v>
      </c>
      <c r="E280" s="106">
        <v>178836480.01654601</v>
      </c>
      <c r="F280" s="106">
        <v>3025719.0919185113</v>
      </c>
      <c r="G280" s="7">
        <f t="shared" si="34"/>
        <v>175810760.92462751</v>
      </c>
      <c r="H280" s="7">
        <f t="shared" si="36"/>
        <v>218777.87399598956</v>
      </c>
    </row>
    <row r="281" spans="1:8" ht="13">
      <c r="A281" s="505">
        <f t="shared" si="35"/>
        <v>167</v>
      </c>
      <c r="C281" s="492" t="s">
        <v>188</v>
      </c>
      <c r="D281" s="609">
        <v>2020</v>
      </c>
      <c r="E281" s="106">
        <v>178348259.51132798</v>
      </c>
      <c r="F281" s="106">
        <v>3404786.6234229505</v>
      </c>
      <c r="G281" s="7">
        <f t="shared" si="34"/>
        <v>174943472.88790503</v>
      </c>
      <c r="H281" s="7">
        <f t="shared" si="36"/>
        <v>-488220.50521802902</v>
      </c>
    </row>
    <row r="282" spans="1:8" ht="13">
      <c r="A282" s="505">
        <f t="shared" si="35"/>
        <v>168</v>
      </c>
      <c r="C282" s="494" t="s">
        <v>189</v>
      </c>
      <c r="D282" s="609">
        <v>2020</v>
      </c>
      <c r="E282" s="106">
        <v>179419426.60645398</v>
      </c>
      <c r="F282" s="106">
        <v>3782824.1734064687</v>
      </c>
      <c r="G282" s="7">
        <f t="shared" si="34"/>
        <v>175636602.4330475</v>
      </c>
      <c r="H282" s="7">
        <f t="shared" si="36"/>
        <v>1071167.095126003</v>
      </c>
    </row>
    <row r="283" spans="1:8" ht="13">
      <c r="A283" s="505">
        <f t="shared" si="35"/>
        <v>169</v>
      </c>
      <c r="C283" s="494" t="s">
        <v>190</v>
      </c>
      <c r="D283" s="609">
        <v>2020</v>
      </c>
      <c r="E283" s="106">
        <v>179684686.66454798</v>
      </c>
      <c r="F283" s="106">
        <v>4163301.4153846223</v>
      </c>
      <c r="G283" s="7">
        <f t="shared" si="34"/>
        <v>175521385.24916336</v>
      </c>
      <c r="H283" s="7">
        <f t="shared" si="36"/>
        <v>265260.05809399486</v>
      </c>
    </row>
    <row r="284" spans="1:8" ht="13">
      <c r="A284" s="505">
        <f t="shared" si="35"/>
        <v>170</v>
      </c>
      <c r="C284" s="494" t="s">
        <v>180</v>
      </c>
      <c r="D284" s="609">
        <v>2020</v>
      </c>
      <c r="E284" s="106">
        <v>182635413.15351999</v>
      </c>
      <c r="F284" s="106">
        <v>4544457.7863915442</v>
      </c>
      <c r="G284" s="7">
        <f t="shared" si="34"/>
        <v>178090955.36712843</v>
      </c>
      <c r="H284" s="7">
        <f t="shared" si="36"/>
        <v>2950726.4889720082</v>
      </c>
    </row>
    <row r="286" spans="1:8" ht="13">
      <c r="C286" s="614" t="s">
        <v>2560</v>
      </c>
      <c r="E286" s="84" t="s">
        <v>358</v>
      </c>
      <c r="F286" s="84" t="s">
        <v>342</v>
      </c>
      <c r="G286" s="84" t="s">
        <v>343</v>
      </c>
      <c r="H286" s="84" t="s">
        <v>344</v>
      </c>
    </row>
    <row r="287" spans="1:8">
      <c r="G287" s="525" t="s">
        <v>1643</v>
      </c>
      <c r="H287" s="525" t="s">
        <v>1644</v>
      </c>
    </row>
    <row r="288" spans="1:8" ht="13">
      <c r="C288" s="505" t="s">
        <v>528</v>
      </c>
      <c r="G288" s="14"/>
      <c r="H288" s="1142" t="s">
        <v>1645</v>
      </c>
    </row>
    <row r="289" spans="1:8" ht="13">
      <c r="C289" s="505" t="s">
        <v>193</v>
      </c>
      <c r="E289" s="505" t="s">
        <v>371</v>
      </c>
      <c r="F289" s="505" t="s">
        <v>1540</v>
      </c>
      <c r="G289" s="109" t="s">
        <v>992</v>
      </c>
      <c r="H289" s="109" t="s">
        <v>1116</v>
      </c>
    </row>
    <row r="290" spans="1:8" ht="13">
      <c r="C290" s="25" t="s">
        <v>192</v>
      </c>
      <c r="D290" s="25" t="s">
        <v>193</v>
      </c>
      <c r="E290" s="3" t="s">
        <v>1541</v>
      </c>
      <c r="F290" s="3" t="s">
        <v>1080</v>
      </c>
      <c r="G290" s="3" t="s">
        <v>3</v>
      </c>
      <c r="H290" s="3" t="s">
        <v>1536</v>
      </c>
    </row>
    <row r="291" spans="1:8" ht="13">
      <c r="A291" s="505">
        <f>A284+1</f>
        <v>171</v>
      </c>
      <c r="C291" s="494" t="s">
        <v>180</v>
      </c>
      <c r="D291" s="1047">
        <v>2019</v>
      </c>
      <c r="E291" s="106">
        <v>0</v>
      </c>
      <c r="F291" s="106">
        <v>0</v>
      </c>
      <c r="G291" s="7">
        <f t="shared" ref="G291:G303" si="37">E291-F291</f>
        <v>0</v>
      </c>
      <c r="H291" s="7">
        <f>E291-E291</f>
        <v>0</v>
      </c>
    </row>
    <row r="292" spans="1:8" ht="13">
      <c r="A292" s="505">
        <f>A291+1</f>
        <v>172</v>
      </c>
      <c r="C292" s="494" t="s">
        <v>181</v>
      </c>
      <c r="D292" s="609">
        <v>2020</v>
      </c>
      <c r="E292" s="106">
        <v>0</v>
      </c>
      <c r="F292" s="106">
        <v>0</v>
      </c>
      <c r="G292" s="7">
        <f t="shared" si="37"/>
        <v>0</v>
      </c>
      <c r="H292" s="7">
        <f>E292-E291</f>
        <v>0</v>
      </c>
    </row>
    <row r="293" spans="1:8" ht="13">
      <c r="A293" s="505">
        <f t="shared" ref="A293:A303" si="38">A292+1</f>
        <v>173</v>
      </c>
      <c r="C293" s="492" t="s">
        <v>182</v>
      </c>
      <c r="D293" s="609">
        <v>2020</v>
      </c>
      <c r="E293" s="106">
        <v>0</v>
      </c>
      <c r="F293" s="106">
        <v>0</v>
      </c>
      <c r="G293" s="7">
        <f t="shared" si="37"/>
        <v>0</v>
      </c>
      <c r="H293" s="7">
        <f t="shared" ref="H293:H303" si="39">E293-E292</f>
        <v>0</v>
      </c>
    </row>
    <row r="294" spans="1:8" ht="13">
      <c r="A294" s="505">
        <f t="shared" si="38"/>
        <v>174</v>
      </c>
      <c r="C294" s="492" t="s">
        <v>195</v>
      </c>
      <c r="D294" s="609">
        <v>2020</v>
      </c>
      <c r="E294" s="106">
        <v>0</v>
      </c>
      <c r="F294" s="106">
        <v>0</v>
      </c>
      <c r="G294" s="7">
        <f t="shared" si="37"/>
        <v>0</v>
      </c>
      <c r="H294" s="7">
        <f t="shared" si="39"/>
        <v>0</v>
      </c>
    </row>
    <row r="295" spans="1:8" ht="13">
      <c r="A295" s="505">
        <f t="shared" si="38"/>
        <v>175</v>
      </c>
      <c r="C295" s="494" t="s">
        <v>183</v>
      </c>
      <c r="D295" s="609">
        <v>2020</v>
      </c>
      <c r="E295" s="106">
        <v>0</v>
      </c>
      <c r="F295" s="106">
        <v>0</v>
      </c>
      <c r="G295" s="7">
        <f t="shared" si="37"/>
        <v>0</v>
      </c>
      <c r="H295" s="7">
        <f t="shared" si="39"/>
        <v>0</v>
      </c>
    </row>
    <row r="296" spans="1:8" ht="13">
      <c r="A296" s="505">
        <f t="shared" si="38"/>
        <v>176</v>
      </c>
      <c r="C296" s="492" t="s">
        <v>184</v>
      </c>
      <c r="D296" s="609">
        <v>2020</v>
      </c>
      <c r="E296" s="106">
        <v>0</v>
      </c>
      <c r="F296" s="106">
        <v>0</v>
      </c>
      <c r="G296" s="7">
        <f t="shared" si="37"/>
        <v>0</v>
      </c>
      <c r="H296" s="7">
        <f t="shared" si="39"/>
        <v>0</v>
      </c>
    </row>
    <row r="297" spans="1:8" ht="13">
      <c r="A297" s="505">
        <f t="shared" si="38"/>
        <v>177</v>
      </c>
      <c r="C297" s="492" t="s">
        <v>185</v>
      </c>
      <c r="D297" s="609">
        <v>2020</v>
      </c>
      <c r="E297" s="106">
        <v>0</v>
      </c>
      <c r="F297" s="106">
        <v>0</v>
      </c>
      <c r="G297" s="7">
        <f t="shared" si="37"/>
        <v>0</v>
      </c>
      <c r="H297" s="7">
        <f t="shared" si="39"/>
        <v>0</v>
      </c>
    </row>
    <row r="298" spans="1:8" ht="13">
      <c r="A298" s="505">
        <f t="shared" si="38"/>
        <v>178</v>
      </c>
      <c r="C298" s="494" t="s">
        <v>186</v>
      </c>
      <c r="D298" s="609">
        <v>2020</v>
      </c>
      <c r="E298" s="106">
        <v>0</v>
      </c>
      <c r="F298" s="106">
        <v>0</v>
      </c>
      <c r="G298" s="7">
        <f t="shared" si="37"/>
        <v>0</v>
      </c>
      <c r="H298" s="7">
        <f t="shared" si="39"/>
        <v>0</v>
      </c>
    </row>
    <row r="299" spans="1:8" ht="13">
      <c r="A299" s="505">
        <f t="shared" si="38"/>
        <v>179</v>
      </c>
      <c r="C299" s="492" t="s">
        <v>187</v>
      </c>
      <c r="D299" s="609">
        <v>2020</v>
      </c>
      <c r="E299" s="106">
        <v>0</v>
      </c>
      <c r="F299" s="106">
        <v>0</v>
      </c>
      <c r="G299" s="7">
        <f t="shared" si="37"/>
        <v>0</v>
      </c>
      <c r="H299" s="7">
        <f t="shared" si="39"/>
        <v>0</v>
      </c>
    </row>
    <row r="300" spans="1:8" ht="13">
      <c r="A300" s="505">
        <f t="shared" si="38"/>
        <v>180</v>
      </c>
      <c r="C300" s="492" t="s">
        <v>188</v>
      </c>
      <c r="D300" s="609">
        <v>2020</v>
      </c>
      <c r="E300" s="106">
        <v>0</v>
      </c>
      <c r="F300" s="106">
        <v>0</v>
      </c>
      <c r="G300" s="7">
        <f t="shared" si="37"/>
        <v>0</v>
      </c>
      <c r="H300" s="7">
        <f t="shared" si="39"/>
        <v>0</v>
      </c>
    </row>
    <row r="301" spans="1:8" ht="13">
      <c r="A301" s="505">
        <f t="shared" si="38"/>
        <v>181</v>
      </c>
      <c r="C301" s="494" t="s">
        <v>189</v>
      </c>
      <c r="D301" s="609">
        <v>2020</v>
      </c>
      <c r="E301" s="106">
        <v>0</v>
      </c>
      <c r="F301" s="106">
        <v>0</v>
      </c>
      <c r="G301" s="7">
        <f t="shared" si="37"/>
        <v>0</v>
      </c>
      <c r="H301" s="7">
        <f t="shared" si="39"/>
        <v>0</v>
      </c>
    </row>
    <row r="302" spans="1:8" ht="13">
      <c r="A302" s="505">
        <f t="shared" si="38"/>
        <v>182</v>
      </c>
      <c r="C302" s="494" t="s">
        <v>190</v>
      </c>
      <c r="D302" s="609">
        <v>2020</v>
      </c>
      <c r="E302" s="106">
        <v>0</v>
      </c>
      <c r="F302" s="106">
        <v>0</v>
      </c>
      <c r="G302" s="7">
        <f t="shared" si="37"/>
        <v>0</v>
      </c>
      <c r="H302" s="7">
        <f t="shared" si="39"/>
        <v>0</v>
      </c>
    </row>
    <row r="303" spans="1:8" ht="13">
      <c r="A303" s="505">
        <f t="shared" si="38"/>
        <v>183</v>
      </c>
      <c r="C303" s="494" t="s">
        <v>180</v>
      </c>
      <c r="D303" s="609">
        <v>2020</v>
      </c>
      <c r="E303" s="106">
        <v>0</v>
      </c>
      <c r="F303" s="106">
        <v>0</v>
      </c>
      <c r="G303" s="7">
        <f t="shared" si="37"/>
        <v>0</v>
      </c>
      <c r="H303" s="7">
        <f t="shared" si="39"/>
        <v>0</v>
      </c>
    </row>
    <row r="305" spans="1:8" ht="13">
      <c r="A305" s="955"/>
      <c r="B305" s="955"/>
      <c r="C305" s="614" t="s">
        <v>2465</v>
      </c>
      <c r="D305" s="955"/>
      <c r="E305" s="84" t="s">
        <v>358</v>
      </c>
      <c r="F305" s="84" t="s">
        <v>342</v>
      </c>
      <c r="G305" s="84" t="s">
        <v>343</v>
      </c>
      <c r="H305" s="84" t="s">
        <v>344</v>
      </c>
    </row>
    <row r="306" spans="1:8">
      <c r="A306" s="955"/>
      <c r="B306" s="955"/>
      <c r="C306" s="955"/>
      <c r="D306" s="955"/>
      <c r="E306" s="955"/>
      <c r="F306" s="955"/>
      <c r="G306" s="525" t="s">
        <v>1643</v>
      </c>
      <c r="H306" s="525" t="s">
        <v>1644</v>
      </c>
    </row>
    <row r="307" spans="1:8" ht="13">
      <c r="A307" s="955"/>
      <c r="B307" s="955"/>
      <c r="C307" s="549" t="s">
        <v>528</v>
      </c>
      <c r="D307" s="955"/>
      <c r="E307" s="955"/>
      <c r="F307" s="955"/>
      <c r="G307" s="14"/>
      <c r="H307" s="1142" t="s">
        <v>1645</v>
      </c>
    </row>
    <row r="308" spans="1:8" ht="13">
      <c r="A308" s="955"/>
      <c r="B308" s="955"/>
      <c r="C308" s="549" t="s">
        <v>193</v>
      </c>
      <c r="D308" s="955"/>
      <c r="E308" s="549" t="s">
        <v>371</v>
      </c>
      <c r="F308" s="549" t="s">
        <v>1540</v>
      </c>
      <c r="G308" s="549" t="s">
        <v>992</v>
      </c>
      <c r="H308" s="549" t="s">
        <v>1116</v>
      </c>
    </row>
    <row r="309" spans="1:8" ht="13">
      <c r="A309" s="955"/>
      <c r="B309" s="955"/>
      <c r="C309" s="25" t="s">
        <v>192</v>
      </c>
      <c r="D309" s="25" t="s">
        <v>193</v>
      </c>
      <c r="E309" s="3" t="s">
        <v>1541</v>
      </c>
      <c r="F309" s="3" t="s">
        <v>1080</v>
      </c>
      <c r="G309" s="3" t="s">
        <v>3</v>
      </c>
      <c r="H309" s="3" t="s">
        <v>1536</v>
      </c>
    </row>
    <row r="310" spans="1:8" ht="13">
      <c r="A310" s="549">
        <f>A303+1</f>
        <v>184</v>
      </c>
      <c r="B310" s="955"/>
      <c r="C310" s="494" t="s">
        <v>180</v>
      </c>
      <c r="D310" s="1047">
        <v>2019</v>
      </c>
      <c r="E310" s="977">
        <v>0</v>
      </c>
      <c r="F310" s="977">
        <v>0</v>
      </c>
      <c r="G310" s="7">
        <f t="shared" ref="G310:G322" si="40">E310-F310</f>
        <v>0</v>
      </c>
      <c r="H310" s="7">
        <f>E310-E310</f>
        <v>0</v>
      </c>
    </row>
    <row r="311" spans="1:8" ht="13">
      <c r="A311" s="549">
        <f>A310+1</f>
        <v>185</v>
      </c>
      <c r="B311" s="955"/>
      <c r="C311" s="494" t="s">
        <v>181</v>
      </c>
      <c r="D311" s="609">
        <v>2020</v>
      </c>
      <c r="E311" s="977">
        <v>0</v>
      </c>
      <c r="F311" s="977">
        <v>0</v>
      </c>
      <c r="G311" s="7">
        <f t="shared" si="40"/>
        <v>0</v>
      </c>
      <c r="H311" s="7">
        <f>E311-E310</f>
        <v>0</v>
      </c>
    </row>
    <row r="312" spans="1:8" ht="13">
      <c r="A312" s="549">
        <f t="shared" ref="A312:A322" si="41">A311+1</f>
        <v>186</v>
      </c>
      <c r="B312" s="955"/>
      <c r="C312" s="492" t="s">
        <v>182</v>
      </c>
      <c r="D312" s="609">
        <v>2020</v>
      </c>
      <c r="E312" s="977">
        <v>0</v>
      </c>
      <c r="F312" s="977">
        <v>0</v>
      </c>
      <c r="G312" s="7">
        <f t="shared" si="40"/>
        <v>0</v>
      </c>
      <c r="H312" s="7">
        <f t="shared" ref="H312:H322" si="42">E312-E311</f>
        <v>0</v>
      </c>
    </row>
    <row r="313" spans="1:8" ht="13">
      <c r="A313" s="549">
        <f t="shared" si="41"/>
        <v>187</v>
      </c>
      <c r="B313" s="955"/>
      <c r="C313" s="492" t="s">
        <v>195</v>
      </c>
      <c r="D313" s="609">
        <v>2020</v>
      </c>
      <c r="E313" s="977">
        <v>0</v>
      </c>
      <c r="F313" s="977">
        <v>0</v>
      </c>
      <c r="G313" s="7">
        <f t="shared" si="40"/>
        <v>0</v>
      </c>
      <c r="H313" s="7">
        <f t="shared" si="42"/>
        <v>0</v>
      </c>
    </row>
    <row r="314" spans="1:8" ht="13">
      <c r="A314" s="549">
        <f t="shared" si="41"/>
        <v>188</v>
      </c>
      <c r="B314" s="955"/>
      <c r="C314" s="494" t="s">
        <v>183</v>
      </c>
      <c r="D314" s="609">
        <v>2020</v>
      </c>
      <c r="E314" s="977">
        <v>0</v>
      </c>
      <c r="F314" s="977">
        <v>0</v>
      </c>
      <c r="G314" s="7">
        <f t="shared" si="40"/>
        <v>0</v>
      </c>
      <c r="H314" s="7">
        <f t="shared" si="42"/>
        <v>0</v>
      </c>
    </row>
    <row r="315" spans="1:8" ht="13">
      <c r="A315" s="549">
        <f t="shared" si="41"/>
        <v>189</v>
      </c>
      <c r="B315" s="955"/>
      <c r="C315" s="492" t="s">
        <v>184</v>
      </c>
      <c r="D315" s="609">
        <v>2020</v>
      </c>
      <c r="E315" s="977">
        <v>0</v>
      </c>
      <c r="F315" s="977">
        <v>0</v>
      </c>
      <c r="G315" s="7">
        <f t="shared" si="40"/>
        <v>0</v>
      </c>
      <c r="H315" s="7">
        <f t="shared" si="42"/>
        <v>0</v>
      </c>
    </row>
    <row r="316" spans="1:8" ht="13">
      <c r="A316" s="549">
        <f t="shared" si="41"/>
        <v>190</v>
      </c>
      <c r="B316" s="955"/>
      <c r="C316" s="492" t="s">
        <v>185</v>
      </c>
      <c r="D316" s="609">
        <v>2020</v>
      </c>
      <c r="E316" s="977">
        <v>0</v>
      </c>
      <c r="F316" s="977">
        <v>0</v>
      </c>
      <c r="G316" s="7">
        <f t="shared" si="40"/>
        <v>0</v>
      </c>
      <c r="H316" s="7">
        <f t="shared" si="42"/>
        <v>0</v>
      </c>
    </row>
    <row r="317" spans="1:8" ht="13">
      <c r="A317" s="549">
        <f t="shared" si="41"/>
        <v>191</v>
      </c>
      <c r="B317" s="955"/>
      <c r="C317" s="494" t="s">
        <v>186</v>
      </c>
      <c r="D317" s="609">
        <v>2020</v>
      </c>
      <c r="E317" s="977">
        <v>0</v>
      </c>
      <c r="F317" s="977">
        <v>0</v>
      </c>
      <c r="G317" s="7">
        <f t="shared" si="40"/>
        <v>0</v>
      </c>
      <c r="H317" s="7">
        <f t="shared" si="42"/>
        <v>0</v>
      </c>
    </row>
    <row r="318" spans="1:8" ht="13">
      <c r="A318" s="549">
        <f t="shared" si="41"/>
        <v>192</v>
      </c>
      <c r="B318" s="955"/>
      <c r="C318" s="492" t="s">
        <v>187</v>
      </c>
      <c r="D318" s="609">
        <v>2020</v>
      </c>
      <c r="E318" s="977">
        <v>0</v>
      </c>
      <c r="F318" s="977">
        <v>0</v>
      </c>
      <c r="G318" s="7">
        <f t="shared" si="40"/>
        <v>0</v>
      </c>
      <c r="H318" s="7">
        <f t="shared" si="42"/>
        <v>0</v>
      </c>
    </row>
    <row r="319" spans="1:8" ht="13">
      <c r="A319" s="549">
        <f t="shared" si="41"/>
        <v>193</v>
      </c>
      <c r="B319" s="955"/>
      <c r="C319" s="492" t="s">
        <v>188</v>
      </c>
      <c r="D319" s="609">
        <v>2020</v>
      </c>
      <c r="E319" s="977">
        <v>0</v>
      </c>
      <c r="F319" s="977">
        <v>0</v>
      </c>
      <c r="G319" s="7">
        <f t="shared" si="40"/>
        <v>0</v>
      </c>
      <c r="H319" s="7">
        <f t="shared" si="42"/>
        <v>0</v>
      </c>
    </row>
    <row r="320" spans="1:8" ht="13">
      <c r="A320" s="549">
        <f t="shared" si="41"/>
        <v>194</v>
      </c>
      <c r="B320" s="955"/>
      <c r="C320" s="494" t="s">
        <v>189</v>
      </c>
      <c r="D320" s="609">
        <v>2020</v>
      </c>
      <c r="E320" s="977">
        <v>0</v>
      </c>
      <c r="F320" s="977">
        <v>0</v>
      </c>
      <c r="G320" s="7">
        <f t="shared" si="40"/>
        <v>0</v>
      </c>
      <c r="H320" s="7">
        <f t="shared" si="42"/>
        <v>0</v>
      </c>
    </row>
    <row r="321" spans="1:8" ht="13">
      <c r="A321" s="549">
        <f t="shared" si="41"/>
        <v>195</v>
      </c>
      <c r="B321" s="955"/>
      <c r="C321" s="494" t="s">
        <v>190</v>
      </c>
      <c r="D321" s="609">
        <v>2020</v>
      </c>
      <c r="E321" s="977">
        <v>0</v>
      </c>
      <c r="F321" s="977">
        <v>0</v>
      </c>
      <c r="G321" s="7">
        <f t="shared" si="40"/>
        <v>0</v>
      </c>
      <c r="H321" s="7">
        <f t="shared" si="42"/>
        <v>0</v>
      </c>
    </row>
    <row r="322" spans="1:8" ht="13">
      <c r="A322" s="549">
        <f t="shared" si="41"/>
        <v>196</v>
      </c>
      <c r="B322" s="955"/>
      <c r="C322" s="494" t="s">
        <v>180</v>
      </c>
      <c r="D322" s="609">
        <v>2020</v>
      </c>
      <c r="E322" s="977">
        <v>0</v>
      </c>
      <c r="F322" s="977">
        <v>0</v>
      </c>
      <c r="G322" s="7">
        <f t="shared" si="40"/>
        <v>0</v>
      </c>
      <c r="H322" s="7">
        <f t="shared" si="42"/>
        <v>0</v>
      </c>
    </row>
    <row r="323" spans="1:8" s="14" customFormat="1" ht="13">
      <c r="A323" s="109"/>
      <c r="C323" s="1096"/>
      <c r="D323" s="1060"/>
      <c r="E323" s="63"/>
      <c r="F323" s="63"/>
      <c r="G323" s="63"/>
      <c r="H323" s="63"/>
    </row>
    <row r="324" spans="1:8" s="955" customFormat="1" ht="13">
      <c r="A324" s="549"/>
      <c r="C324" s="1456" t="s">
        <v>2738</v>
      </c>
      <c r="D324" s="494"/>
      <c r="E324" s="494"/>
      <c r="F324" s="494"/>
      <c r="G324" s="7"/>
      <c r="H324" s="7"/>
    </row>
    <row r="325" spans="1:8" s="955" customFormat="1" ht="13">
      <c r="C325" s="614"/>
      <c r="E325" s="84" t="s">
        <v>358</v>
      </c>
      <c r="F325" s="84" t="s">
        <v>342</v>
      </c>
      <c r="G325" s="84" t="s">
        <v>343</v>
      </c>
      <c r="H325" s="84" t="s">
        <v>344</v>
      </c>
    </row>
    <row r="326" spans="1:8" s="955" customFormat="1">
      <c r="G326" s="525" t="s">
        <v>1643</v>
      </c>
      <c r="H326" s="525" t="s">
        <v>1644</v>
      </c>
    </row>
    <row r="327" spans="1:8" s="955" customFormat="1" ht="13">
      <c r="C327" s="549" t="s">
        <v>528</v>
      </c>
      <c r="G327" s="14"/>
      <c r="H327" s="1142" t="s">
        <v>1645</v>
      </c>
    </row>
    <row r="328" spans="1:8" s="955" customFormat="1" ht="13">
      <c r="C328" s="549" t="s">
        <v>193</v>
      </c>
      <c r="E328" s="549" t="s">
        <v>371</v>
      </c>
      <c r="F328" s="549" t="s">
        <v>1540</v>
      </c>
      <c r="G328" s="549" t="s">
        <v>992</v>
      </c>
      <c r="H328" s="549" t="s">
        <v>1116</v>
      </c>
    </row>
    <row r="329" spans="1:8" s="955" customFormat="1" ht="13">
      <c r="C329" s="25" t="s">
        <v>192</v>
      </c>
      <c r="D329" s="25" t="s">
        <v>193</v>
      </c>
      <c r="E329" s="3" t="s">
        <v>1541</v>
      </c>
      <c r="F329" s="3" t="s">
        <v>1080</v>
      </c>
      <c r="G329" s="3" t="s">
        <v>3</v>
      </c>
      <c r="H329" s="3" t="s">
        <v>1536</v>
      </c>
    </row>
    <row r="330" spans="1:8" s="955" customFormat="1" ht="13">
      <c r="A330" s="549">
        <f>A322+1</f>
        <v>197</v>
      </c>
      <c r="C330" s="494" t="s">
        <v>180</v>
      </c>
      <c r="D330" s="1047">
        <v>2019</v>
      </c>
      <c r="E330" s="977">
        <v>0</v>
      </c>
      <c r="F330" s="977">
        <v>0</v>
      </c>
      <c r="G330" s="7">
        <f t="shared" ref="G330:G342" si="43">E330-F330</f>
        <v>0</v>
      </c>
      <c r="H330" s="7">
        <f>E330-E330</f>
        <v>0</v>
      </c>
    </row>
    <row r="331" spans="1:8" s="955" customFormat="1" ht="13">
      <c r="A331" s="549">
        <f>A330+1</f>
        <v>198</v>
      </c>
      <c r="C331" s="494" t="s">
        <v>181</v>
      </c>
      <c r="D331" s="609">
        <v>2020</v>
      </c>
      <c r="E331" s="977">
        <v>0</v>
      </c>
      <c r="F331" s="977">
        <v>0</v>
      </c>
      <c r="G331" s="7">
        <f t="shared" si="43"/>
        <v>0</v>
      </c>
      <c r="H331" s="7">
        <f>E331-E330</f>
        <v>0</v>
      </c>
    </row>
    <row r="332" spans="1:8" s="955" customFormat="1" ht="13">
      <c r="A332" s="549">
        <f t="shared" ref="A332:A342" si="44">A331+1</f>
        <v>199</v>
      </c>
      <c r="C332" s="492" t="s">
        <v>182</v>
      </c>
      <c r="D332" s="609">
        <v>2020</v>
      </c>
      <c r="E332" s="977">
        <v>0</v>
      </c>
      <c r="F332" s="977">
        <v>0</v>
      </c>
      <c r="G332" s="7">
        <f t="shared" si="43"/>
        <v>0</v>
      </c>
      <c r="H332" s="7">
        <f t="shared" ref="H332:H342" si="45">E332-E331</f>
        <v>0</v>
      </c>
    </row>
    <row r="333" spans="1:8" s="955" customFormat="1" ht="13">
      <c r="A333" s="549">
        <f t="shared" si="44"/>
        <v>200</v>
      </c>
      <c r="C333" s="492" t="s">
        <v>195</v>
      </c>
      <c r="D333" s="609">
        <v>2020</v>
      </c>
      <c r="E333" s="977">
        <v>0</v>
      </c>
      <c r="F333" s="977">
        <v>0</v>
      </c>
      <c r="G333" s="7">
        <f t="shared" si="43"/>
        <v>0</v>
      </c>
      <c r="H333" s="7">
        <f t="shared" si="45"/>
        <v>0</v>
      </c>
    </row>
    <row r="334" spans="1:8" s="955" customFormat="1" ht="13">
      <c r="A334" s="549">
        <f t="shared" si="44"/>
        <v>201</v>
      </c>
      <c r="C334" s="494" t="s">
        <v>183</v>
      </c>
      <c r="D334" s="609">
        <v>2020</v>
      </c>
      <c r="E334" s="977">
        <v>0</v>
      </c>
      <c r="F334" s="977">
        <v>0</v>
      </c>
      <c r="G334" s="7">
        <f t="shared" si="43"/>
        <v>0</v>
      </c>
      <c r="H334" s="7">
        <f t="shared" si="45"/>
        <v>0</v>
      </c>
    </row>
    <row r="335" spans="1:8" s="955" customFormat="1" ht="13">
      <c r="A335" s="549">
        <f t="shared" si="44"/>
        <v>202</v>
      </c>
      <c r="C335" s="492" t="s">
        <v>184</v>
      </c>
      <c r="D335" s="609">
        <v>2020</v>
      </c>
      <c r="E335" s="977">
        <v>0</v>
      </c>
      <c r="F335" s="977">
        <v>0</v>
      </c>
      <c r="G335" s="7">
        <f t="shared" si="43"/>
        <v>0</v>
      </c>
      <c r="H335" s="7">
        <f t="shared" si="45"/>
        <v>0</v>
      </c>
    </row>
    <row r="336" spans="1:8" s="955" customFormat="1" ht="13">
      <c r="A336" s="549">
        <f t="shared" si="44"/>
        <v>203</v>
      </c>
      <c r="C336" s="492" t="s">
        <v>185</v>
      </c>
      <c r="D336" s="609">
        <v>2020</v>
      </c>
      <c r="E336" s="977">
        <v>0</v>
      </c>
      <c r="F336" s="977">
        <v>0</v>
      </c>
      <c r="G336" s="7">
        <f t="shared" si="43"/>
        <v>0</v>
      </c>
      <c r="H336" s="7">
        <f t="shared" si="45"/>
        <v>0</v>
      </c>
    </row>
    <row r="337" spans="1:8" s="955" customFormat="1" ht="13">
      <c r="A337" s="549">
        <f t="shared" si="44"/>
        <v>204</v>
      </c>
      <c r="C337" s="494" t="s">
        <v>186</v>
      </c>
      <c r="D337" s="609">
        <v>2020</v>
      </c>
      <c r="E337" s="977">
        <v>0</v>
      </c>
      <c r="F337" s="977">
        <v>0</v>
      </c>
      <c r="G337" s="7">
        <f t="shared" si="43"/>
        <v>0</v>
      </c>
      <c r="H337" s="7">
        <f t="shared" si="45"/>
        <v>0</v>
      </c>
    </row>
    <row r="338" spans="1:8" s="955" customFormat="1" ht="13">
      <c r="A338" s="549">
        <f t="shared" si="44"/>
        <v>205</v>
      </c>
      <c r="C338" s="492" t="s">
        <v>187</v>
      </c>
      <c r="D338" s="609">
        <v>2020</v>
      </c>
      <c r="E338" s="977">
        <v>0</v>
      </c>
      <c r="F338" s="977">
        <v>0</v>
      </c>
      <c r="G338" s="7">
        <f t="shared" si="43"/>
        <v>0</v>
      </c>
      <c r="H338" s="7">
        <f t="shared" si="45"/>
        <v>0</v>
      </c>
    </row>
    <row r="339" spans="1:8" s="955" customFormat="1" ht="13">
      <c r="A339" s="549">
        <f t="shared" si="44"/>
        <v>206</v>
      </c>
      <c r="C339" s="492" t="s">
        <v>188</v>
      </c>
      <c r="D339" s="609">
        <v>2020</v>
      </c>
      <c r="E339" s="977">
        <v>0</v>
      </c>
      <c r="F339" s="977">
        <v>0</v>
      </c>
      <c r="G339" s="7">
        <f t="shared" si="43"/>
        <v>0</v>
      </c>
      <c r="H339" s="7">
        <f t="shared" si="45"/>
        <v>0</v>
      </c>
    </row>
    <row r="340" spans="1:8" s="955" customFormat="1" ht="13">
      <c r="A340" s="549">
        <f t="shared" si="44"/>
        <v>207</v>
      </c>
      <c r="C340" s="494" t="s">
        <v>189</v>
      </c>
      <c r="D340" s="609">
        <v>2020</v>
      </c>
      <c r="E340" s="977">
        <v>0</v>
      </c>
      <c r="F340" s="977">
        <v>0</v>
      </c>
      <c r="G340" s="7">
        <f t="shared" si="43"/>
        <v>0</v>
      </c>
      <c r="H340" s="7">
        <f t="shared" si="45"/>
        <v>0</v>
      </c>
    </row>
    <row r="341" spans="1:8" s="955" customFormat="1" ht="13">
      <c r="A341" s="549">
        <f t="shared" si="44"/>
        <v>208</v>
      </c>
      <c r="C341" s="494" t="s">
        <v>190</v>
      </c>
      <c r="D341" s="609">
        <v>2020</v>
      </c>
      <c r="E341" s="977">
        <v>0</v>
      </c>
      <c r="F341" s="977">
        <v>0</v>
      </c>
      <c r="G341" s="7">
        <f t="shared" si="43"/>
        <v>0</v>
      </c>
      <c r="H341" s="7">
        <f t="shared" si="45"/>
        <v>0</v>
      </c>
    </row>
    <row r="342" spans="1:8" s="955" customFormat="1" ht="13">
      <c r="A342" s="549">
        <f t="shared" si="44"/>
        <v>209</v>
      </c>
      <c r="C342" s="494" t="s">
        <v>180</v>
      </c>
      <c r="D342" s="609">
        <v>2020</v>
      </c>
      <c r="E342" s="977">
        <v>0</v>
      </c>
      <c r="F342" s="977">
        <v>0</v>
      </c>
      <c r="G342" s="7">
        <f t="shared" si="43"/>
        <v>0</v>
      </c>
      <c r="H342" s="7">
        <f t="shared" si="45"/>
        <v>0</v>
      </c>
    </row>
    <row r="343" spans="1:8" s="14" customFormat="1" ht="13">
      <c r="A343" s="109"/>
      <c r="C343" s="1096"/>
      <c r="D343" s="1060"/>
      <c r="E343" s="63"/>
      <c r="F343" s="63"/>
      <c r="G343" s="63"/>
      <c r="H343" s="63"/>
    </row>
    <row r="344" spans="1:8" s="955" customFormat="1" ht="13">
      <c r="C344" s="1443" t="s">
        <v>2739</v>
      </c>
      <c r="E344" s="84" t="s">
        <v>358</v>
      </c>
      <c r="F344" s="84" t="s">
        <v>342</v>
      </c>
      <c r="G344" s="84" t="s">
        <v>343</v>
      </c>
      <c r="H344" s="84" t="s">
        <v>344</v>
      </c>
    </row>
    <row r="345" spans="1:8" s="955" customFormat="1">
      <c r="G345" s="525" t="s">
        <v>1643</v>
      </c>
      <c r="H345" s="525" t="s">
        <v>1644</v>
      </c>
    </row>
    <row r="346" spans="1:8" s="955" customFormat="1" ht="13">
      <c r="C346" s="549" t="s">
        <v>528</v>
      </c>
      <c r="G346" s="14"/>
      <c r="H346" s="1142" t="s">
        <v>1645</v>
      </c>
    </row>
    <row r="347" spans="1:8" s="955" customFormat="1" ht="13">
      <c r="C347" s="549" t="s">
        <v>193</v>
      </c>
      <c r="E347" s="549" t="s">
        <v>371</v>
      </c>
      <c r="F347" s="549" t="s">
        <v>1540</v>
      </c>
      <c r="G347" s="549" t="s">
        <v>992</v>
      </c>
      <c r="H347" s="549" t="s">
        <v>1116</v>
      </c>
    </row>
    <row r="348" spans="1:8" s="955" customFormat="1" ht="13">
      <c r="C348" s="25" t="s">
        <v>192</v>
      </c>
      <c r="D348" s="25" t="s">
        <v>193</v>
      </c>
      <c r="E348" s="3" t="s">
        <v>1541</v>
      </c>
      <c r="F348" s="3" t="s">
        <v>1080</v>
      </c>
      <c r="G348" s="3" t="s">
        <v>3</v>
      </c>
      <c r="H348" s="3" t="s">
        <v>1536</v>
      </c>
    </row>
    <row r="349" spans="1:8" s="955" customFormat="1" ht="13">
      <c r="A349" s="549">
        <f>A342+1</f>
        <v>210</v>
      </c>
      <c r="C349" s="494" t="s">
        <v>180</v>
      </c>
      <c r="D349" s="1047">
        <v>2019</v>
      </c>
      <c r="E349" s="977"/>
      <c r="F349" s="977"/>
      <c r="G349" s="7">
        <f t="shared" ref="G349:G361" si="46">E349-F349</f>
        <v>0</v>
      </c>
      <c r="H349" s="7">
        <f>E349-E349</f>
        <v>0</v>
      </c>
    </row>
    <row r="350" spans="1:8" s="955" customFormat="1" ht="13">
      <c r="A350" s="549">
        <f>A349+1</f>
        <v>211</v>
      </c>
      <c r="C350" s="494" t="s">
        <v>181</v>
      </c>
      <c r="D350" s="609">
        <v>2020</v>
      </c>
      <c r="E350" s="977"/>
      <c r="F350" s="977"/>
      <c r="G350" s="7">
        <f t="shared" si="46"/>
        <v>0</v>
      </c>
      <c r="H350" s="7">
        <f>E350-E349</f>
        <v>0</v>
      </c>
    </row>
    <row r="351" spans="1:8" s="955" customFormat="1" ht="13">
      <c r="A351" s="549">
        <f t="shared" ref="A351:A361" si="47">A350+1</f>
        <v>212</v>
      </c>
      <c r="C351" s="492" t="s">
        <v>182</v>
      </c>
      <c r="D351" s="609">
        <v>2020</v>
      </c>
      <c r="E351" s="977"/>
      <c r="F351" s="977"/>
      <c r="G351" s="7">
        <f t="shared" si="46"/>
        <v>0</v>
      </c>
      <c r="H351" s="7">
        <f t="shared" ref="H351:H361" si="48">E351-E350</f>
        <v>0</v>
      </c>
    </row>
    <row r="352" spans="1:8" s="955" customFormat="1" ht="13">
      <c r="A352" s="549">
        <f t="shared" si="47"/>
        <v>213</v>
      </c>
      <c r="C352" s="492" t="s">
        <v>195</v>
      </c>
      <c r="D352" s="609">
        <v>2020</v>
      </c>
      <c r="E352" s="977"/>
      <c r="F352" s="977"/>
      <c r="G352" s="7">
        <f t="shared" si="46"/>
        <v>0</v>
      </c>
      <c r="H352" s="7">
        <f t="shared" si="48"/>
        <v>0</v>
      </c>
    </row>
    <row r="353" spans="1:10" s="955" customFormat="1" ht="13">
      <c r="A353" s="549">
        <f t="shared" si="47"/>
        <v>214</v>
      </c>
      <c r="C353" s="494" t="s">
        <v>183</v>
      </c>
      <c r="D353" s="609">
        <v>2020</v>
      </c>
      <c r="E353" s="977"/>
      <c r="F353" s="977"/>
      <c r="G353" s="7">
        <f t="shared" si="46"/>
        <v>0</v>
      </c>
      <c r="H353" s="7">
        <f t="shared" si="48"/>
        <v>0</v>
      </c>
    </row>
    <row r="354" spans="1:10" s="955" customFormat="1" ht="13">
      <c r="A354" s="549">
        <f t="shared" si="47"/>
        <v>215</v>
      </c>
      <c r="C354" s="492" t="s">
        <v>184</v>
      </c>
      <c r="D354" s="609">
        <v>2020</v>
      </c>
      <c r="E354" s="977"/>
      <c r="F354" s="977"/>
      <c r="G354" s="7">
        <f t="shared" si="46"/>
        <v>0</v>
      </c>
      <c r="H354" s="7">
        <f t="shared" si="48"/>
        <v>0</v>
      </c>
    </row>
    <row r="355" spans="1:10" s="955" customFormat="1" ht="13">
      <c r="A355" s="549">
        <f t="shared" si="47"/>
        <v>216</v>
      </c>
      <c r="C355" s="492" t="s">
        <v>185</v>
      </c>
      <c r="D355" s="609">
        <v>2020</v>
      </c>
      <c r="E355" s="977"/>
      <c r="F355" s="977"/>
      <c r="G355" s="7">
        <f t="shared" si="46"/>
        <v>0</v>
      </c>
      <c r="H355" s="7">
        <f t="shared" si="48"/>
        <v>0</v>
      </c>
    </row>
    <row r="356" spans="1:10" s="955" customFormat="1" ht="13">
      <c r="A356" s="549">
        <f t="shared" si="47"/>
        <v>217</v>
      </c>
      <c r="C356" s="494" t="s">
        <v>186</v>
      </c>
      <c r="D356" s="609">
        <v>2020</v>
      </c>
      <c r="E356" s="977"/>
      <c r="F356" s="977"/>
      <c r="G356" s="7">
        <f t="shared" si="46"/>
        <v>0</v>
      </c>
      <c r="H356" s="7">
        <f t="shared" si="48"/>
        <v>0</v>
      </c>
    </row>
    <row r="357" spans="1:10" s="955" customFormat="1" ht="13">
      <c r="A357" s="549">
        <f t="shared" si="47"/>
        <v>218</v>
      </c>
      <c r="C357" s="492" t="s">
        <v>187</v>
      </c>
      <c r="D357" s="609">
        <v>2020</v>
      </c>
      <c r="E357" s="977"/>
      <c r="F357" s="977"/>
      <c r="G357" s="7">
        <f t="shared" si="46"/>
        <v>0</v>
      </c>
      <c r="H357" s="7">
        <f t="shared" si="48"/>
        <v>0</v>
      </c>
    </row>
    <row r="358" spans="1:10" s="955" customFormat="1" ht="13">
      <c r="A358" s="549">
        <f t="shared" si="47"/>
        <v>219</v>
      </c>
      <c r="C358" s="492" t="s">
        <v>188</v>
      </c>
      <c r="D358" s="609">
        <v>2020</v>
      </c>
      <c r="E358" s="977"/>
      <c r="F358" s="977"/>
      <c r="G358" s="7">
        <f t="shared" si="46"/>
        <v>0</v>
      </c>
      <c r="H358" s="7">
        <f t="shared" si="48"/>
        <v>0</v>
      </c>
    </row>
    <row r="359" spans="1:10" s="955" customFormat="1" ht="13">
      <c r="A359" s="549">
        <f t="shared" si="47"/>
        <v>220</v>
      </c>
      <c r="C359" s="494" t="s">
        <v>189</v>
      </c>
      <c r="D359" s="609">
        <v>2020</v>
      </c>
      <c r="E359" s="977"/>
      <c r="F359" s="977"/>
      <c r="G359" s="7">
        <f t="shared" si="46"/>
        <v>0</v>
      </c>
      <c r="H359" s="7">
        <f t="shared" si="48"/>
        <v>0</v>
      </c>
    </row>
    <row r="360" spans="1:10" s="955" customFormat="1" ht="13">
      <c r="A360" s="549">
        <f t="shared" si="47"/>
        <v>221</v>
      </c>
      <c r="C360" s="494" t="s">
        <v>190</v>
      </c>
      <c r="D360" s="609">
        <v>2020</v>
      </c>
      <c r="E360" s="977"/>
      <c r="F360" s="977"/>
      <c r="G360" s="7">
        <f t="shared" si="46"/>
        <v>0</v>
      </c>
      <c r="H360" s="7">
        <f t="shared" si="48"/>
        <v>0</v>
      </c>
    </row>
    <row r="361" spans="1:10" s="955" customFormat="1" ht="13">
      <c r="A361" s="549">
        <f t="shared" si="47"/>
        <v>222</v>
      </c>
      <c r="C361" s="494" t="s">
        <v>180</v>
      </c>
      <c r="D361" s="609">
        <v>2020</v>
      </c>
      <c r="E361" s="977"/>
      <c r="F361" s="977"/>
      <c r="G361" s="7">
        <f t="shared" si="46"/>
        <v>0</v>
      </c>
      <c r="H361" s="7">
        <f t="shared" si="48"/>
        <v>0</v>
      </c>
    </row>
    <row r="362" spans="1:10" s="14" customFormat="1" ht="13">
      <c r="A362" s="109"/>
      <c r="C362" s="1096"/>
      <c r="D362" s="24"/>
      <c r="E362" s="63"/>
      <c r="F362" s="63"/>
      <c r="G362" s="63"/>
      <c r="H362" s="63"/>
    </row>
    <row r="363" spans="1:10" ht="13">
      <c r="B363" s="1"/>
      <c r="C363" s="1" t="s">
        <v>1545</v>
      </c>
      <c r="D363" s="461"/>
      <c r="E363" s="7"/>
    </row>
    <row r="364" spans="1:10" ht="13">
      <c r="B364" s="1"/>
    </row>
    <row r="365" spans="1:10" ht="13">
      <c r="C365" s="377" t="s">
        <v>2740</v>
      </c>
      <c r="D365" s="96"/>
      <c r="E365" s="96"/>
      <c r="F365" s="96"/>
      <c r="G365" s="187" t="s">
        <v>2741</v>
      </c>
      <c r="H365" s="96"/>
      <c r="I365" s="96"/>
      <c r="J365" s="96"/>
    </row>
    <row r="366" spans="1:10" ht="13">
      <c r="A366" s="505">
        <f>A342+1</f>
        <v>210</v>
      </c>
      <c r="C366" s="511" t="s">
        <v>2742</v>
      </c>
      <c r="D366" s="96"/>
      <c r="E366" s="378"/>
      <c r="F366" s="933" t="s">
        <v>221</v>
      </c>
      <c r="G366" s="961" t="s">
        <v>2743</v>
      </c>
      <c r="H366" s="96"/>
      <c r="I366" s="96"/>
      <c r="J366" s="96"/>
    </row>
    <row r="367" spans="1:10" ht="13">
      <c r="A367" s="505">
        <f>A366+1</f>
        <v>211</v>
      </c>
      <c r="C367" s="374" t="s">
        <v>2744</v>
      </c>
      <c r="D367" s="96"/>
      <c r="E367" s="379"/>
      <c r="F367" s="934">
        <v>7.4999999999999997E-3</v>
      </c>
      <c r="G367" s="961" t="s">
        <v>2745</v>
      </c>
      <c r="H367" s="96"/>
      <c r="I367" s="96"/>
      <c r="J367" s="96"/>
    </row>
    <row r="368" spans="1:10" ht="13">
      <c r="A368" s="505">
        <f>A367+1</f>
        <v>212</v>
      </c>
      <c r="C368" s="374" t="s">
        <v>2746</v>
      </c>
      <c r="D368" s="96"/>
      <c r="E368" s="378"/>
      <c r="F368" s="933" t="s">
        <v>222</v>
      </c>
      <c r="G368" s="147" t="s">
        <v>2747</v>
      </c>
      <c r="H368" s="96"/>
      <c r="I368" s="96"/>
      <c r="J368" s="96"/>
    </row>
    <row r="369" spans="1:10">
      <c r="C369" s="96"/>
      <c r="D369" s="96"/>
      <c r="E369" s="378"/>
      <c r="F369" s="96"/>
      <c r="G369" s="96"/>
      <c r="H369" s="96"/>
      <c r="I369" s="96"/>
      <c r="J369" s="96"/>
    </row>
    <row r="370" spans="1:10" ht="13">
      <c r="C370" s="377" t="s">
        <v>2748</v>
      </c>
      <c r="D370" s="96"/>
      <c r="E370" s="96"/>
      <c r="F370" s="96"/>
      <c r="G370" s="187" t="s">
        <v>2741</v>
      </c>
      <c r="H370" s="96"/>
      <c r="I370" s="96"/>
      <c r="J370" s="96"/>
    </row>
    <row r="371" spans="1:10" ht="13">
      <c r="A371" s="505">
        <f>A368+1</f>
        <v>213</v>
      </c>
      <c r="C371" s="511" t="s">
        <v>2742</v>
      </c>
      <c r="D371" s="96"/>
      <c r="E371" s="378"/>
      <c r="F371" s="933" t="s">
        <v>221</v>
      </c>
      <c r="G371" s="961" t="s">
        <v>2743</v>
      </c>
      <c r="H371" s="96"/>
      <c r="I371" s="96"/>
      <c r="J371" s="96"/>
    </row>
    <row r="372" spans="1:10" ht="13">
      <c r="A372" s="505">
        <f>A371+1</f>
        <v>214</v>
      </c>
      <c r="C372" s="374" t="s">
        <v>2744</v>
      </c>
      <c r="D372" s="96"/>
      <c r="E372" s="379"/>
      <c r="F372" s="934">
        <v>1.2500000000000001E-2</v>
      </c>
      <c r="G372" s="961" t="s">
        <v>2745</v>
      </c>
      <c r="H372" s="96"/>
      <c r="I372" s="96"/>
      <c r="J372" s="96"/>
    </row>
    <row r="373" spans="1:10" ht="13">
      <c r="A373" s="505">
        <f>A372+1</f>
        <v>215</v>
      </c>
      <c r="C373" s="374" t="s">
        <v>2746</v>
      </c>
      <c r="D373" s="96"/>
      <c r="E373" s="378"/>
      <c r="F373" s="933" t="s">
        <v>221</v>
      </c>
      <c r="G373" s="961" t="s">
        <v>2749</v>
      </c>
      <c r="H373" s="96"/>
      <c r="I373" s="96"/>
      <c r="J373" s="96"/>
    </row>
    <row r="374" spans="1:10">
      <c r="C374" s="374"/>
      <c r="D374" s="96"/>
      <c r="E374" s="378"/>
      <c r="F374" s="933"/>
      <c r="G374" s="96"/>
      <c r="H374" s="96"/>
      <c r="I374" s="96"/>
      <c r="J374" s="96"/>
    </row>
    <row r="375" spans="1:10" ht="13">
      <c r="C375" s="377" t="s">
        <v>2750</v>
      </c>
      <c r="D375" s="96"/>
      <c r="E375" s="961"/>
      <c r="F375" s="512"/>
      <c r="G375" s="187" t="s">
        <v>2741</v>
      </c>
      <c r="H375" s="96"/>
      <c r="I375" s="96"/>
      <c r="J375" s="96"/>
    </row>
    <row r="376" spans="1:10" ht="13">
      <c r="A376" s="505">
        <f>A373+1</f>
        <v>216</v>
      </c>
      <c r="C376" s="511" t="s">
        <v>2742</v>
      </c>
      <c r="D376" s="96"/>
      <c r="E376" s="378"/>
      <c r="F376" s="933" t="s">
        <v>221</v>
      </c>
      <c r="G376" s="961" t="s">
        <v>2743</v>
      </c>
      <c r="H376" s="96"/>
      <c r="I376" s="96"/>
      <c r="J376" s="96"/>
    </row>
    <row r="377" spans="1:10" ht="13">
      <c r="A377" s="505">
        <f>A376+1</f>
        <v>217</v>
      </c>
      <c r="C377" s="374" t="s">
        <v>2744</v>
      </c>
      <c r="D377" s="96"/>
      <c r="E377" s="379"/>
      <c r="F377" s="934">
        <v>0.01</v>
      </c>
      <c r="G377" s="961" t="s">
        <v>2751</v>
      </c>
      <c r="H377" s="96"/>
      <c r="I377" s="96"/>
      <c r="J377" s="96"/>
    </row>
    <row r="378" spans="1:10" ht="13">
      <c r="A378" s="505">
        <f>A377+1</f>
        <v>218</v>
      </c>
      <c r="C378" s="374"/>
      <c r="D378" s="96"/>
      <c r="E378" s="379"/>
      <c r="F378" s="934"/>
      <c r="G378" s="961" t="s">
        <v>2752</v>
      </c>
      <c r="H378" s="96"/>
      <c r="I378" s="96"/>
      <c r="J378" s="96"/>
    </row>
    <row r="379" spans="1:10" ht="13">
      <c r="A379" s="505">
        <f>A378+1</f>
        <v>219</v>
      </c>
      <c r="C379" s="374" t="s">
        <v>2746</v>
      </c>
      <c r="D379" s="96"/>
      <c r="E379" s="378"/>
      <c r="F379" s="933" t="s">
        <v>221</v>
      </c>
      <c r="G379" s="961" t="s">
        <v>2749</v>
      </c>
      <c r="H379" s="96"/>
      <c r="I379" s="96"/>
      <c r="J379" s="96"/>
    </row>
    <row r="380" spans="1:10">
      <c r="C380" s="374"/>
      <c r="D380" s="96"/>
      <c r="E380" s="378"/>
      <c r="F380" s="933"/>
      <c r="G380" s="96"/>
      <c r="H380" s="96"/>
      <c r="I380" s="96"/>
      <c r="J380" s="96"/>
    </row>
    <row r="381" spans="1:10" ht="13">
      <c r="C381" s="377" t="s">
        <v>2753</v>
      </c>
      <c r="D381" s="96"/>
      <c r="E381" s="961"/>
      <c r="F381" s="512"/>
      <c r="G381" s="187" t="s">
        <v>2741</v>
      </c>
      <c r="H381" s="96"/>
      <c r="I381" s="96"/>
      <c r="J381" s="96"/>
    </row>
    <row r="382" spans="1:10" ht="13">
      <c r="A382" s="505">
        <f>A379+1</f>
        <v>220</v>
      </c>
      <c r="C382" s="511" t="s">
        <v>2742</v>
      </c>
      <c r="D382" s="96"/>
      <c r="E382" s="378"/>
      <c r="F382" s="933" t="s">
        <v>222</v>
      </c>
      <c r="G382" s="961" t="s">
        <v>2754</v>
      </c>
      <c r="H382" s="96"/>
      <c r="I382" s="96"/>
      <c r="J382" s="96"/>
    </row>
    <row r="383" spans="1:10" ht="13">
      <c r="A383" s="505">
        <f>A382+1</f>
        <v>221</v>
      </c>
      <c r="C383" s="511"/>
      <c r="D383" s="96"/>
      <c r="E383" s="378"/>
      <c r="F383" s="933"/>
      <c r="G383" s="96" t="s">
        <v>2755</v>
      </c>
      <c r="H383" s="96"/>
      <c r="I383" s="96"/>
      <c r="J383" s="96"/>
    </row>
    <row r="384" spans="1:10" ht="13">
      <c r="A384" s="505">
        <f>A383+1</f>
        <v>222</v>
      </c>
      <c r="C384" s="374" t="s">
        <v>2744</v>
      </c>
      <c r="D384" s="96"/>
      <c r="E384" s="379"/>
      <c r="F384" s="934">
        <v>0</v>
      </c>
      <c r="G384" s="961" t="s">
        <v>2756</v>
      </c>
      <c r="H384" s="96"/>
      <c r="I384" s="96"/>
      <c r="J384" s="96"/>
    </row>
    <row r="385" spans="1:10" ht="13">
      <c r="A385" s="505">
        <f>A384+1</f>
        <v>223</v>
      </c>
      <c r="C385" s="374"/>
      <c r="D385" s="96"/>
      <c r="E385" s="379"/>
      <c r="F385" s="934"/>
      <c r="G385" s="961" t="s">
        <v>2757</v>
      </c>
      <c r="H385" s="96"/>
      <c r="I385" s="96"/>
      <c r="J385" s="96"/>
    </row>
    <row r="386" spans="1:10" ht="13">
      <c r="A386" s="505">
        <f>A385+1</f>
        <v>224</v>
      </c>
      <c r="C386" s="374" t="s">
        <v>2746</v>
      </c>
      <c r="D386" s="96"/>
      <c r="E386" s="378"/>
      <c r="F386" s="933" t="s">
        <v>221</v>
      </c>
      <c r="G386" s="961" t="s">
        <v>2749</v>
      </c>
      <c r="H386" s="96"/>
      <c r="I386" s="96"/>
      <c r="J386" s="96"/>
    </row>
    <row r="387" spans="1:10">
      <c r="C387" s="374"/>
      <c r="D387" s="96"/>
      <c r="E387" s="378"/>
      <c r="F387" s="933"/>
      <c r="G387" s="96"/>
      <c r="H387" s="96"/>
      <c r="I387" s="96"/>
      <c r="J387" s="96"/>
    </row>
    <row r="388" spans="1:10" ht="13">
      <c r="C388" s="377" t="s">
        <v>2758</v>
      </c>
      <c r="D388" s="96"/>
      <c r="E388" s="961"/>
      <c r="F388" s="512"/>
      <c r="G388" s="187" t="s">
        <v>2741</v>
      </c>
      <c r="H388" s="96"/>
      <c r="I388" s="96"/>
      <c r="J388" s="96"/>
    </row>
    <row r="389" spans="1:10" ht="13">
      <c r="A389" s="505">
        <f>A386+1</f>
        <v>225</v>
      </c>
      <c r="C389" s="511" t="s">
        <v>2742</v>
      </c>
      <c r="D389" s="96"/>
      <c r="E389" s="378"/>
      <c r="F389" s="933" t="s">
        <v>221</v>
      </c>
      <c r="G389" s="513" t="s">
        <v>2759</v>
      </c>
      <c r="H389" s="96"/>
      <c r="I389" s="96"/>
      <c r="J389" s="96"/>
    </row>
    <row r="390" spans="1:10" ht="13">
      <c r="A390" s="505">
        <f>A389+1</f>
        <v>226</v>
      </c>
      <c r="C390" s="374" t="s">
        <v>2744</v>
      </c>
      <c r="D390" s="96"/>
      <c r="E390" s="379"/>
      <c r="F390" s="934">
        <v>0</v>
      </c>
      <c r="G390" s="932" t="s">
        <v>76</v>
      </c>
      <c r="H390" s="96"/>
      <c r="I390" s="96"/>
      <c r="J390" s="96"/>
    </row>
    <row r="391" spans="1:10" ht="13">
      <c r="A391" s="505">
        <f>A390+1</f>
        <v>227</v>
      </c>
      <c r="C391" s="374" t="s">
        <v>2746</v>
      </c>
      <c r="D391" s="96"/>
      <c r="E391" s="378"/>
      <c r="F391" s="933" t="s">
        <v>221</v>
      </c>
      <c r="G391" s="513" t="s">
        <v>2759</v>
      </c>
      <c r="H391" s="96"/>
      <c r="I391" s="96"/>
      <c r="J391" s="96"/>
    </row>
    <row r="392" spans="1:10">
      <c r="C392" s="96"/>
      <c r="D392" s="96"/>
      <c r="E392" s="96"/>
      <c r="F392" s="933"/>
      <c r="G392" s="96"/>
      <c r="H392" s="96"/>
      <c r="I392" s="96"/>
      <c r="J392" s="96"/>
    </row>
    <row r="393" spans="1:10" ht="13">
      <c r="C393" s="377" t="s">
        <v>2760</v>
      </c>
      <c r="D393" s="96"/>
      <c r="E393" s="961"/>
      <c r="F393" s="512"/>
      <c r="G393" s="187" t="s">
        <v>2741</v>
      </c>
      <c r="H393" s="96"/>
      <c r="I393" s="96"/>
      <c r="J393" s="96"/>
    </row>
    <row r="394" spans="1:10" ht="13">
      <c r="A394" s="505">
        <f>A391+1</f>
        <v>228</v>
      </c>
      <c r="C394" s="511" t="s">
        <v>2742</v>
      </c>
      <c r="D394" s="96"/>
      <c r="E394" s="378"/>
      <c r="F394" s="933" t="s">
        <v>221</v>
      </c>
      <c r="G394" s="513" t="s">
        <v>2759</v>
      </c>
      <c r="H394" s="96"/>
      <c r="I394" s="961"/>
      <c r="J394" s="961"/>
    </row>
    <row r="395" spans="1:10" ht="13">
      <c r="A395" s="505">
        <f>A394+1</f>
        <v>229</v>
      </c>
      <c r="C395" s="374" t="s">
        <v>2744</v>
      </c>
      <c r="D395" s="96"/>
      <c r="E395" s="379"/>
      <c r="F395" s="934">
        <v>0</v>
      </c>
      <c r="G395" s="932" t="s">
        <v>76</v>
      </c>
      <c r="H395" s="96"/>
      <c r="I395" s="961"/>
      <c r="J395" s="961"/>
    </row>
    <row r="396" spans="1:10" ht="13">
      <c r="A396" s="505">
        <f>A395+1</f>
        <v>230</v>
      </c>
      <c r="C396" s="374" t="s">
        <v>2746</v>
      </c>
      <c r="D396" s="96"/>
      <c r="E396" s="378"/>
      <c r="F396" s="933" t="s">
        <v>221</v>
      </c>
      <c r="G396" s="513" t="s">
        <v>2759</v>
      </c>
      <c r="H396" s="96"/>
      <c r="I396" s="961"/>
      <c r="J396" s="961"/>
    </row>
    <row r="397" spans="1:10">
      <c r="C397" s="374"/>
      <c r="D397" s="96"/>
      <c r="E397" s="379"/>
      <c r="F397" s="934"/>
      <c r="G397" s="961"/>
      <c r="H397" s="96"/>
      <c r="I397" s="961"/>
      <c r="J397" s="961"/>
    </row>
    <row r="398" spans="1:10" ht="13">
      <c r="C398" s="377" t="s">
        <v>2761</v>
      </c>
      <c r="D398" s="96"/>
      <c r="E398" s="961"/>
      <c r="F398" s="512"/>
      <c r="G398" s="187" t="s">
        <v>2741</v>
      </c>
      <c r="H398" s="96"/>
      <c r="I398" s="961"/>
      <c r="J398" s="961"/>
    </row>
    <row r="399" spans="1:10" ht="13">
      <c r="A399" s="505">
        <f>A396+1</f>
        <v>231</v>
      </c>
      <c r="C399" s="511" t="s">
        <v>2742</v>
      </c>
      <c r="D399" s="96"/>
      <c r="E399" s="378"/>
      <c r="F399" s="933" t="s">
        <v>221</v>
      </c>
      <c r="G399" s="961" t="s">
        <v>2762</v>
      </c>
      <c r="H399" s="96"/>
      <c r="I399" s="961"/>
      <c r="J399" s="961"/>
    </row>
    <row r="400" spans="1:10" ht="13">
      <c r="A400" s="505">
        <f>A399+1</f>
        <v>232</v>
      </c>
      <c r="C400" s="374" t="s">
        <v>2744</v>
      </c>
      <c r="D400" s="96"/>
      <c r="E400" s="379"/>
      <c r="F400" s="934">
        <v>0</v>
      </c>
      <c r="G400" s="961" t="s">
        <v>2763</v>
      </c>
      <c r="H400" s="96"/>
      <c r="I400" s="961"/>
      <c r="J400" s="961"/>
    </row>
    <row r="401" spans="1:10" ht="13">
      <c r="A401" s="505">
        <f>A400+1</f>
        <v>233</v>
      </c>
      <c r="C401" s="374" t="s">
        <v>2746</v>
      </c>
      <c r="D401" s="96"/>
      <c r="E401" s="378"/>
      <c r="F401" s="933" t="s">
        <v>221</v>
      </c>
      <c r="G401" s="961" t="s">
        <v>2764</v>
      </c>
      <c r="H401" s="96"/>
      <c r="I401" s="961"/>
      <c r="J401" s="961"/>
    </row>
    <row r="402" spans="1:10">
      <c r="C402" s="96"/>
      <c r="D402" s="96"/>
      <c r="E402" s="96"/>
      <c r="F402" s="933"/>
      <c r="G402" s="96"/>
      <c r="H402" s="96"/>
      <c r="I402" s="96"/>
      <c r="J402" s="96"/>
    </row>
    <row r="403" spans="1:10" ht="13">
      <c r="C403" s="377" t="s">
        <v>2765</v>
      </c>
      <c r="D403" s="96"/>
      <c r="E403" s="961"/>
      <c r="F403" s="512"/>
      <c r="G403" s="187" t="s">
        <v>2741</v>
      </c>
      <c r="H403" s="96"/>
      <c r="I403" s="96"/>
      <c r="J403" s="96"/>
    </row>
    <row r="404" spans="1:10" ht="13">
      <c r="A404" s="505">
        <f>A401+1</f>
        <v>234</v>
      </c>
      <c r="C404" s="511" t="s">
        <v>2742</v>
      </c>
      <c r="D404" s="96"/>
      <c r="E404" s="378"/>
      <c r="F404" s="933" t="s">
        <v>221</v>
      </c>
      <c r="G404" s="513" t="s">
        <v>2759</v>
      </c>
      <c r="H404" s="96"/>
      <c r="I404" s="96"/>
      <c r="J404" s="96"/>
    </row>
    <row r="405" spans="1:10" ht="13">
      <c r="A405" s="505">
        <f>A404+1</f>
        <v>235</v>
      </c>
      <c r="C405" s="374" t="s">
        <v>2744</v>
      </c>
      <c r="D405" s="96"/>
      <c r="E405" s="379"/>
      <c r="F405" s="934">
        <v>0</v>
      </c>
      <c r="G405" s="932" t="s">
        <v>76</v>
      </c>
      <c r="H405" s="96"/>
      <c r="I405" s="96"/>
      <c r="J405" s="96"/>
    </row>
    <row r="406" spans="1:10" ht="13">
      <c r="A406" s="505">
        <f>A405+1</f>
        <v>236</v>
      </c>
      <c r="C406" s="374" t="s">
        <v>2746</v>
      </c>
      <c r="D406" s="96"/>
      <c r="E406" s="378"/>
      <c r="F406" s="933" t="s">
        <v>221</v>
      </c>
      <c r="G406" s="513" t="s">
        <v>2759</v>
      </c>
      <c r="H406" s="96"/>
      <c r="I406" s="96"/>
      <c r="J406" s="96"/>
    </row>
    <row r="407" spans="1:10">
      <c r="C407" s="96"/>
      <c r="D407" s="96"/>
      <c r="E407" s="96"/>
      <c r="F407" s="933"/>
      <c r="G407" s="96"/>
      <c r="H407" s="96"/>
      <c r="I407" s="96"/>
      <c r="J407" s="96"/>
    </row>
    <row r="408" spans="1:10" ht="13">
      <c r="C408" s="377" t="s">
        <v>2766</v>
      </c>
      <c r="D408" s="96"/>
      <c r="E408" s="961"/>
      <c r="F408" s="512"/>
      <c r="G408" s="187" t="s">
        <v>2741</v>
      </c>
      <c r="H408" s="96"/>
      <c r="I408" s="96"/>
      <c r="J408" s="96"/>
    </row>
    <row r="409" spans="1:10" ht="13">
      <c r="A409" s="505">
        <f>A406+1</f>
        <v>237</v>
      </c>
      <c r="C409" s="511" t="s">
        <v>2742</v>
      </c>
      <c r="D409" s="96"/>
      <c r="E409" s="378"/>
      <c r="F409" s="933" t="s">
        <v>221</v>
      </c>
      <c r="G409" s="513" t="s">
        <v>2759</v>
      </c>
      <c r="H409" s="96"/>
      <c r="I409" s="96"/>
      <c r="J409" s="96"/>
    </row>
    <row r="410" spans="1:10" ht="13">
      <c r="A410" s="505">
        <f>A409+1</f>
        <v>238</v>
      </c>
      <c r="C410" s="374" t="s">
        <v>2744</v>
      </c>
      <c r="D410" s="96"/>
      <c r="E410" s="379"/>
      <c r="F410" s="934">
        <v>0</v>
      </c>
      <c r="G410" s="932" t="s">
        <v>76</v>
      </c>
      <c r="H410" s="96"/>
      <c r="I410" s="96"/>
      <c r="J410" s="96"/>
    </row>
    <row r="411" spans="1:10" ht="13">
      <c r="A411" s="505">
        <f>A410+1</f>
        <v>239</v>
      </c>
      <c r="C411" s="374" t="s">
        <v>2746</v>
      </c>
      <c r="D411" s="96"/>
      <c r="E411" s="378"/>
      <c r="F411" s="933" t="s">
        <v>221</v>
      </c>
      <c r="G411" s="513" t="s">
        <v>2759</v>
      </c>
      <c r="H411" s="96"/>
      <c r="I411" s="96"/>
      <c r="J411" s="96"/>
    </row>
    <row r="412" spans="1:10">
      <c r="C412" s="96"/>
      <c r="D412" s="96"/>
      <c r="E412" s="96"/>
      <c r="F412" s="933"/>
      <c r="G412" s="96"/>
      <c r="H412" s="96"/>
      <c r="I412" s="96"/>
      <c r="J412" s="96"/>
    </row>
    <row r="413" spans="1:10" ht="13">
      <c r="C413" s="1092" t="s">
        <v>2767</v>
      </c>
      <c r="D413" s="96"/>
      <c r="E413" s="96"/>
      <c r="F413" s="96"/>
      <c r="G413" s="187" t="s">
        <v>2741</v>
      </c>
      <c r="H413" s="96"/>
      <c r="I413" s="96"/>
      <c r="J413" s="96"/>
    </row>
    <row r="414" spans="1:10" ht="13">
      <c r="A414" s="505">
        <f>A411+1</f>
        <v>240</v>
      </c>
      <c r="C414" s="511" t="s">
        <v>2742</v>
      </c>
      <c r="D414" s="96"/>
      <c r="E414" s="96"/>
      <c r="F414" s="961" t="s">
        <v>221</v>
      </c>
      <c r="G414" s="961" t="s">
        <v>2768</v>
      </c>
      <c r="H414" s="96"/>
      <c r="I414" s="96"/>
      <c r="J414" s="96"/>
    </row>
    <row r="415" spans="1:10" ht="13">
      <c r="A415" s="505">
        <f>A414+1</f>
        <v>241</v>
      </c>
      <c r="C415" s="374" t="s">
        <v>2744</v>
      </c>
      <c r="D415" s="96"/>
      <c r="E415" s="96"/>
      <c r="F415" s="934">
        <v>0</v>
      </c>
      <c r="G415" s="932" t="s">
        <v>76</v>
      </c>
      <c r="H415" s="96"/>
      <c r="I415" s="96"/>
      <c r="J415" s="96"/>
    </row>
    <row r="416" spans="1:10" ht="13">
      <c r="A416" s="505">
        <f>A415+1</f>
        <v>242</v>
      </c>
      <c r="C416" s="374" t="s">
        <v>2746</v>
      </c>
      <c r="D416" s="96"/>
      <c r="E416" s="96"/>
      <c r="F416" s="961" t="s">
        <v>222</v>
      </c>
      <c r="G416" s="932" t="s">
        <v>76</v>
      </c>
      <c r="H416" s="96"/>
      <c r="I416" s="96"/>
      <c r="J416" s="96"/>
    </row>
    <row r="417" spans="1:10">
      <c r="C417" s="96"/>
      <c r="D417" s="96"/>
      <c r="E417" s="96"/>
      <c r="F417" s="96"/>
      <c r="G417" s="96"/>
      <c r="H417" s="96"/>
      <c r="I417" s="96"/>
      <c r="J417" s="96"/>
    </row>
    <row r="418" spans="1:10" ht="13">
      <c r="C418" s="1092" t="s">
        <v>2769</v>
      </c>
      <c r="D418" s="96"/>
      <c r="E418" s="96"/>
      <c r="F418" s="96"/>
      <c r="G418" s="187" t="s">
        <v>2741</v>
      </c>
      <c r="H418" s="96"/>
      <c r="I418" s="96"/>
      <c r="J418" s="96"/>
    </row>
    <row r="419" spans="1:10" ht="13">
      <c r="A419" s="505">
        <f>A416+1</f>
        <v>243</v>
      </c>
      <c r="C419" s="511" t="s">
        <v>2742</v>
      </c>
      <c r="D419" s="96"/>
      <c r="E419" s="96"/>
      <c r="F419" s="961" t="s">
        <v>221</v>
      </c>
      <c r="G419" s="961" t="s">
        <v>2768</v>
      </c>
      <c r="H419" s="96"/>
      <c r="I419" s="96"/>
      <c r="J419" s="96"/>
    </row>
    <row r="420" spans="1:10" ht="13">
      <c r="A420" s="505">
        <f>A419+1</f>
        <v>244</v>
      </c>
      <c r="C420" s="374" t="s">
        <v>2744</v>
      </c>
      <c r="D420" s="96"/>
      <c r="E420" s="96"/>
      <c r="F420" s="934">
        <v>0</v>
      </c>
      <c r="G420" s="932" t="s">
        <v>76</v>
      </c>
      <c r="H420" s="96"/>
      <c r="I420" s="96"/>
      <c r="J420" s="96"/>
    </row>
    <row r="421" spans="1:10" ht="13">
      <c r="A421" s="505">
        <f>A420+1</f>
        <v>245</v>
      </c>
      <c r="C421" s="374" t="s">
        <v>2746</v>
      </c>
      <c r="D421" s="96"/>
      <c r="E421" s="96"/>
      <c r="F421" s="961" t="s">
        <v>221</v>
      </c>
      <c r="G421" s="961" t="s">
        <v>2770</v>
      </c>
      <c r="H421" s="96"/>
      <c r="I421" s="96"/>
      <c r="J421" s="96"/>
    </row>
    <row r="422" spans="1:10">
      <c r="C422" s="96"/>
      <c r="D422" s="96"/>
      <c r="E422" s="96"/>
      <c r="F422" s="96"/>
      <c r="G422" s="96"/>
      <c r="H422" s="96"/>
      <c r="I422" s="96"/>
      <c r="J422" s="96"/>
    </row>
    <row r="423" spans="1:10" ht="13">
      <c r="C423" s="1092" t="s">
        <v>2771</v>
      </c>
      <c r="D423" s="96"/>
      <c r="E423" s="96"/>
      <c r="F423" s="96"/>
      <c r="G423" s="187" t="s">
        <v>2741</v>
      </c>
      <c r="H423" s="96"/>
      <c r="I423" s="96"/>
      <c r="J423" s="96"/>
    </row>
    <row r="424" spans="1:10" ht="13">
      <c r="A424" s="505">
        <f>A421+1</f>
        <v>246</v>
      </c>
      <c r="C424" s="511" t="s">
        <v>2742</v>
      </c>
      <c r="D424" s="96"/>
      <c r="E424" s="96"/>
      <c r="F424" s="961" t="s">
        <v>221</v>
      </c>
      <c r="G424" s="961" t="s">
        <v>2768</v>
      </c>
      <c r="H424" s="96"/>
      <c r="I424" s="96"/>
      <c r="J424" s="96"/>
    </row>
    <row r="425" spans="1:10" ht="13">
      <c r="A425" s="505">
        <f>A424+1</f>
        <v>247</v>
      </c>
      <c r="C425" s="374" t="s">
        <v>2744</v>
      </c>
      <c r="D425" s="96"/>
      <c r="E425" s="96"/>
      <c r="F425" s="934">
        <v>0</v>
      </c>
      <c r="G425" s="932" t="s">
        <v>76</v>
      </c>
      <c r="H425" s="96"/>
      <c r="I425" s="96"/>
      <c r="J425" s="96"/>
    </row>
    <row r="426" spans="1:10" ht="13">
      <c r="A426" s="505">
        <f>A425+1</f>
        <v>248</v>
      </c>
      <c r="C426" s="374" t="s">
        <v>2746</v>
      </c>
      <c r="D426" s="96"/>
      <c r="E426" s="96"/>
      <c r="F426" s="961" t="s">
        <v>221</v>
      </c>
      <c r="G426" s="961" t="s">
        <v>2770</v>
      </c>
      <c r="H426" s="96"/>
      <c r="I426" s="96"/>
      <c r="J426" s="96"/>
    </row>
    <row r="427" spans="1:10" s="955" customFormat="1" ht="13">
      <c r="A427" s="549"/>
      <c r="C427" s="374"/>
      <c r="D427" s="96"/>
      <c r="E427" s="96"/>
      <c r="F427" s="961"/>
      <c r="G427" s="961"/>
      <c r="H427" s="96"/>
      <c r="I427" s="96"/>
      <c r="J427" s="96"/>
    </row>
    <row r="428" spans="1:10" s="955" customFormat="1" ht="13">
      <c r="A428" s="549"/>
      <c r="C428" s="377" t="s">
        <v>2772</v>
      </c>
      <c r="D428" s="96"/>
      <c r="E428" s="96"/>
      <c r="F428" s="961"/>
      <c r="G428" s="187" t="s">
        <v>2741</v>
      </c>
      <c r="H428" s="96"/>
      <c r="I428" s="96"/>
      <c r="J428" s="96"/>
    </row>
    <row r="429" spans="1:10" s="955" customFormat="1" ht="13">
      <c r="A429" s="549">
        <f>A426+1</f>
        <v>249</v>
      </c>
      <c r="C429" s="511" t="s">
        <v>2742</v>
      </c>
      <c r="D429" s="96"/>
      <c r="E429" s="96"/>
      <c r="F429" s="961" t="s">
        <v>221</v>
      </c>
      <c r="G429" s="961" t="s">
        <v>2773</v>
      </c>
      <c r="H429" s="96"/>
      <c r="I429" s="96"/>
      <c r="J429" s="96"/>
    </row>
    <row r="430" spans="1:10" s="955" customFormat="1" ht="13">
      <c r="A430" s="549">
        <f t="shared" ref="A430:A431" si="49">A429+1</f>
        <v>250</v>
      </c>
      <c r="C430" s="511" t="s">
        <v>2744</v>
      </c>
      <c r="D430" s="96"/>
      <c r="E430" s="96"/>
      <c r="F430" s="934">
        <v>0</v>
      </c>
      <c r="G430" s="961"/>
      <c r="H430" s="96"/>
      <c r="I430" s="96"/>
      <c r="J430" s="96"/>
    </row>
    <row r="431" spans="1:10" s="955" customFormat="1" ht="13">
      <c r="A431" s="549">
        <f t="shared" si="49"/>
        <v>251</v>
      </c>
      <c r="C431" s="511" t="s">
        <v>2746</v>
      </c>
      <c r="D431" s="96"/>
      <c r="E431" s="96"/>
      <c r="F431" s="961" t="s">
        <v>221</v>
      </c>
      <c r="G431" s="961" t="s">
        <v>2774</v>
      </c>
      <c r="H431" s="96"/>
      <c r="I431" s="96"/>
      <c r="J431" s="96"/>
    </row>
    <row r="432" spans="1:10" s="955" customFormat="1" ht="13">
      <c r="A432" s="549"/>
      <c r="C432" s="511"/>
      <c r="D432" s="96"/>
      <c r="E432" s="96"/>
      <c r="F432" s="961"/>
      <c r="G432" s="961"/>
      <c r="H432" s="96"/>
      <c r="I432" s="96"/>
      <c r="J432" s="96"/>
    </row>
    <row r="433" spans="1:10" s="955" customFormat="1" ht="13">
      <c r="A433" s="549"/>
      <c r="C433" s="377" t="s">
        <v>2775</v>
      </c>
      <c r="D433" s="96"/>
      <c r="E433" s="96"/>
      <c r="F433" s="961"/>
      <c r="G433" s="187" t="s">
        <v>2741</v>
      </c>
      <c r="H433" s="96"/>
      <c r="I433" s="96"/>
      <c r="J433" s="96"/>
    </row>
    <row r="434" spans="1:10" s="955" customFormat="1" ht="13">
      <c r="A434" s="549">
        <f>A431+1</f>
        <v>252</v>
      </c>
      <c r="C434" s="511" t="s">
        <v>2742</v>
      </c>
      <c r="D434" s="96"/>
      <c r="E434" s="96"/>
      <c r="F434" s="961"/>
      <c r="G434" s="961"/>
      <c r="H434" s="96"/>
      <c r="I434" s="96"/>
      <c r="J434" s="96"/>
    </row>
    <row r="435" spans="1:10" s="955" customFormat="1" ht="13">
      <c r="A435" s="549">
        <f t="shared" ref="A435:A436" si="50">A434+1</f>
        <v>253</v>
      </c>
      <c r="C435" s="511" t="s">
        <v>2744</v>
      </c>
      <c r="D435" s="96"/>
      <c r="E435" s="96"/>
      <c r="F435" s="961"/>
      <c r="G435" s="961"/>
      <c r="H435" s="96"/>
      <c r="I435" s="96"/>
      <c r="J435" s="96"/>
    </row>
    <row r="436" spans="1:10" s="955" customFormat="1" ht="13">
      <c r="A436" s="549">
        <f t="shared" si="50"/>
        <v>254</v>
      </c>
      <c r="C436" s="511" t="s">
        <v>2746</v>
      </c>
      <c r="D436" s="96"/>
      <c r="E436" s="96"/>
      <c r="F436" s="961"/>
      <c r="G436" s="961"/>
      <c r="H436" s="96"/>
      <c r="I436" s="96"/>
      <c r="J436" s="96"/>
    </row>
    <row r="437" spans="1:10" s="955" customFormat="1">
      <c r="C437" s="1351" t="s">
        <v>504</v>
      </c>
      <c r="D437" s="14"/>
      <c r="E437" s="14"/>
      <c r="F437" s="14"/>
      <c r="G437" s="14"/>
      <c r="H437" s="14"/>
      <c r="I437" s="14"/>
      <c r="J437" s="14"/>
    </row>
    <row r="438" spans="1:10" ht="13">
      <c r="B438" s="375" t="s">
        <v>377</v>
      </c>
    </row>
    <row r="439" spans="1:10">
      <c r="C439" s="463" t="s">
        <v>1188</v>
      </c>
    </row>
    <row r="440" spans="1:10">
      <c r="C440" t="s">
        <v>1101</v>
      </c>
    </row>
  </sheetData>
  <phoneticPr fontId="23" type="noConversion"/>
  <pageMargins left="0.75" right="0.75" top="1" bottom="1" header="0.5" footer="0.5"/>
  <pageSetup scale="64" orientation="portrait" cellComments="asDisplayed" r:id="rId1"/>
  <headerFooter alignWithMargins="0">
    <oddHeader>&amp;CSchedule 14
Incentive Plant
&amp;RTO2022 Draft Annual Update 
Attachment 1</oddHeader>
    <oddFooter>&amp;R&amp;A</oddFooter>
  </headerFooter>
  <rowBreaks count="6" manualBreakCount="6">
    <brk id="67" max="16383" man="1"/>
    <brk id="132" max="16383" man="1"/>
    <brk id="190" max="16383" man="1"/>
    <brk id="247" max="16383" man="1"/>
    <brk id="304" max="16383" man="1"/>
    <brk id="36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5"/>
  <cols>
    <col min="1" max="2" width="4.54296875" customWidth="1"/>
    <col min="3" max="4" width="10.54296875" customWidth="1"/>
    <col min="5" max="9" width="15.54296875" customWidth="1"/>
  </cols>
  <sheetData>
    <row r="1" spans="1:9" ht="13">
      <c r="A1" s="1" t="s">
        <v>150</v>
      </c>
      <c r="B1" s="1"/>
    </row>
    <row r="2" spans="1:9" ht="13">
      <c r="A2" s="1"/>
      <c r="B2" s="1"/>
      <c r="G2" s="94" t="s">
        <v>246</v>
      </c>
      <c r="H2" s="94"/>
    </row>
    <row r="3" spans="1:9" ht="13">
      <c r="A3" s="1"/>
      <c r="B3" s="12" t="s">
        <v>977</v>
      </c>
    </row>
    <row r="4" spans="1:9" ht="13">
      <c r="A4" s="1"/>
      <c r="B4" s="13" t="s">
        <v>978</v>
      </c>
    </row>
    <row r="5" spans="1:9" ht="13">
      <c r="A5" s="1"/>
      <c r="B5" s="467" t="s">
        <v>1491</v>
      </c>
    </row>
    <row r="7" spans="1:9" ht="13.5" customHeight="1">
      <c r="B7" s="1" t="s">
        <v>272</v>
      </c>
    </row>
    <row r="8" spans="1:9" ht="13">
      <c r="A8" s="1"/>
      <c r="B8" s="1"/>
    </row>
    <row r="9" spans="1:9" ht="13">
      <c r="A9" s="1"/>
      <c r="B9" s="1"/>
      <c r="C9" s="12" t="s">
        <v>295</v>
      </c>
    </row>
    <row r="10" spans="1:9" ht="13">
      <c r="A10" s="1"/>
      <c r="B10" s="1"/>
      <c r="C10" s="12" t="s">
        <v>1113</v>
      </c>
    </row>
    <row r="11" spans="1:9" ht="13">
      <c r="A11" s="1"/>
      <c r="B11" s="1"/>
      <c r="C11" s="12"/>
    </row>
    <row r="12" spans="1:9" ht="13">
      <c r="A12" s="1"/>
      <c r="B12" s="1"/>
      <c r="C12" s="463" t="s">
        <v>1462</v>
      </c>
    </row>
    <row r="13" spans="1:9" ht="13">
      <c r="A13" s="1"/>
      <c r="B13" s="1"/>
    </row>
    <row r="14" spans="1:9" ht="13">
      <c r="A14" s="51" t="s">
        <v>329</v>
      </c>
      <c r="B14" s="1"/>
      <c r="C14" s="12" t="s">
        <v>363</v>
      </c>
      <c r="G14" s="117" t="s">
        <v>171</v>
      </c>
      <c r="I14" s="3" t="s">
        <v>179</v>
      </c>
    </row>
    <row r="15" spans="1:9" ht="13">
      <c r="A15" s="109">
        <v>1</v>
      </c>
      <c r="B15" s="44"/>
      <c r="C15" s="46" t="s">
        <v>364</v>
      </c>
      <c r="D15" s="14"/>
      <c r="E15" s="14"/>
      <c r="F15" s="14"/>
      <c r="G15" s="67">
        <f>'1-BaseTRR'!K82</f>
        <v>0.47499999999999998</v>
      </c>
      <c r="H15" s="14"/>
      <c r="I15" s="15" t="str">
        <f>"1-BaseTRR, L "&amp;'1-BaseTRR'!A82&amp;""</f>
        <v>1-BaseTRR, L 47</v>
      </c>
    </row>
    <row r="16" spans="1:9" ht="13">
      <c r="A16" s="109">
        <v>2</v>
      </c>
      <c r="B16" s="44"/>
      <c r="C16" s="46" t="s">
        <v>218</v>
      </c>
      <c r="D16" s="14"/>
      <c r="E16" s="14"/>
      <c r="F16" s="14"/>
      <c r="G16" s="67">
        <f>'1-BaseTRR'!K104</f>
        <v>0.27983599999999997</v>
      </c>
      <c r="H16" s="14"/>
      <c r="I16" s="15" t="str">
        <f>"1-BaseTRR, L "&amp;'1-BaseTRR'!A104&amp;""</f>
        <v>1-BaseTRR, L 59</v>
      </c>
    </row>
    <row r="17" spans="1:9" ht="13">
      <c r="A17" s="109">
        <v>3</v>
      </c>
      <c r="B17" s="44"/>
      <c r="C17" s="14"/>
      <c r="D17" s="14"/>
      <c r="E17" s="14"/>
      <c r="F17" s="356" t="s">
        <v>489</v>
      </c>
      <c r="G17" s="63">
        <f>G15*(1/(1-G16))* 10000</f>
        <v>6595.7198638087975</v>
      </c>
      <c r="H17" s="14"/>
      <c r="I17" s="15" t="s">
        <v>365</v>
      </c>
    </row>
    <row r="18" spans="1:9">
      <c r="A18" s="14"/>
      <c r="B18" s="14"/>
      <c r="C18" s="14"/>
      <c r="D18" s="14"/>
      <c r="E18" s="14"/>
      <c r="F18" s="14"/>
      <c r="G18" s="14"/>
      <c r="H18" s="14"/>
      <c r="I18" s="14"/>
    </row>
    <row r="19" spans="1:9" ht="13">
      <c r="A19" s="14"/>
      <c r="B19" s="44" t="s">
        <v>273</v>
      </c>
      <c r="C19" s="14"/>
      <c r="D19" s="14"/>
      <c r="E19" s="14"/>
      <c r="F19" s="14"/>
      <c r="G19" s="14"/>
      <c r="H19" s="14"/>
      <c r="I19" s="14"/>
    </row>
    <row r="20" spans="1:9" ht="13">
      <c r="A20" s="44"/>
      <c r="B20" s="44"/>
      <c r="C20" s="15" t="s">
        <v>300</v>
      </c>
      <c r="D20" s="14"/>
      <c r="E20" s="14"/>
      <c r="F20" s="14"/>
      <c r="G20" s="14"/>
      <c r="H20" s="14"/>
      <c r="I20" s="14"/>
    </row>
    <row r="21" spans="1:9" ht="13">
      <c r="A21" s="44"/>
      <c r="B21" s="44"/>
      <c r="C21" s="15" t="s">
        <v>490</v>
      </c>
      <c r="D21" s="14"/>
      <c r="E21" s="14"/>
      <c r="F21" s="14"/>
      <c r="G21" s="14"/>
      <c r="H21" s="14"/>
      <c r="I21" s="14"/>
    </row>
    <row r="22" spans="1:9" ht="13">
      <c r="A22" s="44"/>
      <c r="B22" s="44"/>
      <c r="C22" s="14"/>
      <c r="D22" s="14"/>
      <c r="E22" s="14"/>
      <c r="F22" s="14"/>
      <c r="G22" s="14"/>
      <c r="H22" s="14"/>
      <c r="I22" s="14"/>
    </row>
    <row r="23" spans="1:9" ht="13">
      <c r="A23" s="44"/>
      <c r="B23" s="44"/>
      <c r="C23" s="14"/>
      <c r="D23" s="14"/>
      <c r="E23" s="14"/>
      <c r="F23" s="109" t="s">
        <v>275</v>
      </c>
      <c r="G23" s="14"/>
      <c r="H23" s="14"/>
      <c r="I23" s="14"/>
    </row>
    <row r="24" spans="1:9" ht="13">
      <c r="A24" s="833" t="s">
        <v>329</v>
      </c>
      <c r="B24" s="833"/>
      <c r="C24" s="14"/>
      <c r="D24" s="14"/>
      <c r="E24" s="122" t="s">
        <v>9</v>
      </c>
      <c r="F24" s="122" t="s">
        <v>35</v>
      </c>
      <c r="G24" s="122" t="s">
        <v>179</v>
      </c>
      <c r="H24" s="14"/>
      <c r="I24" s="14"/>
    </row>
    <row r="25" spans="1:9" ht="13">
      <c r="A25" s="109">
        <f>A17+1</f>
        <v>4</v>
      </c>
      <c r="B25" s="109"/>
      <c r="C25" s="14" t="s">
        <v>225</v>
      </c>
      <c r="D25" s="14"/>
      <c r="E25" s="78">
        <f>'14-IncentivePlant'!F367</f>
        <v>7.4999999999999997E-3</v>
      </c>
      <c r="F25" s="872">
        <f>E25/0.01</f>
        <v>0.75</v>
      </c>
      <c r="G25" s="46" t="str">
        <f>"14-IncentivePlant, L "&amp;'14-IncentivePlant'!A367&amp;""</f>
        <v>14-IncentivePlant, L 211</v>
      </c>
      <c r="H25" s="14"/>
      <c r="I25" s="14"/>
    </row>
    <row r="26" spans="1:9" ht="13">
      <c r="A26" s="109">
        <f>A25+1</f>
        <v>5</v>
      </c>
      <c r="B26" s="109"/>
      <c r="C26" s="14" t="s">
        <v>226</v>
      </c>
      <c r="D26" s="14"/>
      <c r="E26" s="78">
        <f>'14-IncentivePlant'!F372</f>
        <v>1.2500000000000001E-2</v>
      </c>
      <c r="F26" s="872">
        <f>E26/0.01</f>
        <v>1.25</v>
      </c>
      <c r="G26" s="46" t="str">
        <f>"14-IncentivePlant, L "&amp;'14-IncentivePlant'!A372&amp;""</f>
        <v>14-IncentivePlant, L 214</v>
      </c>
      <c r="H26" s="14"/>
      <c r="I26" s="14"/>
    </row>
    <row r="27" spans="1:9" ht="13">
      <c r="A27" s="109">
        <f>A26+1</f>
        <v>6</v>
      </c>
      <c r="B27" s="109"/>
      <c r="C27" s="465" t="s">
        <v>2153</v>
      </c>
      <c r="D27" s="14"/>
      <c r="E27" s="78">
        <f>'14-IncentivePlant'!F377</f>
        <v>0.01</v>
      </c>
      <c r="F27" s="872">
        <f>E27/0.01</f>
        <v>1</v>
      </c>
      <c r="G27" s="46" t="str">
        <f>"14-IncentivePlant, L "&amp;'14-IncentivePlant'!A377&amp;""</f>
        <v>14-IncentivePlant, L 217</v>
      </c>
      <c r="H27" s="14"/>
      <c r="I27" s="14"/>
    </row>
    <row r="28" spans="1:9" ht="13">
      <c r="A28" s="2">
        <f>A27+1</f>
        <v>7</v>
      </c>
      <c r="B28" s="2"/>
      <c r="C28" s="114"/>
      <c r="D28" s="96"/>
      <c r="E28" s="42"/>
      <c r="F28" s="97"/>
    </row>
    <row r="29" spans="1:9" ht="13">
      <c r="A29" s="2">
        <f>A28+1</f>
        <v>8</v>
      </c>
      <c r="B29" s="2"/>
      <c r="C29" s="185" t="s">
        <v>504</v>
      </c>
      <c r="E29" s="42"/>
      <c r="F29" s="97"/>
    </row>
    <row r="31" spans="1:9" ht="13">
      <c r="B31" s="1" t="s">
        <v>274</v>
      </c>
    </row>
    <row r="32" spans="1:9" ht="13">
      <c r="A32" s="1"/>
      <c r="B32" s="1"/>
      <c r="C32" s="12" t="s">
        <v>1420</v>
      </c>
    </row>
    <row r="33" spans="1:9" ht="13">
      <c r="A33" s="1"/>
      <c r="B33" s="1"/>
      <c r="C33" s="12" t="s">
        <v>491</v>
      </c>
    </row>
    <row r="34" spans="1:9" ht="13">
      <c r="A34" s="1"/>
      <c r="B34" s="1"/>
      <c r="C34" s="12" t="s">
        <v>492</v>
      </c>
    </row>
    <row r="35" spans="1:9" ht="13">
      <c r="E35" s="2"/>
      <c r="G35" s="2"/>
    </row>
    <row r="36" spans="1:9" ht="13">
      <c r="E36" s="2" t="s">
        <v>63</v>
      </c>
      <c r="G36" s="2" t="s">
        <v>63</v>
      </c>
    </row>
    <row r="37" spans="1:9" ht="13">
      <c r="E37" s="2" t="s">
        <v>8</v>
      </c>
      <c r="F37" s="2" t="s">
        <v>275</v>
      </c>
      <c r="G37" s="2" t="s">
        <v>8</v>
      </c>
    </row>
    <row r="38" spans="1:9" ht="13">
      <c r="A38" s="51" t="s">
        <v>329</v>
      </c>
      <c r="B38" s="51"/>
      <c r="E38" s="3" t="s">
        <v>173</v>
      </c>
      <c r="F38" s="3" t="s">
        <v>35</v>
      </c>
      <c r="G38" s="3" t="s">
        <v>276</v>
      </c>
      <c r="H38" s="3" t="s">
        <v>179</v>
      </c>
    </row>
    <row r="39" spans="1:9" ht="13">
      <c r="A39" s="2">
        <f>A29+1</f>
        <v>9</v>
      </c>
      <c r="B39" s="2"/>
      <c r="C39" t="s">
        <v>225</v>
      </c>
      <c r="E39" s="7">
        <f>'14-IncentivePlant'!E47</f>
        <v>136014895.64741364</v>
      </c>
      <c r="F39" s="97">
        <f>F25</f>
        <v>0.75</v>
      </c>
      <c r="G39" s="7">
        <f>(E39/1000000)*(F39*$G$17)</f>
        <v>672837.11174664518</v>
      </c>
      <c r="H39" s="46" t="str">
        <f>"14-IncentivePlant, L "&amp;'14-IncentivePlant'!A47&amp;", Col. 1"</f>
        <v>14-IncentivePlant, L 14, Col. 1</v>
      </c>
      <c r="I39" s="14"/>
    </row>
    <row r="40" spans="1:9" ht="13">
      <c r="A40" s="2">
        <f>A39+1</f>
        <v>10</v>
      </c>
      <c r="B40" s="2"/>
      <c r="C40" t="s">
        <v>226</v>
      </c>
      <c r="E40" s="7">
        <f>'14-IncentivePlant'!E48</f>
        <v>2517273959.592175</v>
      </c>
      <c r="F40" s="97">
        <f>F26</f>
        <v>1.25</v>
      </c>
      <c r="G40" s="7">
        <f>(E40/1000000)*(F40*$G$17)</f>
        <v>20754042.322413418</v>
      </c>
      <c r="H40" s="46" t="str">
        <f>"14-IncentivePlant, L "&amp;'14-IncentivePlant'!A48&amp;", Col. 1"</f>
        <v>14-IncentivePlant, L 15, Col. 1</v>
      </c>
      <c r="I40" s="14"/>
    </row>
    <row r="41" spans="1:9" ht="13">
      <c r="A41" s="2">
        <f>A40+1</f>
        <v>11</v>
      </c>
      <c r="B41" s="2"/>
      <c r="C41" s="463" t="s">
        <v>2153</v>
      </c>
      <c r="E41" s="7">
        <f>'14-IncentivePlant'!E49</f>
        <v>629713992.18976367</v>
      </c>
      <c r="F41" s="97">
        <f>F27</f>
        <v>1</v>
      </c>
      <c r="G41" s="7">
        <f>(E41/1000000)*(F41*$G$17)</f>
        <v>4153417.086804362</v>
      </c>
      <c r="H41" s="46" t="str">
        <f>"14-IncentivePlant, L "&amp;'14-IncentivePlant'!A49&amp;", Col. 1"</f>
        <v>14-IncentivePlant, L 16, Col. 1</v>
      </c>
      <c r="I41" s="14"/>
    </row>
    <row r="42" spans="1:9" ht="13">
      <c r="A42" s="2">
        <f>A41+1</f>
        <v>12</v>
      </c>
      <c r="B42" s="2"/>
      <c r="C42" s="114"/>
      <c r="D42" s="96"/>
      <c r="H42" s="14"/>
    </row>
    <row r="43" spans="1:9" ht="13">
      <c r="A43" s="2">
        <f>A42+1</f>
        <v>13</v>
      </c>
      <c r="B43" s="2"/>
      <c r="C43" s="185" t="s">
        <v>504</v>
      </c>
      <c r="H43" s="14"/>
    </row>
    <row r="44" spans="1:9" ht="13">
      <c r="A44" s="2">
        <f>A43+1</f>
        <v>14</v>
      </c>
      <c r="F44" s="37" t="s">
        <v>78</v>
      </c>
      <c r="G44" s="7">
        <f>SUM(G39:G42)</f>
        <v>25580296.520964429</v>
      </c>
      <c r="H44" s="462" t="s">
        <v>1650</v>
      </c>
      <c r="I44" s="14"/>
    </row>
    <row r="45" spans="1:9">
      <c r="H45" s="462" t="s">
        <v>1651</v>
      </c>
      <c r="I45" s="63"/>
    </row>
    <row r="46" spans="1:9" ht="13">
      <c r="B46" s="1" t="s">
        <v>1448</v>
      </c>
      <c r="H46" s="14"/>
    </row>
    <row r="47" spans="1:9" ht="13">
      <c r="A47" s="1"/>
      <c r="B47" s="1"/>
      <c r="C47" s="463" t="s">
        <v>1449</v>
      </c>
      <c r="H47" s="14"/>
    </row>
    <row r="48" spans="1:9" ht="13">
      <c r="A48" s="1"/>
      <c r="B48" s="1"/>
      <c r="C48" s="463" t="s">
        <v>1492</v>
      </c>
      <c r="H48" s="14"/>
    </row>
    <row r="49" spans="1:9" ht="13">
      <c r="A49" s="1"/>
      <c r="B49" s="1"/>
      <c r="C49" s="463" t="s">
        <v>1649</v>
      </c>
      <c r="H49" s="14"/>
    </row>
    <row r="50" spans="1:9">
      <c r="H50" s="14"/>
    </row>
    <row r="51" spans="1:9" ht="13">
      <c r="E51" s="2" t="s">
        <v>0</v>
      </c>
      <c r="G51" s="2" t="s">
        <v>0</v>
      </c>
      <c r="H51" s="14"/>
    </row>
    <row r="52" spans="1:9" ht="13">
      <c r="E52" s="2" t="s">
        <v>8</v>
      </c>
      <c r="F52" s="2" t="s">
        <v>275</v>
      </c>
      <c r="G52" s="2" t="s">
        <v>8</v>
      </c>
      <c r="H52" s="14"/>
    </row>
    <row r="53" spans="1:9" ht="13">
      <c r="A53" s="51" t="s">
        <v>329</v>
      </c>
      <c r="B53" s="51"/>
      <c r="E53" s="3" t="s">
        <v>992</v>
      </c>
      <c r="F53" s="3" t="s">
        <v>35</v>
      </c>
      <c r="G53" s="3" t="s">
        <v>276</v>
      </c>
      <c r="H53" s="122" t="s">
        <v>179</v>
      </c>
    </row>
    <row r="54" spans="1:9" ht="13">
      <c r="A54" s="2">
        <f>A44+1</f>
        <v>15</v>
      </c>
      <c r="B54" s="2"/>
      <c r="C54" t="s">
        <v>225</v>
      </c>
      <c r="E54" s="7">
        <f>'14-IncentivePlant'!E61</f>
        <v>138378365.31053418</v>
      </c>
      <c r="F54" s="97">
        <f>F25</f>
        <v>0.75</v>
      </c>
      <c r="G54" s="7">
        <f>(E54/1000000)*(F54*$G$17)</f>
        <v>684528.69960006035</v>
      </c>
      <c r="H54" s="46" t="str">
        <f>"14-IncentivePlant, L "&amp;'14-IncentivePlant'!A61&amp;", Col. 1"</f>
        <v>14-IncentivePlant, L 20, Col. 1</v>
      </c>
      <c r="I54" s="14"/>
    </row>
    <row r="55" spans="1:9" ht="13">
      <c r="A55" s="2">
        <f>A54+1</f>
        <v>16</v>
      </c>
      <c r="B55" s="2"/>
      <c r="C55" t="s">
        <v>226</v>
      </c>
      <c r="E55" s="7">
        <f>'14-IncentivePlant'!E62</f>
        <v>2555469461.3082299</v>
      </c>
      <c r="F55" s="97">
        <f>F26</f>
        <v>1.25</v>
      </c>
      <c r="G55" s="7">
        <f>(E55/1000000)*(F55*$G$17)</f>
        <v>21068950.859134324</v>
      </c>
      <c r="H55" s="46" t="str">
        <f>"14-IncentivePlant, L "&amp;'14-IncentivePlant'!A62&amp;", Col. 1"</f>
        <v>14-IncentivePlant, L 21, Col. 1</v>
      </c>
      <c r="I55" s="14"/>
    </row>
    <row r="56" spans="1:9" ht="13">
      <c r="A56" s="2">
        <f>A55+1</f>
        <v>17</v>
      </c>
      <c r="B56" s="2"/>
      <c r="C56" s="463" t="s">
        <v>2153</v>
      </c>
      <c r="E56" s="7">
        <f>'14-IncentivePlant'!E63</f>
        <v>639557237.65767205</v>
      </c>
      <c r="F56" s="97">
        <f>F27</f>
        <v>1</v>
      </c>
      <c r="G56" s="7">
        <f>(E56/1000000)*(F56*$G$17)</f>
        <v>4218340.3764613913</v>
      </c>
      <c r="H56" s="46" t="str">
        <f>"14-IncentivePlant, L "&amp;'14-IncentivePlant'!A63&amp;", Col. 1"</f>
        <v>14-IncentivePlant, L 22, Col. 1</v>
      </c>
      <c r="I56" s="14"/>
    </row>
    <row r="57" spans="1:9" ht="13">
      <c r="A57" s="2">
        <f>A56+1</f>
        <v>18</v>
      </c>
      <c r="B57" s="2"/>
      <c r="C57" s="114"/>
      <c r="D57" s="96"/>
      <c r="H57" s="14"/>
      <c r="I57" s="14"/>
    </row>
    <row r="58" spans="1:9" ht="13">
      <c r="A58" s="2">
        <f>A57+1</f>
        <v>19</v>
      </c>
      <c r="B58" s="2"/>
      <c r="C58" s="185" t="s">
        <v>504</v>
      </c>
      <c r="H58" s="14"/>
      <c r="I58" s="14"/>
    </row>
    <row r="59" spans="1:9" ht="13">
      <c r="A59" s="2">
        <f>A58+1</f>
        <v>20</v>
      </c>
      <c r="F59" s="461" t="s">
        <v>1450</v>
      </c>
      <c r="G59" s="7">
        <f>SUM(G54:G57)</f>
        <v>25971819.935195774</v>
      </c>
      <c r="H59" s="462" t="s">
        <v>1650</v>
      </c>
      <c r="I59" s="14"/>
    </row>
    <row r="60" spans="1:9">
      <c r="H60" s="462" t="s">
        <v>1651</v>
      </c>
      <c r="I60" s="63"/>
    </row>
    <row r="61" spans="1:9" ht="13">
      <c r="B61" s="1" t="s">
        <v>1507</v>
      </c>
    </row>
    <row r="63" spans="1:9" ht="13">
      <c r="C63" s="1" t="s">
        <v>1508</v>
      </c>
    </row>
    <row r="65" spans="1:7" ht="13">
      <c r="E65" s="486" t="s">
        <v>10</v>
      </c>
    </row>
    <row r="66" spans="1:7" ht="13">
      <c r="C66" s="486" t="s">
        <v>8</v>
      </c>
      <c r="E66" s="486" t="s">
        <v>298</v>
      </c>
    </row>
    <row r="67" spans="1:7" ht="13">
      <c r="A67" s="51" t="s">
        <v>329</v>
      </c>
      <c r="C67" s="3" t="s">
        <v>224</v>
      </c>
      <c r="E67" s="3" t="s">
        <v>3</v>
      </c>
      <c r="F67" s="3" t="s">
        <v>179</v>
      </c>
    </row>
    <row r="68" spans="1:7" ht="13">
      <c r="A68" s="486">
        <f>A59+1</f>
        <v>21</v>
      </c>
      <c r="C68" t="s">
        <v>225</v>
      </c>
      <c r="E68" s="7">
        <f>'14-IncentivePlant'!G61</f>
        <v>138378365.31053418</v>
      </c>
      <c r="F68" s="462" t="str">
        <f>"14-IncentivePlant, L "&amp;'14-IncentivePlant'!A61&amp;", Col. 3"</f>
        <v>14-IncentivePlant, L 20, Col. 3</v>
      </c>
      <c r="G68" s="14"/>
    </row>
    <row r="69" spans="1:7" ht="13">
      <c r="A69" s="486">
        <f t="shared" ref="A69:A71" si="0">A68+1</f>
        <v>22</v>
      </c>
      <c r="C69" t="s">
        <v>226</v>
      </c>
      <c r="E69" s="7">
        <f>'14-IncentivePlant'!G62</f>
        <v>2555311213.3236146</v>
      </c>
      <c r="F69" s="462" t="str">
        <f>"14-IncentivePlant, L "&amp;'14-IncentivePlant'!A62&amp;", Col. 3"</f>
        <v>14-IncentivePlant, L 21, Col. 3</v>
      </c>
      <c r="G69" s="14"/>
    </row>
    <row r="70" spans="1:7" ht="13">
      <c r="A70" s="486">
        <f t="shared" si="0"/>
        <v>23</v>
      </c>
      <c r="C70" s="463" t="s">
        <v>2153</v>
      </c>
      <c r="E70" s="7">
        <f>'14-IncentivePlant'!G63</f>
        <v>639557237.65767205</v>
      </c>
      <c r="F70" s="462" t="str">
        <f>"14-IncentivePlant, L "&amp;'14-IncentivePlant'!A63&amp;", Col. 3"</f>
        <v>14-IncentivePlant, L 22, Col. 3</v>
      </c>
      <c r="G70" s="14"/>
    </row>
    <row r="71" spans="1:7" ht="13">
      <c r="A71" s="486">
        <f t="shared" si="0"/>
        <v>24</v>
      </c>
      <c r="C71" s="114"/>
      <c r="F71" s="462"/>
      <c r="G71" s="14"/>
    </row>
    <row r="72" spans="1:7">
      <c r="C72" s="487" t="s">
        <v>504</v>
      </c>
      <c r="F72" s="14"/>
      <c r="G72" s="14"/>
    </row>
    <row r="73" spans="1:7">
      <c r="C73" s="487"/>
      <c r="F73" s="14"/>
      <c r="G73" s="14"/>
    </row>
    <row r="74" spans="1:7" ht="13">
      <c r="C74" s="1" t="s">
        <v>1509</v>
      </c>
      <c r="F74" s="14"/>
      <c r="G74" s="14"/>
    </row>
    <row r="75" spans="1:7" ht="13">
      <c r="C75" s="1"/>
      <c r="F75" s="14"/>
      <c r="G75" s="14"/>
    </row>
    <row r="76" spans="1:7" ht="13">
      <c r="E76" s="3" t="s">
        <v>358</v>
      </c>
      <c r="F76" s="122" t="s">
        <v>342</v>
      </c>
      <c r="G76" s="14"/>
    </row>
    <row r="77" spans="1:7" ht="13">
      <c r="E77" s="3"/>
      <c r="F77" s="109" t="s">
        <v>1510</v>
      </c>
      <c r="G77" s="14"/>
    </row>
    <row r="78" spans="1:7" ht="13">
      <c r="E78" s="486" t="s">
        <v>279</v>
      </c>
      <c r="F78" s="109" t="s">
        <v>279</v>
      </c>
      <c r="G78" s="14"/>
    </row>
    <row r="79" spans="1:7" ht="13">
      <c r="C79" s="486" t="s">
        <v>8</v>
      </c>
      <c r="E79" s="486" t="s">
        <v>8</v>
      </c>
      <c r="F79" s="109" t="s">
        <v>8</v>
      </c>
      <c r="G79" s="14"/>
    </row>
    <row r="80" spans="1:7" ht="13">
      <c r="A80" s="51" t="s">
        <v>329</v>
      </c>
      <c r="C80" s="3" t="s">
        <v>224</v>
      </c>
      <c r="E80" s="3" t="s">
        <v>276</v>
      </c>
      <c r="F80" s="122" t="s">
        <v>276</v>
      </c>
      <c r="G80" s="122" t="s">
        <v>179</v>
      </c>
    </row>
    <row r="81" spans="1:8" ht="13">
      <c r="A81" s="486">
        <f>A71+1</f>
        <v>25</v>
      </c>
      <c r="C81" t="s">
        <v>225</v>
      </c>
      <c r="E81" s="7">
        <f>(E68/1000000)*(F54*$G$17)</f>
        <v>684528.69960006035</v>
      </c>
      <c r="F81" s="63">
        <f>E81*(1-$G$16)</f>
        <v>492972.9264187779</v>
      </c>
      <c r="G81" s="462" t="s">
        <v>212</v>
      </c>
    </row>
    <row r="82" spans="1:8" ht="13">
      <c r="A82" s="486">
        <f t="shared" ref="A82:A86" si="1">A81+1</f>
        <v>26</v>
      </c>
      <c r="C82" t="s">
        <v>226</v>
      </c>
      <c r="E82" s="7">
        <f>(E69/1000000)*(F55*$G$17)</f>
        <v>21067646.159914907</v>
      </c>
      <c r="F82" s="63">
        <f>E82*(1-$G$16)</f>
        <v>15172160.329108959</v>
      </c>
      <c r="G82" s="462" t="s">
        <v>212</v>
      </c>
    </row>
    <row r="83" spans="1:8" ht="13">
      <c r="A83" s="486">
        <f t="shared" si="1"/>
        <v>27</v>
      </c>
      <c r="C83" s="463" t="s">
        <v>2153</v>
      </c>
      <c r="E83" s="7">
        <f>(E70/1000000)*(F56*$G$17)</f>
        <v>4218340.3764613913</v>
      </c>
      <c r="F83" s="63">
        <f>E83*(1-$G$16)</f>
        <v>3037896.8788739415</v>
      </c>
      <c r="G83" s="462" t="s">
        <v>212</v>
      </c>
    </row>
    <row r="84" spans="1:8" ht="13">
      <c r="A84" s="486">
        <f t="shared" si="1"/>
        <v>28</v>
      </c>
      <c r="C84" s="114"/>
      <c r="E84" s="7"/>
      <c r="F84" s="63"/>
      <c r="G84" s="462" t="s">
        <v>212</v>
      </c>
    </row>
    <row r="85" spans="1:8" ht="13">
      <c r="A85" s="486">
        <f t="shared" si="1"/>
        <v>29</v>
      </c>
      <c r="C85" s="487" t="s">
        <v>504</v>
      </c>
      <c r="E85" s="7"/>
      <c r="F85" s="63"/>
      <c r="G85" s="14"/>
    </row>
    <row r="86" spans="1:8" ht="13">
      <c r="A86" s="486">
        <f t="shared" si="1"/>
        <v>30</v>
      </c>
      <c r="E86" s="461" t="s">
        <v>4</v>
      </c>
      <c r="F86" s="63">
        <f>SUM(F81:F85)</f>
        <v>18703030.134401679</v>
      </c>
      <c r="G86" s="14"/>
    </row>
    <row r="87" spans="1:8">
      <c r="F87" s="14"/>
      <c r="G87" s="14"/>
    </row>
    <row r="88" spans="1:8" ht="13">
      <c r="C88" s="1" t="s">
        <v>1511</v>
      </c>
      <c r="F88" s="14"/>
      <c r="G88" s="14"/>
    </row>
    <row r="89" spans="1:8" ht="13">
      <c r="A89" s="51" t="s">
        <v>329</v>
      </c>
      <c r="F89" s="122" t="s">
        <v>175</v>
      </c>
      <c r="G89" s="122" t="s">
        <v>179</v>
      </c>
    </row>
    <row r="90" spans="1:8" ht="13">
      <c r="A90" s="486">
        <f>A86+1</f>
        <v>31</v>
      </c>
      <c r="E90" s="461" t="s">
        <v>1512</v>
      </c>
      <c r="F90" s="63">
        <f>'4-TUTRR'!J29</f>
        <v>6728016454.7437429</v>
      </c>
      <c r="G90" s="462" t="str">
        <f>"4-TUTRR, Line "&amp;'4-TUTRR'!A29&amp;""</f>
        <v>4-TUTRR, Line 18</v>
      </c>
      <c r="H90" s="14"/>
    </row>
    <row r="91" spans="1:8" ht="13">
      <c r="A91" s="486">
        <f t="shared" ref="A91:A94" si="2">A90+1</f>
        <v>32</v>
      </c>
      <c r="E91" s="461" t="s">
        <v>1513</v>
      </c>
      <c r="F91" s="110">
        <f>'4-TUTRR'!J24</f>
        <v>792332585.2238462</v>
      </c>
      <c r="G91" s="462" t="str">
        <f>"4-TUTRR, Line "&amp;'4-TUTRR'!A24&amp;""</f>
        <v>4-TUTRR, Line 14</v>
      </c>
      <c r="H91" s="14"/>
    </row>
    <row r="92" spans="1:8" ht="13">
      <c r="A92" s="486">
        <f t="shared" si="2"/>
        <v>33</v>
      </c>
      <c r="E92" s="461" t="s">
        <v>1514</v>
      </c>
      <c r="F92" s="63">
        <f>F90-F91</f>
        <v>5935683869.5198965</v>
      </c>
      <c r="G92" s="112" t="str">
        <f>"Line "&amp;A90&amp;" - Line "&amp;A91&amp;""</f>
        <v>Line 31 - Line 32</v>
      </c>
      <c r="H92" s="14"/>
    </row>
    <row r="93" spans="1:8" ht="13">
      <c r="A93" s="486">
        <f t="shared" si="2"/>
        <v>34</v>
      </c>
      <c r="E93" s="461" t="s">
        <v>1515</v>
      </c>
      <c r="F93" s="67">
        <f>'1-BaseTRR'!K82</f>
        <v>0.47499999999999998</v>
      </c>
      <c r="G93" s="462" t="str">
        <f>"1-BaseTRR, Line "&amp;'1-BaseTRR'!A82&amp;""</f>
        <v>1-BaseTRR, Line 47</v>
      </c>
      <c r="H93" s="14"/>
    </row>
    <row r="94" spans="1:8" ht="13">
      <c r="A94" s="486">
        <f t="shared" si="2"/>
        <v>35</v>
      </c>
      <c r="E94" s="461" t="s">
        <v>1516</v>
      </c>
      <c r="F94" s="7">
        <f>F92*F93</f>
        <v>2819449838.0219507</v>
      </c>
      <c r="G94" s="112" t="str">
        <f>"Line "&amp;A92&amp;" * Line "&amp;A93&amp;""</f>
        <v>Line 33 * Line 34</v>
      </c>
      <c r="H94" s="14"/>
    </row>
    <row r="96" spans="1:8" ht="13">
      <c r="C96" s="1" t="s">
        <v>1517</v>
      </c>
    </row>
    <row r="97" spans="1:9" ht="13">
      <c r="A97" s="51" t="s">
        <v>329</v>
      </c>
    </row>
    <row r="98" spans="1:9" ht="13">
      <c r="A98" s="486">
        <f>A94+1</f>
        <v>36</v>
      </c>
      <c r="E98" s="461" t="s">
        <v>1518</v>
      </c>
      <c r="F98" s="42">
        <f>F86/F94</f>
        <v>6.6335743527621031E-3</v>
      </c>
      <c r="G98" s="112" t="str">
        <f>"Line "&amp;A86&amp;" / Line "&amp;A94&amp;""</f>
        <v>Line 30 / Line 35</v>
      </c>
      <c r="H98" s="14"/>
    </row>
    <row r="99" spans="1:9" ht="13">
      <c r="A99" s="486">
        <f t="shared" ref="A99:A101" si="3">A98+1</f>
        <v>37</v>
      </c>
      <c r="E99" s="461" t="s">
        <v>1519</v>
      </c>
      <c r="G99" s="14"/>
      <c r="H99" s="14"/>
    </row>
    <row r="100" spans="1:9" ht="13">
      <c r="A100" s="486">
        <f t="shared" si="3"/>
        <v>38</v>
      </c>
      <c r="E100" s="461" t="s">
        <v>1520</v>
      </c>
      <c r="F100" s="488">
        <f>'1-BaseTRR'!K87</f>
        <v>0.10299999999999999</v>
      </c>
      <c r="G100" s="462" t="str">
        <f>"1-BaseTRR, Line "&amp;'1-BaseTRR'!A87&amp;""</f>
        <v>1-BaseTRR, Line 50</v>
      </c>
      <c r="H100" s="14"/>
      <c r="I100" s="14"/>
    </row>
    <row r="101" spans="1:9" ht="13">
      <c r="A101" s="486">
        <f t="shared" si="3"/>
        <v>39</v>
      </c>
      <c r="E101" s="461" t="s">
        <v>1521</v>
      </c>
      <c r="F101" s="42">
        <f>F98+F100</f>
        <v>0.10963357435276209</v>
      </c>
      <c r="G101" s="112" t="str">
        <f>"Line "&amp;A98&amp;" + Line "&amp;A100&amp;""</f>
        <v>Line 36 + Line 38</v>
      </c>
      <c r="H101" s="14"/>
      <c r="I101" s="14"/>
    </row>
    <row r="102" spans="1:9">
      <c r="G102" s="14"/>
      <c r="H102" s="14"/>
      <c r="I102" s="14"/>
    </row>
    <row r="103" spans="1:9" ht="13">
      <c r="B103" s="1" t="s">
        <v>377</v>
      </c>
    </row>
    <row r="104" spans="1:9">
      <c r="B104" s="463" t="s">
        <v>526</v>
      </c>
    </row>
    <row r="105" spans="1:9">
      <c r="B105" s="463" t="s">
        <v>527</v>
      </c>
    </row>
    <row r="107" spans="1:9" ht="13">
      <c r="B107" s="1" t="s">
        <v>230</v>
      </c>
    </row>
    <row r="108" spans="1:9">
      <c r="B108" s="465" t="str">
        <f>"1) Column 1: The True Up Incentive Adder for each Incentive Project equals the IREF on Line "&amp;A17&amp;","</f>
        <v>1) Column 1: The True Up Incentive Adder for each Incentive Project equals the IREF on Line 3,</v>
      </c>
    </row>
    <row r="109" spans="1:9">
      <c r="B109" s="465" t="str">
        <f>"times the applicable Multiplicative Factor on Lines "&amp;A54&amp;" to "&amp;A57&amp;", times the million $ of"</f>
        <v>times the applicable Multiplicative Factor on Lines 15 to 18, times the million $ of</v>
      </c>
    </row>
    <row r="110" spans="1:9">
      <c r="B110" s="465" t="str">
        <f>"TIP Net Plant In Service on Lines "&amp;A68&amp;" to "&amp;A71&amp;"."</f>
        <v>TIP Net Plant In Service on Lines 21 to 24.</v>
      </c>
    </row>
    <row r="111" spans="1:9">
      <c r="B111" s="465" t="s">
        <v>1522</v>
      </c>
    </row>
    <row r="112" spans="1:9">
      <c r="B112" s="465"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&amp;RTO2022 Draft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Normal="100" zoomScalePageLayoutView="60" workbookViewId="0"/>
  </sheetViews>
  <sheetFormatPr defaultColWidth="9.453125" defaultRowHeight="12.5"/>
  <cols>
    <col min="1" max="1" width="4.54296875" style="616" customWidth="1"/>
    <col min="2" max="2" width="6" style="616" customWidth="1"/>
    <col min="3" max="3" width="15.54296875" style="616" customWidth="1"/>
    <col min="4" max="4" width="9.453125" style="616" customWidth="1"/>
    <col min="5" max="6" width="14.54296875" style="616" customWidth="1"/>
    <col min="7" max="7" width="16" style="616" bestFit="1" customWidth="1"/>
    <col min="8" max="8" width="18.453125" style="616" customWidth="1"/>
    <col min="9" max="10" width="15.54296875" style="616" customWidth="1"/>
    <col min="11" max="11" width="16.54296875" style="616" customWidth="1"/>
    <col min="12" max="13" width="15.54296875" style="616" customWidth="1"/>
    <col min="14" max="14" width="17" style="616" customWidth="1"/>
    <col min="15" max="16" width="15.54296875" style="616" customWidth="1"/>
    <col min="17" max="17" width="2.54296875" style="616" customWidth="1"/>
    <col min="18" max="21" width="18.54296875" style="616" customWidth="1"/>
    <col min="22" max="22" width="15.54296875" style="616" customWidth="1"/>
    <col min="23" max="23" width="20.54296875" style="616" bestFit="1" customWidth="1"/>
    <col min="24" max="40" width="15.54296875" style="616" customWidth="1"/>
    <col min="41" max="16384" width="9.453125" style="616"/>
  </cols>
  <sheetData>
    <row r="1" spans="1:40" ht="13">
      <c r="A1" s="580" t="s">
        <v>1421</v>
      </c>
    </row>
    <row r="2" spans="1:40">
      <c r="F2" s="617" t="s">
        <v>348</v>
      </c>
      <c r="G2" s="617"/>
    </row>
    <row r="3" spans="1:40">
      <c r="B3" s="581" t="s">
        <v>1422</v>
      </c>
    </row>
    <row r="4" spans="1:40">
      <c r="B4" s="581" t="s">
        <v>1941</v>
      </c>
    </row>
    <row r="5" spans="1:40">
      <c r="B5" s="581" t="s">
        <v>1942</v>
      </c>
    </row>
    <row r="6" spans="1:40">
      <c r="B6" s="581"/>
    </row>
    <row r="7" spans="1:40" ht="13">
      <c r="B7" s="580" t="s">
        <v>1943</v>
      </c>
      <c r="H7" s="581"/>
      <c r="I7" s="581"/>
    </row>
    <row r="8" spans="1:40" ht="13">
      <c r="B8" s="581"/>
      <c r="E8" s="618" t="s">
        <v>358</v>
      </c>
      <c r="F8" s="618" t="s">
        <v>342</v>
      </c>
      <c r="G8" s="618" t="s">
        <v>343</v>
      </c>
      <c r="H8" s="618" t="s">
        <v>344</v>
      </c>
      <c r="I8" s="618" t="s">
        <v>345</v>
      </c>
      <c r="J8" s="618" t="s">
        <v>346</v>
      </c>
      <c r="K8" s="618" t="s">
        <v>347</v>
      </c>
      <c r="L8" s="618" t="s">
        <v>534</v>
      </c>
      <c r="M8" s="618" t="s">
        <v>949</v>
      </c>
      <c r="N8" s="618" t="s">
        <v>961</v>
      </c>
      <c r="O8" s="618" t="s">
        <v>964</v>
      </c>
      <c r="P8" s="618" t="s">
        <v>982</v>
      </c>
      <c r="T8" s="618"/>
      <c r="U8" s="618"/>
      <c r="X8" s="619"/>
      <c r="Y8" s="619"/>
      <c r="Z8" s="619"/>
      <c r="AA8" s="619"/>
      <c r="AB8" s="619"/>
      <c r="AC8" s="619"/>
      <c r="AD8" s="619"/>
      <c r="AE8" s="619"/>
      <c r="AF8" s="619"/>
      <c r="AG8" s="619"/>
      <c r="AH8" s="619"/>
      <c r="AI8" s="619"/>
      <c r="AJ8" s="619"/>
      <c r="AK8" s="619"/>
      <c r="AL8" s="619"/>
      <c r="AM8" s="619"/>
      <c r="AN8" s="619"/>
    </row>
    <row r="9" spans="1:40">
      <c r="B9" s="581"/>
      <c r="E9" s="1133" t="s">
        <v>211</v>
      </c>
      <c r="F9" s="1133" t="s">
        <v>211</v>
      </c>
      <c r="G9" s="1133" t="s">
        <v>211</v>
      </c>
      <c r="H9" s="1133" t="s">
        <v>211</v>
      </c>
      <c r="I9" s="1133" t="s">
        <v>211</v>
      </c>
      <c r="J9" s="1133" t="s">
        <v>211</v>
      </c>
      <c r="K9" s="1133" t="s">
        <v>211</v>
      </c>
      <c r="L9" s="1133" t="s">
        <v>211</v>
      </c>
      <c r="M9" s="1133" t="s">
        <v>211</v>
      </c>
      <c r="N9" s="1133" t="s">
        <v>211</v>
      </c>
      <c r="O9" s="1133" t="s">
        <v>211</v>
      </c>
      <c r="P9" s="1133" t="s">
        <v>211</v>
      </c>
      <c r="Q9" s="621"/>
    </row>
    <row r="10" spans="1:40" ht="13">
      <c r="C10" s="622" t="s">
        <v>198</v>
      </c>
      <c r="E10" s="622" t="s">
        <v>1914</v>
      </c>
      <c r="F10" s="622"/>
      <c r="G10" s="622"/>
      <c r="H10" s="623"/>
      <c r="I10" s="623" t="s">
        <v>1899</v>
      </c>
      <c r="J10" s="623"/>
      <c r="K10" s="623"/>
      <c r="L10" s="623"/>
      <c r="M10" s="623"/>
      <c r="O10" s="622" t="s">
        <v>1914</v>
      </c>
      <c r="P10" s="622" t="s">
        <v>1944</v>
      </c>
      <c r="T10" s="623"/>
      <c r="U10" s="623"/>
      <c r="X10" s="623"/>
      <c r="Y10" s="623"/>
      <c r="Z10" s="623"/>
      <c r="AA10" s="623"/>
      <c r="AB10" s="623"/>
      <c r="AC10" s="623"/>
      <c r="AD10" s="623"/>
      <c r="AE10" s="623"/>
      <c r="AF10" s="623"/>
      <c r="AG10" s="623"/>
      <c r="AH10" s="623"/>
      <c r="AI10" s="623"/>
      <c r="AJ10" s="623"/>
      <c r="AK10" s="623"/>
      <c r="AL10" s="623"/>
      <c r="AM10" s="623"/>
      <c r="AN10" s="623"/>
    </row>
    <row r="11" spans="1:40" ht="13">
      <c r="B11" s="580"/>
      <c r="C11" s="622" t="s">
        <v>199</v>
      </c>
      <c r="E11" s="622" t="s">
        <v>196</v>
      </c>
      <c r="F11" s="622" t="s">
        <v>1916</v>
      </c>
      <c r="G11" s="623" t="s">
        <v>1917</v>
      </c>
      <c r="H11" s="623" t="s">
        <v>1900</v>
      </c>
      <c r="I11" s="623" t="s">
        <v>1945</v>
      </c>
      <c r="J11" s="623"/>
      <c r="K11" s="623" t="s">
        <v>296</v>
      </c>
      <c r="L11" s="623" t="s">
        <v>1080</v>
      </c>
      <c r="M11" s="623" t="s">
        <v>296</v>
      </c>
      <c r="O11" s="623" t="s">
        <v>1602</v>
      </c>
      <c r="P11" s="623" t="s">
        <v>1602</v>
      </c>
      <c r="T11" s="623"/>
      <c r="U11" s="623"/>
      <c r="X11" s="623"/>
      <c r="Y11" s="623"/>
      <c r="Z11" s="623"/>
      <c r="AA11" s="623"/>
      <c r="AB11" s="623"/>
      <c r="AC11" s="623"/>
      <c r="AD11" s="623"/>
      <c r="AE11" s="623"/>
      <c r="AF11" s="623"/>
      <c r="AG11" s="623"/>
      <c r="AH11" s="623"/>
      <c r="AI11" s="623"/>
      <c r="AJ11" s="623"/>
      <c r="AK11" s="623"/>
      <c r="AL11" s="623"/>
      <c r="AM11" s="623"/>
      <c r="AN11" s="623"/>
    </row>
    <row r="12" spans="1:40" ht="13">
      <c r="A12" s="624" t="s">
        <v>329</v>
      </c>
      <c r="C12" s="607" t="s">
        <v>192</v>
      </c>
      <c r="D12" s="607" t="s">
        <v>193</v>
      </c>
      <c r="E12" s="619" t="s">
        <v>1920</v>
      </c>
      <c r="F12" s="619" t="s">
        <v>1921</v>
      </c>
      <c r="G12" s="625" t="s">
        <v>1922</v>
      </c>
      <c r="H12" s="625" t="s">
        <v>1014</v>
      </c>
      <c r="I12" s="625" t="s">
        <v>1000</v>
      </c>
      <c r="J12" s="625" t="s">
        <v>1899</v>
      </c>
      <c r="K12" s="625" t="s">
        <v>457</v>
      </c>
      <c r="L12" s="625" t="s">
        <v>1905</v>
      </c>
      <c r="M12" s="625" t="s">
        <v>1312</v>
      </c>
      <c r="N12" s="625" t="s">
        <v>992</v>
      </c>
      <c r="O12" s="625" t="s">
        <v>1000</v>
      </c>
      <c r="P12" s="625" t="s">
        <v>1000</v>
      </c>
      <c r="T12" s="625"/>
      <c r="U12" s="625"/>
      <c r="V12" s="625"/>
      <c r="W12" s="625"/>
      <c r="X12" s="625"/>
      <c r="Y12" s="625"/>
      <c r="Z12" s="625"/>
      <c r="AA12" s="625"/>
      <c r="AB12" s="625"/>
      <c r="AC12" s="625"/>
      <c r="AD12" s="625"/>
      <c r="AE12" s="625"/>
      <c r="AF12" s="625"/>
      <c r="AG12" s="625"/>
      <c r="AH12" s="625"/>
      <c r="AI12" s="625"/>
      <c r="AJ12" s="625"/>
      <c r="AK12" s="625"/>
      <c r="AL12" s="625"/>
      <c r="AM12" s="625"/>
      <c r="AN12" s="625"/>
    </row>
    <row r="13" spans="1:40" ht="13">
      <c r="A13" s="622">
        <v>1</v>
      </c>
      <c r="C13" s="616" t="str">
        <f>C45</f>
        <v>January</v>
      </c>
      <c r="D13" s="837">
        <v>2021</v>
      </c>
      <c r="E13" s="578">
        <f t="shared" ref="E13:P13" si="0">E45+E76</f>
        <v>33776904.875263691</v>
      </c>
      <c r="F13" s="578">
        <f t="shared" si="0"/>
        <v>15363596.073333334</v>
      </c>
      <c r="G13" s="578">
        <f t="shared" si="0"/>
        <v>1380998.1601447766</v>
      </c>
      <c r="H13" s="578">
        <f t="shared" si="0"/>
        <v>1572636.0768712107</v>
      </c>
      <c r="I13" s="578">
        <f t="shared" si="0"/>
        <v>18085314.88401892</v>
      </c>
      <c r="J13" s="578">
        <f t="shared" si="0"/>
        <v>542559.44652056764</v>
      </c>
      <c r="K13" s="578">
        <f t="shared" si="0"/>
        <v>34127826.405057818</v>
      </c>
      <c r="L13" s="578">
        <f t="shared" si="0"/>
        <v>0</v>
      </c>
      <c r="M13" s="578">
        <f>M45+M76</f>
        <v>0</v>
      </c>
      <c r="N13" s="578">
        <f t="shared" ref="N13:N36" si="1">N45+N76</f>
        <v>34127826.405057818</v>
      </c>
      <c r="O13" s="578">
        <f t="shared" si="0"/>
        <v>151333.95569035513</v>
      </c>
      <c r="P13" s="578">
        <f t="shared" si="0"/>
        <v>153846.09935481503</v>
      </c>
      <c r="T13" s="626"/>
      <c r="U13" s="626"/>
      <c r="V13" s="627"/>
      <c r="W13" s="626"/>
      <c r="X13" s="628"/>
      <c r="Y13" s="475"/>
      <c r="Z13" s="626"/>
      <c r="AA13" s="626"/>
      <c r="AB13" s="626"/>
      <c r="AC13" s="626"/>
      <c r="AD13" s="626"/>
      <c r="AE13" s="626"/>
      <c r="AF13" s="626"/>
      <c r="AG13" s="626"/>
      <c r="AH13" s="626"/>
      <c r="AI13" s="626"/>
      <c r="AJ13" s="626"/>
      <c r="AK13" s="626"/>
      <c r="AL13" s="626"/>
      <c r="AM13" s="626"/>
      <c r="AN13" s="626"/>
    </row>
    <row r="14" spans="1:40" ht="13">
      <c r="A14" s="622">
        <f>A13+1</f>
        <v>2</v>
      </c>
      <c r="C14" s="616" t="str">
        <f t="shared" ref="C14:C29" si="2">C46</f>
        <v>February</v>
      </c>
      <c r="D14" s="837">
        <v>2021</v>
      </c>
      <c r="E14" s="578">
        <f t="shared" ref="E14" si="3">E46+E77</f>
        <v>18607575.711863689</v>
      </c>
      <c r="F14" s="578">
        <f t="shared" ref="F14:P14" si="4">F46+F77</f>
        <v>959336.86333333387</v>
      </c>
      <c r="G14" s="578">
        <f t="shared" si="4"/>
        <v>1323617.9136397766</v>
      </c>
      <c r="H14" s="578">
        <f t="shared" si="4"/>
        <v>1550439.7348712108</v>
      </c>
      <c r="I14" s="578">
        <f t="shared" si="4"/>
        <v>17830056.951018922</v>
      </c>
      <c r="J14" s="578">
        <f t="shared" si="4"/>
        <v>534901.70853056759</v>
      </c>
      <c r="K14" s="578">
        <f t="shared" si="4"/>
        <v>53043482.00422065</v>
      </c>
      <c r="L14" s="578">
        <f t="shared" si="4"/>
        <v>72445.261769311925</v>
      </c>
      <c r="M14" s="578">
        <f t="shared" si="4"/>
        <v>72445.261769311925</v>
      </c>
      <c r="N14" s="578">
        <f t="shared" si="1"/>
        <v>52971036.742451333</v>
      </c>
      <c r="O14" s="578">
        <f t="shared" si="4"/>
        <v>302667.91138071025</v>
      </c>
      <c r="P14" s="578">
        <f t="shared" si="4"/>
        <v>307692.19870963006</v>
      </c>
      <c r="T14" s="626"/>
      <c r="U14" s="626"/>
      <c r="V14" s="627"/>
      <c r="W14" s="626"/>
      <c r="X14" s="628"/>
      <c r="Y14" s="475"/>
      <c r="Z14" s="626"/>
      <c r="AA14" s="626"/>
      <c r="AB14" s="626"/>
      <c r="AC14" s="626"/>
      <c r="AD14" s="626"/>
      <c r="AE14" s="626"/>
      <c r="AF14" s="626"/>
      <c r="AG14" s="626"/>
      <c r="AH14" s="626"/>
      <c r="AI14" s="626"/>
      <c r="AJ14" s="626"/>
      <c r="AK14" s="626"/>
      <c r="AL14" s="626"/>
      <c r="AM14" s="626"/>
      <c r="AN14" s="626"/>
    </row>
    <row r="15" spans="1:40" ht="13">
      <c r="A15" s="622">
        <f t="shared" ref="A15:A37" si="5">A14+1</f>
        <v>3</v>
      </c>
      <c r="C15" s="616" t="str">
        <f t="shared" si="2"/>
        <v>March</v>
      </c>
      <c r="D15" s="837">
        <v>2021</v>
      </c>
      <c r="E15" s="578">
        <f t="shared" ref="E15" si="6">E47+E78</f>
        <v>19161688.262863692</v>
      </c>
      <c r="F15" s="578">
        <f t="shared" ref="F15:P15" si="7">F47+F78</f>
        <v>959336.86333333387</v>
      </c>
      <c r="G15" s="578">
        <f t="shared" si="7"/>
        <v>1365176.3549647767</v>
      </c>
      <c r="H15" s="578">
        <f t="shared" si="7"/>
        <v>1550439.7348712108</v>
      </c>
      <c r="I15" s="578">
        <f t="shared" si="7"/>
        <v>17830056.951018922</v>
      </c>
      <c r="J15" s="578">
        <f t="shared" si="7"/>
        <v>534901.70853056759</v>
      </c>
      <c r="K15" s="578">
        <f t="shared" si="7"/>
        <v>72554808.595708475</v>
      </c>
      <c r="L15" s="578">
        <f t="shared" si="7"/>
        <v>112598.70152123275</v>
      </c>
      <c r="M15" s="578">
        <f t="shared" si="7"/>
        <v>185043.96329054469</v>
      </c>
      <c r="N15" s="578">
        <f t="shared" si="1"/>
        <v>72369764.632417932</v>
      </c>
      <c r="O15" s="578">
        <f t="shared" si="7"/>
        <v>454001.86707106541</v>
      </c>
      <c r="P15" s="578">
        <f t="shared" si="7"/>
        <v>461538.29806444509</v>
      </c>
      <c r="T15" s="626"/>
      <c r="U15" s="626"/>
      <c r="V15" s="627"/>
      <c r="W15" s="626"/>
      <c r="X15" s="628"/>
      <c r="Y15" s="475"/>
      <c r="Z15" s="626"/>
      <c r="AA15" s="626"/>
      <c r="AB15" s="626"/>
      <c r="AC15" s="626"/>
      <c r="AD15" s="626"/>
      <c r="AE15" s="626"/>
      <c r="AF15" s="626"/>
      <c r="AG15" s="626"/>
      <c r="AH15" s="626"/>
      <c r="AI15" s="626"/>
      <c r="AJ15" s="626"/>
      <c r="AK15" s="626"/>
      <c r="AL15" s="626"/>
      <c r="AM15" s="626"/>
      <c r="AN15" s="626"/>
    </row>
    <row r="16" spans="1:40" ht="13">
      <c r="A16" s="622">
        <f t="shared" si="5"/>
        <v>4</v>
      </c>
      <c r="C16" s="616" t="str">
        <f t="shared" si="2"/>
        <v>April</v>
      </c>
      <c r="D16" s="837">
        <v>2021</v>
      </c>
      <c r="E16" s="578">
        <f t="shared" ref="E16" si="8">E48+E79</f>
        <v>58407689.296583056</v>
      </c>
      <c r="F16" s="578">
        <f t="shared" ref="F16:P16" si="9">F48+F79</f>
        <v>34816861.69333332</v>
      </c>
      <c r="G16" s="578">
        <f t="shared" si="9"/>
        <v>1769312.0702437304</v>
      </c>
      <c r="H16" s="578">
        <f t="shared" si="9"/>
        <v>1784539.6118794773</v>
      </c>
      <c r="I16" s="578">
        <f t="shared" si="9"/>
        <v>20522205.536613986</v>
      </c>
      <c r="J16" s="578">
        <f t="shared" si="9"/>
        <v>615666.16609841958</v>
      </c>
      <c r="K16" s="578">
        <f t="shared" si="9"/>
        <v>131562936.5167542</v>
      </c>
      <c r="L16" s="578">
        <f t="shared" si="9"/>
        <v>154016.60917260865</v>
      </c>
      <c r="M16" s="578">
        <f t="shared" si="9"/>
        <v>339060.57246315334</v>
      </c>
      <c r="N16" s="578">
        <f t="shared" si="1"/>
        <v>131223875.94429106</v>
      </c>
      <c r="O16" s="578">
        <f t="shared" si="9"/>
        <v>605335.82276142051</v>
      </c>
      <c r="P16" s="578">
        <f t="shared" si="9"/>
        <v>615384.39741926012</v>
      </c>
      <c r="T16" s="626"/>
      <c r="U16" s="626"/>
      <c r="V16" s="627"/>
      <c r="W16" s="626"/>
      <c r="X16" s="628"/>
      <c r="Y16" s="475"/>
      <c r="Z16" s="626"/>
      <c r="AA16" s="626"/>
      <c r="AB16" s="626"/>
      <c r="AC16" s="626"/>
      <c r="AD16" s="626"/>
      <c r="AE16" s="626"/>
      <c r="AF16" s="626"/>
      <c r="AG16" s="626"/>
      <c r="AH16" s="626"/>
      <c r="AI16" s="626"/>
      <c r="AJ16" s="626"/>
      <c r="AK16" s="626"/>
      <c r="AL16" s="626"/>
      <c r="AM16" s="626"/>
      <c r="AN16" s="626"/>
    </row>
    <row r="17" spans="1:40" ht="13">
      <c r="A17" s="622">
        <f t="shared" si="5"/>
        <v>5</v>
      </c>
      <c r="C17" s="616" t="str">
        <f t="shared" si="2"/>
        <v>May</v>
      </c>
      <c r="D17" s="837">
        <v>2021</v>
      </c>
      <c r="E17" s="578">
        <f t="shared" ref="E17" si="10">E49+E80</f>
        <v>676237110.02816343</v>
      </c>
      <c r="F17" s="578">
        <f t="shared" ref="F17:P17" si="11">F49+F80</f>
        <v>632399579.33803308</v>
      </c>
      <c r="G17" s="578">
        <f t="shared" si="11"/>
        <v>3287814.8017597767</v>
      </c>
      <c r="H17" s="578">
        <f t="shared" si="11"/>
        <v>1602868.5753512112</v>
      </c>
      <c r="I17" s="578">
        <f t="shared" si="11"/>
        <v>18432988.616538927</v>
      </c>
      <c r="J17" s="578">
        <f t="shared" si="11"/>
        <v>552989.65849616774</v>
      </c>
      <c r="K17" s="578">
        <f t="shared" si="11"/>
        <v>810037982.42982233</v>
      </c>
      <c r="L17" s="578">
        <f t="shared" si="11"/>
        <v>279276.83591601637</v>
      </c>
      <c r="M17" s="578">
        <f t="shared" si="11"/>
        <v>618337.40837916965</v>
      </c>
      <c r="N17" s="578">
        <f t="shared" si="1"/>
        <v>809419645.02144313</v>
      </c>
      <c r="O17" s="578">
        <f t="shared" si="11"/>
        <v>756669.77845177578</v>
      </c>
      <c r="P17" s="578">
        <f t="shared" si="11"/>
        <v>769230.4967740752</v>
      </c>
      <c r="T17" s="626"/>
      <c r="U17" s="626"/>
      <c r="V17" s="627"/>
      <c r="W17" s="626"/>
      <c r="X17" s="628"/>
      <c r="Y17" s="475"/>
      <c r="Z17" s="626"/>
      <c r="AA17" s="626"/>
      <c r="AB17" s="626"/>
      <c r="AC17" s="626"/>
      <c r="AD17" s="626"/>
      <c r="AE17" s="626"/>
      <c r="AF17" s="626"/>
      <c r="AG17" s="626"/>
      <c r="AH17" s="626"/>
      <c r="AI17" s="626"/>
      <c r="AJ17" s="626"/>
      <c r="AK17" s="626"/>
      <c r="AL17" s="626"/>
      <c r="AM17" s="626"/>
      <c r="AN17" s="626"/>
    </row>
    <row r="18" spans="1:40" ht="13">
      <c r="A18" s="622">
        <f t="shared" si="5"/>
        <v>6</v>
      </c>
      <c r="C18" s="616" t="str">
        <f t="shared" si="2"/>
        <v xml:space="preserve">June </v>
      </c>
      <c r="D18" s="837">
        <v>2021</v>
      </c>
      <c r="E18" s="578">
        <f t="shared" ref="E18" si="12">E50+E81</f>
        <v>38013669.383463711</v>
      </c>
      <c r="F18" s="578">
        <f t="shared" ref="F18:P18" si="13">F50+F81</f>
        <v>11297975.373333339</v>
      </c>
      <c r="G18" s="578">
        <f t="shared" si="13"/>
        <v>2003677.0507597781</v>
      </c>
      <c r="H18" s="578">
        <f t="shared" si="13"/>
        <v>1732640.6248712123</v>
      </c>
      <c r="I18" s="578">
        <f t="shared" si="13"/>
        <v>19925367.18601894</v>
      </c>
      <c r="J18" s="578">
        <f t="shared" si="13"/>
        <v>597761.01558056823</v>
      </c>
      <c r="K18" s="578">
        <f t="shared" si="13"/>
        <v>848920449.25475526</v>
      </c>
      <c r="L18" s="578">
        <f t="shared" si="13"/>
        <v>1719518.0549651636</v>
      </c>
      <c r="M18" s="578">
        <f t="shared" si="13"/>
        <v>2337855.4633443332</v>
      </c>
      <c r="N18" s="578">
        <f t="shared" si="1"/>
        <v>846582593.7914108</v>
      </c>
      <c r="O18" s="578">
        <f t="shared" si="13"/>
        <v>908003.73414213094</v>
      </c>
      <c r="P18" s="578">
        <f t="shared" si="13"/>
        <v>923076.59612889029</v>
      </c>
      <c r="T18" s="626"/>
      <c r="U18" s="626"/>
      <c r="V18" s="627"/>
      <c r="W18" s="626"/>
      <c r="X18" s="628"/>
      <c r="Y18" s="475"/>
      <c r="Z18" s="626"/>
      <c r="AA18" s="626"/>
      <c r="AB18" s="626"/>
      <c r="AC18" s="626"/>
      <c r="AD18" s="626"/>
      <c r="AE18" s="626"/>
      <c r="AF18" s="626"/>
      <c r="AG18" s="626"/>
      <c r="AH18" s="626"/>
      <c r="AI18" s="626"/>
      <c r="AJ18" s="626"/>
      <c r="AK18" s="626"/>
      <c r="AL18" s="626"/>
      <c r="AM18" s="626"/>
      <c r="AN18" s="626"/>
    </row>
    <row r="19" spans="1:40" ht="13">
      <c r="A19" s="622">
        <f t="shared" si="5"/>
        <v>7</v>
      </c>
      <c r="C19" s="616" t="str">
        <f t="shared" si="2"/>
        <v>July</v>
      </c>
      <c r="D19" s="837">
        <v>2021</v>
      </c>
      <c r="E19" s="578">
        <f t="shared" ref="E19" si="14">E51+E82</f>
        <v>29000161.426663667</v>
      </c>
      <c r="F19" s="578">
        <f t="shared" ref="F19:P19" si="15">F51+F82</f>
        <v>7547156.6365333339</v>
      </c>
      <c r="G19" s="578">
        <f t="shared" si="15"/>
        <v>1608975.3592597747</v>
      </c>
      <c r="H19" s="578">
        <f t="shared" si="15"/>
        <v>1568837.1799512086</v>
      </c>
      <c r="I19" s="578">
        <f t="shared" si="15"/>
        <v>18041627.569438897</v>
      </c>
      <c r="J19" s="578">
        <f t="shared" si="15"/>
        <v>541248.82708316692</v>
      </c>
      <c r="K19" s="578">
        <f t="shared" si="15"/>
        <v>878501997.68781054</v>
      </c>
      <c r="L19" s="578">
        <f t="shared" si="15"/>
        <v>1802056.2879582671</v>
      </c>
      <c r="M19" s="578">
        <f t="shared" si="15"/>
        <v>4139911.7513025999</v>
      </c>
      <c r="N19" s="578">
        <f t="shared" si="1"/>
        <v>874362085.93650794</v>
      </c>
      <c r="O19" s="578">
        <f t="shared" si="15"/>
        <v>1141443.783032486</v>
      </c>
      <c r="P19" s="578">
        <f t="shared" si="15"/>
        <v>1160391.7498308253</v>
      </c>
      <c r="T19" s="626"/>
      <c r="U19" s="626"/>
      <c r="V19" s="627"/>
      <c r="W19" s="626"/>
      <c r="X19" s="628"/>
      <c r="Y19" s="475"/>
      <c r="Z19" s="626"/>
      <c r="AA19" s="626"/>
      <c r="AB19" s="626"/>
      <c r="AC19" s="626"/>
      <c r="AD19" s="626"/>
      <c r="AE19" s="626"/>
      <c r="AF19" s="626"/>
      <c r="AG19" s="626"/>
      <c r="AH19" s="626"/>
      <c r="AI19" s="626"/>
      <c r="AJ19" s="626"/>
      <c r="AK19" s="626"/>
      <c r="AL19" s="626"/>
      <c r="AM19" s="626"/>
      <c r="AN19" s="626"/>
    </row>
    <row r="20" spans="1:40" ht="13">
      <c r="A20" s="622">
        <f t="shared" si="5"/>
        <v>8</v>
      </c>
      <c r="C20" s="616" t="str">
        <f t="shared" si="2"/>
        <v>August</v>
      </c>
      <c r="D20" s="837">
        <v>2021</v>
      </c>
      <c r="E20" s="578">
        <f t="shared" ref="E20" si="16">E52+E83</f>
        <v>23482902.733463675</v>
      </c>
      <c r="F20" s="578">
        <f t="shared" ref="F20:P20" si="17">F52+F83</f>
        <v>964353.72333333385</v>
      </c>
      <c r="G20" s="578">
        <f t="shared" si="17"/>
        <v>1688891.1757597756</v>
      </c>
      <c r="H20" s="578">
        <f t="shared" si="17"/>
        <v>1722439.7348712094</v>
      </c>
      <c r="I20" s="578">
        <f t="shared" si="17"/>
        <v>19808056.951018907</v>
      </c>
      <c r="J20" s="578">
        <f t="shared" si="17"/>
        <v>594241.70853056724</v>
      </c>
      <c r="K20" s="578">
        <f t="shared" si="17"/>
        <v>902545593.57069337</v>
      </c>
      <c r="L20" s="578">
        <f t="shared" si="17"/>
        <v>1864850.882443683</v>
      </c>
      <c r="M20" s="578">
        <f t="shared" si="17"/>
        <v>6004762.6337462831</v>
      </c>
      <c r="N20" s="578">
        <f t="shared" si="1"/>
        <v>896540830.93694711</v>
      </c>
      <c r="O20" s="578">
        <f t="shared" si="17"/>
        <v>1292777.7387228413</v>
      </c>
      <c r="P20" s="578">
        <f t="shared" si="17"/>
        <v>1314237.8491856405</v>
      </c>
      <c r="T20" s="626"/>
      <c r="U20" s="626"/>
      <c r="V20" s="627"/>
      <c r="W20" s="626"/>
      <c r="X20" s="628"/>
      <c r="Y20" s="475"/>
      <c r="Z20" s="626"/>
      <c r="AA20" s="626"/>
      <c r="AB20" s="626"/>
      <c r="AC20" s="626"/>
      <c r="AD20" s="626"/>
      <c r="AE20" s="626"/>
      <c r="AF20" s="626"/>
      <c r="AG20" s="626"/>
      <c r="AH20" s="626"/>
      <c r="AI20" s="626"/>
      <c r="AJ20" s="626"/>
      <c r="AK20" s="626"/>
      <c r="AL20" s="626"/>
      <c r="AM20" s="626"/>
      <c r="AN20" s="626"/>
    </row>
    <row r="21" spans="1:40" ht="13">
      <c r="A21" s="622">
        <f t="shared" si="5"/>
        <v>9</v>
      </c>
      <c r="C21" s="616" t="str">
        <f t="shared" si="2"/>
        <v>September</v>
      </c>
      <c r="D21" s="837">
        <v>2021</v>
      </c>
      <c r="E21" s="578">
        <f t="shared" ref="E21" si="18">E53+E84</f>
        <v>199167396.88346371</v>
      </c>
      <c r="F21" s="578">
        <f t="shared" ref="F21:P21" si="19">F53+F84</f>
        <v>125866233.87333333</v>
      </c>
      <c r="G21" s="578">
        <f t="shared" si="19"/>
        <v>5497587.2257597782</v>
      </c>
      <c r="H21" s="578">
        <f t="shared" si="19"/>
        <v>1820328.3748712135</v>
      </c>
      <c r="I21" s="578">
        <f t="shared" si="19"/>
        <v>20933776.311018955</v>
      </c>
      <c r="J21" s="578">
        <f t="shared" si="19"/>
        <v>628013.28933056863</v>
      </c>
      <c r="K21" s="578">
        <f t="shared" si="19"/>
        <v>1106018262.5943761</v>
      </c>
      <c r="L21" s="578">
        <f t="shared" si="19"/>
        <v>1915889.7202805059</v>
      </c>
      <c r="M21" s="578">
        <f t="shared" si="19"/>
        <v>7920652.3540267888</v>
      </c>
      <c r="N21" s="578">
        <f t="shared" si="1"/>
        <v>1098097610.2403493</v>
      </c>
      <c r="O21" s="578">
        <f t="shared" si="19"/>
        <v>1444111.6944131963</v>
      </c>
      <c r="P21" s="578">
        <f t="shared" si="19"/>
        <v>1468083.9485404552</v>
      </c>
      <c r="T21" s="626"/>
      <c r="U21" s="626"/>
      <c r="V21" s="627"/>
      <c r="W21" s="626"/>
      <c r="X21" s="628"/>
      <c r="Y21" s="475"/>
      <c r="Z21" s="626"/>
      <c r="AA21" s="626"/>
      <c r="AB21" s="626"/>
      <c r="AC21" s="626"/>
      <c r="AD21" s="626"/>
      <c r="AE21" s="626"/>
      <c r="AF21" s="626"/>
      <c r="AG21" s="626"/>
      <c r="AH21" s="626"/>
      <c r="AI21" s="626"/>
      <c r="AJ21" s="626"/>
      <c r="AK21" s="626"/>
      <c r="AL21" s="626"/>
      <c r="AM21" s="626"/>
      <c r="AN21" s="626"/>
    </row>
    <row r="22" spans="1:40" ht="13">
      <c r="A22" s="622">
        <f t="shared" si="5"/>
        <v>10</v>
      </c>
      <c r="C22" s="616" t="str">
        <f t="shared" si="2"/>
        <v xml:space="preserve">October </v>
      </c>
      <c r="D22" s="837">
        <v>2021</v>
      </c>
      <c r="E22" s="578">
        <f t="shared" ref="E22" si="20">E54+E85</f>
        <v>27564411.583463669</v>
      </c>
      <c r="F22" s="578">
        <f t="shared" ref="F22:P22" si="21">F54+F85</f>
        <v>968978.57333333383</v>
      </c>
      <c r="G22" s="578">
        <f t="shared" si="21"/>
        <v>1994657.4757597749</v>
      </c>
      <c r="H22" s="578">
        <f t="shared" si="21"/>
        <v>1586231.3868712089</v>
      </c>
      <c r="I22" s="578">
        <f t="shared" si="21"/>
        <v>18241660.949018903</v>
      </c>
      <c r="J22" s="578">
        <f t="shared" si="21"/>
        <v>547249.82847056712</v>
      </c>
      <c r="K22" s="578">
        <f t="shared" si="21"/>
        <v>1134538350.0951989</v>
      </c>
      <c r="L22" s="578">
        <f t="shared" si="21"/>
        <v>2347813.8221956715</v>
      </c>
      <c r="M22" s="578">
        <f t="shared" si="21"/>
        <v>10268466.176222458</v>
      </c>
      <c r="N22" s="578">
        <f t="shared" si="1"/>
        <v>1124269883.9189763</v>
      </c>
      <c r="O22" s="578">
        <f t="shared" si="21"/>
        <v>1595445.6501035516</v>
      </c>
      <c r="P22" s="578">
        <f t="shared" si="21"/>
        <v>1621930.0478952704</v>
      </c>
      <c r="T22" s="626"/>
      <c r="U22" s="626"/>
      <c r="V22" s="627"/>
      <c r="W22" s="626"/>
      <c r="X22" s="628"/>
      <c r="Y22" s="475"/>
      <c r="Z22" s="626"/>
      <c r="AA22" s="626"/>
      <c r="AB22" s="626"/>
      <c r="AC22" s="626"/>
      <c r="AD22" s="626"/>
      <c r="AE22" s="626"/>
      <c r="AF22" s="626"/>
      <c r="AG22" s="626"/>
      <c r="AH22" s="626"/>
      <c r="AI22" s="626"/>
      <c r="AJ22" s="626"/>
      <c r="AK22" s="626"/>
      <c r="AL22" s="626"/>
      <c r="AM22" s="626"/>
      <c r="AN22" s="626"/>
    </row>
    <row r="23" spans="1:40" ht="13">
      <c r="A23" s="622">
        <f t="shared" si="5"/>
        <v>11</v>
      </c>
      <c r="C23" s="616" t="str">
        <f t="shared" si="2"/>
        <v>November</v>
      </c>
      <c r="D23" s="837">
        <v>2021</v>
      </c>
      <c r="E23" s="578">
        <f t="shared" ref="E23" si="22">E55+E86</f>
        <v>72467779.153463691</v>
      </c>
      <c r="F23" s="578">
        <f t="shared" ref="F23:P23" si="23">F55+F86</f>
        <v>31913993.143333334</v>
      </c>
      <c r="G23" s="578">
        <f t="shared" si="23"/>
        <v>3041533.9507597773</v>
      </c>
      <c r="H23" s="578">
        <f t="shared" si="23"/>
        <v>2410439.734871211</v>
      </c>
      <c r="I23" s="578">
        <f t="shared" si="23"/>
        <v>27720056.951018926</v>
      </c>
      <c r="J23" s="578">
        <f t="shared" si="23"/>
        <v>831601.7085305677</v>
      </c>
      <c r="K23" s="578">
        <f t="shared" si="23"/>
        <v>1208468825.1730816</v>
      </c>
      <c r="L23" s="578">
        <f t="shared" si="23"/>
        <v>2408355.1874780082</v>
      </c>
      <c r="M23" s="578">
        <f t="shared" si="23"/>
        <v>12676821.363700466</v>
      </c>
      <c r="N23" s="578">
        <f t="shared" si="1"/>
        <v>1195792003.809381</v>
      </c>
      <c r="O23" s="578">
        <f t="shared" si="23"/>
        <v>1746779.6057939068</v>
      </c>
      <c r="P23" s="578">
        <f t="shared" si="23"/>
        <v>1775776.1472500856</v>
      </c>
      <c r="T23" s="626"/>
      <c r="U23" s="626"/>
      <c r="V23" s="627"/>
      <c r="W23" s="626"/>
      <c r="X23" s="628"/>
      <c r="Y23" s="475"/>
      <c r="Z23" s="626"/>
      <c r="AA23" s="626"/>
      <c r="AB23" s="626"/>
      <c r="AC23" s="626"/>
      <c r="AD23" s="626"/>
      <c r="AE23" s="626"/>
      <c r="AF23" s="626"/>
      <c r="AG23" s="626"/>
      <c r="AH23" s="626"/>
      <c r="AI23" s="626"/>
      <c r="AJ23" s="626"/>
      <c r="AK23" s="626"/>
      <c r="AL23" s="626"/>
      <c r="AM23" s="626"/>
      <c r="AN23" s="626"/>
    </row>
    <row r="24" spans="1:40" ht="13">
      <c r="A24" s="622">
        <f t="shared" si="5"/>
        <v>12</v>
      </c>
      <c r="C24" s="616" t="str">
        <f t="shared" si="2"/>
        <v>December</v>
      </c>
      <c r="D24" s="837">
        <v>2021</v>
      </c>
      <c r="E24" s="578">
        <f t="shared" ref="E24" si="24">E56+E87</f>
        <v>67709958.28316474</v>
      </c>
      <c r="F24" s="578">
        <f t="shared" ref="F24:P24" si="25">F56+F87</f>
        <v>18975983.243034348</v>
      </c>
      <c r="G24" s="578">
        <f t="shared" si="25"/>
        <v>3655048.1280097789</v>
      </c>
      <c r="H24" s="578">
        <f t="shared" si="25"/>
        <v>1916925.6414512128</v>
      </c>
      <c r="I24" s="578">
        <f t="shared" si="25"/>
        <v>22044644.876688946</v>
      </c>
      <c r="J24" s="578">
        <f t="shared" si="25"/>
        <v>661339.34630066832</v>
      </c>
      <c r="K24" s="578">
        <f t="shared" si="25"/>
        <v>1278578245.2891054</v>
      </c>
      <c r="L24" s="578">
        <f t="shared" si="25"/>
        <v>2565292.0095357131</v>
      </c>
      <c r="M24" s="578">
        <f t="shared" si="25"/>
        <v>15242113.373236179</v>
      </c>
      <c r="N24" s="578">
        <f t="shared" si="1"/>
        <v>1263336131.9158692</v>
      </c>
      <c r="O24" s="578">
        <f t="shared" si="25"/>
        <v>2629807.8738842621</v>
      </c>
      <c r="P24" s="578">
        <f t="shared" si="25"/>
        <v>2673462.6845907406</v>
      </c>
      <c r="T24" s="626"/>
      <c r="U24" s="626"/>
      <c r="V24" s="627"/>
      <c r="W24" s="626"/>
      <c r="X24" s="628"/>
      <c r="Y24" s="475"/>
      <c r="Z24" s="626"/>
      <c r="AA24" s="626"/>
      <c r="AB24" s="626"/>
      <c r="AC24" s="626"/>
      <c r="AD24" s="626"/>
      <c r="AE24" s="626"/>
      <c r="AF24" s="626"/>
      <c r="AG24" s="626"/>
      <c r="AH24" s="626"/>
      <c r="AI24" s="626"/>
      <c r="AJ24" s="626"/>
      <c r="AK24" s="626"/>
      <c r="AL24" s="626"/>
      <c r="AM24" s="626"/>
      <c r="AN24" s="626"/>
    </row>
    <row r="25" spans="1:40" ht="13">
      <c r="A25" s="622">
        <f t="shared" si="5"/>
        <v>13</v>
      </c>
      <c r="C25" s="616" t="str">
        <f t="shared" si="2"/>
        <v>January</v>
      </c>
      <c r="D25" s="837">
        <v>2022</v>
      </c>
      <c r="E25" s="578">
        <f t="shared" ref="E25" si="26">E57+E88</f>
        <v>51155369.19183594</v>
      </c>
      <c r="F25" s="578">
        <f t="shared" ref="F25:P25" si="27">F57+F88</f>
        <v>21449115.48</v>
      </c>
      <c r="G25" s="578">
        <f t="shared" si="27"/>
        <v>2227969.0283876956</v>
      </c>
      <c r="H25" s="578">
        <f t="shared" si="27"/>
        <v>1520550.8392178912</v>
      </c>
      <c r="I25" s="578">
        <f t="shared" si="27"/>
        <v>17486334.651005749</v>
      </c>
      <c r="J25" s="578">
        <f t="shared" si="27"/>
        <v>524590.03953017248</v>
      </c>
      <c r="K25" s="578">
        <f t="shared" si="27"/>
        <v>1330965622.7096415</v>
      </c>
      <c r="L25" s="578">
        <f t="shared" si="27"/>
        <v>2714117.6403425811</v>
      </c>
      <c r="M25" s="578">
        <f t="shared" si="27"/>
        <v>17956231.013578761</v>
      </c>
      <c r="N25" s="578">
        <f t="shared" si="1"/>
        <v>1313009391.6960626</v>
      </c>
      <c r="O25" s="578">
        <f t="shared" si="27"/>
        <v>2881205.0317280185</v>
      </c>
      <c r="P25" s="578">
        <f t="shared" si="27"/>
        <v>2929033.0352547038</v>
      </c>
      <c r="T25" s="626"/>
      <c r="U25" s="626"/>
      <c r="V25" s="627"/>
      <c r="W25" s="626"/>
      <c r="X25" s="628"/>
      <c r="Y25" s="475"/>
      <c r="Z25" s="626"/>
      <c r="AA25" s="626"/>
      <c r="AB25" s="626"/>
      <c r="AC25" s="626"/>
      <c r="AD25" s="626"/>
      <c r="AE25" s="626"/>
      <c r="AF25" s="626"/>
      <c r="AG25" s="626"/>
      <c r="AH25" s="626"/>
      <c r="AI25" s="626"/>
      <c r="AJ25" s="626"/>
      <c r="AK25" s="626"/>
      <c r="AL25" s="626"/>
      <c r="AM25" s="626"/>
      <c r="AN25" s="626"/>
    </row>
    <row r="26" spans="1:40" ht="13">
      <c r="A26" s="622">
        <f t="shared" si="5"/>
        <v>14</v>
      </c>
      <c r="C26" s="616" t="str">
        <f t="shared" si="2"/>
        <v>February</v>
      </c>
      <c r="D26" s="837">
        <v>2022</v>
      </c>
      <c r="E26" s="578">
        <f t="shared" ref="E26" si="28">E58+E89</f>
        <v>34800167.892835915</v>
      </c>
      <c r="F26" s="578">
        <f t="shared" ref="F26:P26" si="29">F58+F89</f>
        <v>346960.14099999995</v>
      </c>
      <c r="G26" s="578">
        <f t="shared" si="29"/>
        <v>2583990.5813876935</v>
      </c>
      <c r="H26" s="578">
        <f t="shared" si="29"/>
        <v>2389576.886657889</v>
      </c>
      <c r="I26" s="578">
        <f t="shared" si="29"/>
        <v>27480134.196565721</v>
      </c>
      <c r="J26" s="578">
        <f t="shared" si="29"/>
        <v>824404.02589697158</v>
      </c>
      <c r="K26" s="578">
        <f t="shared" si="29"/>
        <v>1366784608.3231041</v>
      </c>
      <c r="L26" s="578">
        <f t="shared" si="29"/>
        <v>2825323.5878176307</v>
      </c>
      <c r="M26" s="578">
        <f t="shared" si="29"/>
        <v>20781554.601396393</v>
      </c>
      <c r="N26" s="578">
        <f t="shared" si="1"/>
        <v>1346003053.7217078</v>
      </c>
      <c r="O26" s="578">
        <f t="shared" si="29"/>
        <v>3132602.1895717755</v>
      </c>
      <c r="P26" s="578">
        <f t="shared" si="29"/>
        <v>3184603.3859186671</v>
      </c>
      <c r="T26" s="626"/>
      <c r="U26" s="626"/>
      <c r="V26" s="627"/>
      <c r="W26" s="626"/>
      <c r="X26" s="628"/>
      <c r="Y26" s="475"/>
      <c r="Z26" s="626"/>
      <c r="AA26" s="626"/>
      <c r="AB26" s="626"/>
      <c r="AC26" s="626"/>
      <c r="AD26" s="626"/>
      <c r="AE26" s="626"/>
      <c r="AF26" s="626"/>
      <c r="AG26" s="626"/>
      <c r="AH26" s="626"/>
      <c r="AI26" s="626"/>
      <c r="AJ26" s="626"/>
      <c r="AK26" s="626"/>
      <c r="AL26" s="626"/>
      <c r="AM26" s="626"/>
      <c r="AN26" s="626"/>
    </row>
    <row r="27" spans="1:40" ht="13">
      <c r="A27" s="622">
        <f t="shared" si="5"/>
        <v>15</v>
      </c>
      <c r="C27" s="616" t="str">
        <f t="shared" si="2"/>
        <v>March</v>
      </c>
      <c r="D27" s="837">
        <v>2022</v>
      </c>
      <c r="E27" s="578">
        <f t="shared" ref="E27" si="30">E59+E90</f>
        <v>22383441.511835933</v>
      </c>
      <c r="F27" s="578">
        <f t="shared" ref="F27:P27" si="31">F59+F90</f>
        <v>58655.799999999996</v>
      </c>
      <c r="G27" s="578">
        <f t="shared" si="31"/>
        <v>1674358.928387695</v>
      </c>
      <c r="H27" s="578">
        <f t="shared" si="31"/>
        <v>1494857.0492178902</v>
      </c>
      <c r="I27" s="578">
        <f t="shared" si="31"/>
        <v>17190856.066005737</v>
      </c>
      <c r="J27" s="578">
        <f t="shared" si="31"/>
        <v>515725.68198017206</v>
      </c>
      <c r="K27" s="578">
        <f t="shared" si="31"/>
        <v>1389863277.39609</v>
      </c>
      <c r="L27" s="578">
        <f t="shared" si="31"/>
        <v>2901358.7785232989</v>
      </c>
      <c r="M27" s="578">
        <f t="shared" si="31"/>
        <v>23682913.379919693</v>
      </c>
      <c r="N27" s="578">
        <f t="shared" si="1"/>
        <v>1366180364.0161705</v>
      </c>
      <c r="O27" s="578">
        <f t="shared" si="31"/>
        <v>3383999.347415532</v>
      </c>
      <c r="P27" s="578">
        <f t="shared" si="31"/>
        <v>3440173.7365826298</v>
      </c>
      <c r="T27" s="626"/>
      <c r="U27" s="626"/>
      <c r="V27" s="627"/>
      <c r="W27" s="626"/>
      <c r="X27" s="628"/>
      <c r="Y27" s="475"/>
      <c r="Z27" s="626"/>
      <c r="AA27" s="626"/>
      <c r="AB27" s="626"/>
      <c r="AC27" s="626"/>
      <c r="AD27" s="626"/>
      <c r="AE27" s="626"/>
      <c r="AF27" s="626"/>
      <c r="AG27" s="626"/>
      <c r="AH27" s="626"/>
      <c r="AI27" s="626"/>
      <c r="AJ27" s="626"/>
      <c r="AK27" s="626"/>
      <c r="AL27" s="626"/>
      <c r="AM27" s="626"/>
      <c r="AN27" s="626"/>
    </row>
    <row r="28" spans="1:40" ht="13">
      <c r="A28" s="622">
        <f t="shared" si="5"/>
        <v>16</v>
      </c>
      <c r="C28" s="616" t="str">
        <f t="shared" si="2"/>
        <v>April</v>
      </c>
      <c r="D28" s="837">
        <v>2022</v>
      </c>
      <c r="E28" s="578">
        <f t="shared" ref="E28" si="32">E60+E91</f>
        <v>68534299.091835856</v>
      </c>
      <c r="F28" s="578">
        <f t="shared" ref="F28:P28" si="33">F60+F91</f>
        <v>34512557.379999936</v>
      </c>
      <c r="G28" s="578">
        <f t="shared" si="33"/>
        <v>2551630.6283876938</v>
      </c>
      <c r="H28" s="578">
        <f t="shared" si="33"/>
        <v>2490715.807217889</v>
      </c>
      <c r="I28" s="578">
        <f t="shared" si="33"/>
        <v>28643231.783005726</v>
      </c>
      <c r="J28" s="578">
        <f t="shared" si="33"/>
        <v>859296.9534901717</v>
      </c>
      <c r="K28" s="578">
        <f t="shared" si="33"/>
        <v>1459317788.2625859</v>
      </c>
      <c r="L28" s="578">
        <f t="shared" si="33"/>
        <v>2950349.3061483465</v>
      </c>
      <c r="M28" s="578">
        <f t="shared" si="33"/>
        <v>26633262.686068039</v>
      </c>
      <c r="N28" s="578">
        <f t="shared" si="1"/>
        <v>1432684525.5765178</v>
      </c>
      <c r="O28" s="578">
        <f t="shared" si="33"/>
        <v>3635396.5052592889</v>
      </c>
      <c r="P28" s="578">
        <f t="shared" si="33"/>
        <v>3695744.0872465936</v>
      </c>
      <c r="T28" s="626"/>
      <c r="U28" s="626"/>
      <c r="V28" s="627"/>
      <c r="W28" s="626"/>
      <c r="X28" s="628"/>
      <c r="Y28" s="475"/>
      <c r="Z28" s="626"/>
      <c r="AA28" s="626"/>
      <c r="AB28" s="626"/>
      <c r="AC28" s="626"/>
      <c r="AD28" s="626"/>
      <c r="AE28" s="626"/>
      <c r="AF28" s="626"/>
      <c r="AG28" s="626"/>
      <c r="AH28" s="626"/>
      <c r="AI28" s="626"/>
      <c r="AJ28" s="626"/>
      <c r="AK28" s="626"/>
      <c r="AL28" s="626"/>
      <c r="AM28" s="626"/>
      <c r="AN28" s="626"/>
    </row>
    <row r="29" spans="1:40" ht="13">
      <c r="A29" s="622">
        <f t="shared" si="5"/>
        <v>17</v>
      </c>
      <c r="C29" s="616" t="str">
        <f t="shared" si="2"/>
        <v>May</v>
      </c>
      <c r="D29" s="837">
        <v>2022</v>
      </c>
      <c r="E29" s="578">
        <f t="shared" ref="E29" si="34">E61+E92</f>
        <v>53382959.82183589</v>
      </c>
      <c r="F29" s="578">
        <f t="shared" ref="F29:P29" si="35">F61+F92</f>
        <v>22959971.110000003</v>
      </c>
      <c r="G29" s="578">
        <f t="shared" si="35"/>
        <v>2281724.1533876909</v>
      </c>
      <c r="H29" s="578">
        <f t="shared" si="35"/>
        <v>1720177.0492178861</v>
      </c>
      <c r="I29" s="578">
        <f t="shared" si="35"/>
        <v>19782036.066005688</v>
      </c>
      <c r="J29" s="578">
        <f t="shared" si="35"/>
        <v>593461.08198017057</v>
      </c>
      <c r="K29" s="578">
        <f t="shared" si="35"/>
        <v>1513855756.2705717</v>
      </c>
      <c r="L29" s="578">
        <f t="shared" si="35"/>
        <v>3097784.7203192622</v>
      </c>
      <c r="M29" s="578">
        <f t="shared" si="35"/>
        <v>29731047.406387299</v>
      </c>
      <c r="N29" s="578">
        <f t="shared" si="1"/>
        <v>1484124708.8641846</v>
      </c>
      <c r="O29" s="578">
        <f t="shared" si="35"/>
        <v>3886793.6631030459</v>
      </c>
      <c r="P29" s="578">
        <f t="shared" si="35"/>
        <v>3951314.4379105563</v>
      </c>
      <c r="T29" s="626"/>
      <c r="U29" s="626"/>
      <c r="V29" s="627"/>
      <c r="W29" s="626"/>
      <c r="X29" s="628"/>
      <c r="Y29" s="475"/>
      <c r="Z29" s="626"/>
      <c r="AA29" s="626"/>
      <c r="AB29" s="626"/>
      <c r="AC29" s="626"/>
      <c r="AD29" s="626"/>
      <c r="AE29" s="626"/>
      <c r="AF29" s="626"/>
      <c r="AG29" s="626"/>
      <c r="AH29" s="626"/>
      <c r="AI29" s="626"/>
      <c r="AJ29" s="626"/>
      <c r="AK29" s="626"/>
      <c r="AL29" s="626"/>
      <c r="AM29" s="626"/>
      <c r="AN29" s="626"/>
    </row>
    <row r="30" spans="1:40" ht="13">
      <c r="A30" s="622">
        <f t="shared" si="5"/>
        <v>18</v>
      </c>
      <c r="C30" s="616" t="str">
        <f t="shared" ref="C30:C33" si="36">C62</f>
        <v xml:space="preserve">June </v>
      </c>
      <c r="D30" s="837">
        <v>2022</v>
      </c>
      <c r="E30" s="578">
        <f t="shared" ref="E30" si="37">E62+E93</f>
        <v>63444602.041835964</v>
      </c>
      <c r="F30" s="578">
        <f t="shared" ref="F30:P30" si="38">F62+F93</f>
        <v>22206193.330000002</v>
      </c>
      <c r="G30" s="578">
        <f t="shared" si="38"/>
        <v>3092880.6533876974</v>
      </c>
      <c r="H30" s="578">
        <f t="shared" si="38"/>
        <v>2162855.1692178934</v>
      </c>
      <c r="I30" s="578">
        <f t="shared" si="38"/>
        <v>24872834.446005777</v>
      </c>
      <c r="J30" s="578">
        <f t="shared" si="38"/>
        <v>746185.03338017326</v>
      </c>
      <c r="K30" s="578">
        <f t="shared" si="38"/>
        <v>1578976568.8299577</v>
      </c>
      <c r="L30" s="578">
        <f t="shared" si="38"/>
        <v>3213555.8603212908</v>
      </c>
      <c r="M30" s="578">
        <f t="shared" si="38"/>
        <v>32944603.26670859</v>
      </c>
      <c r="N30" s="578">
        <f t="shared" si="1"/>
        <v>1546031965.5632491</v>
      </c>
      <c r="O30" s="578">
        <f t="shared" si="38"/>
        <v>4138190.8209468019</v>
      </c>
      <c r="P30" s="578">
        <f t="shared" si="38"/>
        <v>4206884.7885745186</v>
      </c>
      <c r="T30" s="626"/>
      <c r="U30" s="626"/>
      <c r="V30" s="627"/>
      <c r="W30" s="626"/>
      <c r="X30" s="628"/>
      <c r="Y30" s="475"/>
      <c r="Z30" s="626"/>
      <c r="AA30" s="626"/>
      <c r="AB30" s="626"/>
      <c r="AC30" s="626"/>
      <c r="AD30" s="626"/>
      <c r="AE30" s="626"/>
      <c r="AF30" s="626"/>
      <c r="AG30" s="626"/>
      <c r="AH30" s="626"/>
      <c r="AI30" s="626"/>
      <c r="AJ30" s="626"/>
      <c r="AK30" s="626"/>
      <c r="AL30" s="626"/>
      <c r="AM30" s="626"/>
      <c r="AN30" s="626"/>
    </row>
    <row r="31" spans="1:40" ht="13">
      <c r="A31" s="622">
        <f t="shared" si="5"/>
        <v>19</v>
      </c>
      <c r="C31" s="616" t="str">
        <f t="shared" si="36"/>
        <v>July</v>
      </c>
      <c r="D31" s="837">
        <v>2022</v>
      </c>
      <c r="E31" s="578">
        <f t="shared" ref="E31" si="39">E63+E94</f>
        <v>79943440.641835898</v>
      </c>
      <c r="F31" s="578">
        <f t="shared" ref="F31:P31" si="40">F63+F94</f>
        <v>31395688.930000007</v>
      </c>
      <c r="G31" s="578">
        <f t="shared" si="40"/>
        <v>3641081.3783876924</v>
      </c>
      <c r="H31" s="578">
        <f t="shared" si="40"/>
        <v>2067363.349217887</v>
      </c>
      <c r="I31" s="578">
        <f t="shared" si="40"/>
        <v>23774678.516005699</v>
      </c>
      <c r="J31" s="578">
        <f t="shared" si="40"/>
        <v>713240.35548017093</v>
      </c>
      <c r="K31" s="578">
        <f t="shared" si="40"/>
        <v>1661206967.8564436</v>
      </c>
      <c r="L31" s="578">
        <f t="shared" si="40"/>
        <v>3351791.8632973209</v>
      </c>
      <c r="M31" s="578">
        <f t="shared" si="40"/>
        <v>36296395.130005911</v>
      </c>
      <c r="N31" s="578">
        <f t="shared" si="1"/>
        <v>1624910572.7264376</v>
      </c>
      <c r="O31" s="578">
        <f t="shared" si="40"/>
        <v>4389587.9787905589</v>
      </c>
      <c r="P31" s="578">
        <f t="shared" si="40"/>
        <v>4462455.1392384823</v>
      </c>
      <c r="T31" s="626"/>
      <c r="U31" s="626"/>
      <c r="V31" s="627"/>
      <c r="W31" s="626"/>
      <c r="X31" s="628"/>
      <c r="Y31" s="475"/>
      <c r="Z31" s="626"/>
      <c r="AA31" s="626"/>
      <c r="AB31" s="626"/>
      <c r="AC31" s="626"/>
      <c r="AD31" s="626"/>
      <c r="AE31" s="626"/>
      <c r="AF31" s="626"/>
      <c r="AG31" s="626"/>
      <c r="AH31" s="626"/>
      <c r="AI31" s="626"/>
      <c r="AJ31" s="626"/>
      <c r="AK31" s="626"/>
      <c r="AL31" s="626"/>
      <c r="AM31" s="626"/>
      <c r="AN31" s="626"/>
    </row>
    <row r="32" spans="1:40" ht="13">
      <c r="A32" s="622">
        <f t="shared" si="5"/>
        <v>20</v>
      </c>
      <c r="C32" s="616" t="str">
        <f t="shared" si="36"/>
        <v>August</v>
      </c>
      <c r="D32" s="837">
        <v>2022</v>
      </c>
      <c r="E32" s="578">
        <f t="shared" ref="E32" si="41">E64+E95</f>
        <v>22593017.711835921</v>
      </c>
      <c r="F32" s="578">
        <f t="shared" ref="F32:P32" si="42">F64+F95</f>
        <v>0</v>
      </c>
      <c r="G32" s="578">
        <f t="shared" si="42"/>
        <v>1694476.328387694</v>
      </c>
      <c r="H32" s="578">
        <f t="shared" si="42"/>
        <v>1490729.0492178893</v>
      </c>
      <c r="I32" s="578">
        <f t="shared" si="42"/>
        <v>17143384.066005725</v>
      </c>
      <c r="J32" s="578">
        <f t="shared" si="42"/>
        <v>514301.52198017173</v>
      </c>
      <c r="K32" s="578">
        <f t="shared" si="42"/>
        <v>1684518034.3694296</v>
      </c>
      <c r="L32" s="578">
        <f t="shared" si="42"/>
        <v>3526347.4506401429</v>
      </c>
      <c r="M32" s="578">
        <f t="shared" si="42"/>
        <v>39822742.580646053</v>
      </c>
      <c r="N32" s="578">
        <f t="shared" si="1"/>
        <v>1644695291.7887836</v>
      </c>
      <c r="O32" s="578">
        <f t="shared" si="42"/>
        <v>4640985.1366343154</v>
      </c>
      <c r="P32" s="578">
        <f t="shared" si="42"/>
        <v>4718025.4899024451</v>
      </c>
      <c r="T32" s="626"/>
      <c r="U32" s="626"/>
      <c r="V32" s="627"/>
      <c r="W32" s="626"/>
      <c r="X32" s="628"/>
      <c r="Y32" s="475"/>
      <c r="Z32" s="626"/>
      <c r="AA32" s="626"/>
      <c r="AB32" s="626"/>
      <c r="AC32" s="626"/>
      <c r="AD32" s="626"/>
      <c r="AE32" s="626"/>
      <c r="AF32" s="626"/>
      <c r="AG32" s="626"/>
      <c r="AH32" s="626"/>
      <c r="AI32" s="626"/>
      <c r="AJ32" s="626"/>
      <c r="AK32" s="626"/>
      <c r="AL32" s="626"/>
      <c r="AM32" s="626"/>
      <c r="AN32" s="626"/>
    </row>
    <row r="33" spans="1:40" ht="13">
      <c r="A33" s="622">
        <f t="shared" si="5"/>
        <v>21</v>
      </c>
      <c r="C33" s="616" t="str">
        <f t="shared" si="36"/>
        <v>September</v>
      </c>
      <c r="D33" s="837">
        <v>2022</v>
      </c>
      <c r="E33" s="578">
        <f t="shared" ref="E33" si="43">E65+E96</f>
        <v>21573452.71183604</v>
      </c>
      <c r="F33" s="578">
        <f t="shared" ref="F33:P33" si="44">F65+F96</f>
        <v>0</v>
      </c>
      <c r="G33" s="578">
        <f t="shared" si="44"/>
        <v>1618008.953387703</v>
      </c>
      <c r="H33" s="578">
        <f t="shared" si="44"/>
        <v>1490729.0492178996</v>
      </c>
      <c r="I33" s="578">
        <f t="shared" si="44"/>
        <v>17143384.066005845</v>
      </c>
      <c r="J33" s="578">
        <f t="shared" si="44"/>
        <v>514301.52198017534</v>
      </c>
      <c r="K33" s="578">
        <f t="shared" si="44"/>
        <v>1706733068.5074153</v>
      </c>
      <c r="L33" s="578">
        <f t="shared" si="44"/>
        <v>3575831.3027791949</v>
      </c>
      <c r="M33" s="578">
        <f t="shared" si="44"/>
        <v>43398573.883425251</v>
      </c>
      <c r="N33" s="578">
        <f t="shared" si="1"/>
        <v>1663334494.6239901</v>
      </c>
      <c r="O33" s="594">
        <f t="shared" si="44"/>
        <v>4892382.2944780719</v>
      </c>
      <c r="P33" s="594">
        <f t="shared" si="44"/>
        <v>4973595.8405664079</v>
      </c>
      <c r="T33" s="626"/>
      <c r="U33" s="626"/>
      <c r="V33" s="627"/>
      <c r="W33" s="626"/>
      <c r="X33" s="628"/>
      <c r="Y33" s="475"/>
      <c r="Z33" s="626"/>
      <c r="AA33" s="626"/>
      <c r="AB33" s="626"/>
      <c r="AC33" s="626"/>
      <c r="AD33" s="626"/>
      <c r="AE33" s="626"/>
      <c r="AF33" s="626"/>
      <c r="AG33" s="626"/>
      <c r="AH33" s="626"/>
      <c r="AI33" s="626"/>
      <c r="AJ33" s="626"/>
      <c r="AK33" s="626"/>
      <c r="AL33" s="626"/>
      <c r="AM33" s="626"/>
      <c r="AN33" s="626"/>
    </row>
    <row r="34" spans="1:40" ht="13">
      <c r="A34" s="623">
        <f t="shared" si="5"/>
        <v>22</v>
      </c>
      <c r="C34" s="616" t="str">
        <f t="shared" ref="C34" si="45">C66</f>
        <v>October</v>
      </c>
      <c r="D34" s="837">
        <v>2022</v>
      </c>
      <c r="E34" s="578">
        <f t="shared" ref="E34" si="46">E66+E97</f>
        <v>20316854.341835856</v>
      </c>
      <c r="F34" s="578">
        <f t="shared" ref="F34:P34" si="47">F66+F97</f>
        <v>841.63</v>
      </c>
      <c r="G34" s="578">
        <f t="shared" si="47"/>
        <v>1523700.9533876893</v>
      </c>
      <c r="H34" s="578">
        <f t="shared" si="47"/>
        <v>1490752.6132178837</v>
      </c>
      <c r="I34" s="578">
        <f t="shared" si="47"/>
        <v>17143655.052005664</v>
      </c>
      <c r="J34" s="578">
        <f t="shared" si="47"/>
        <v>514309.65156016988</v>
      </c>
      <c r="K34" s="578">
        <f t="shared" si="47"/>
        <v>1727597180.8409812</v>
      </c>
      <c r="L34" s="578">
        <f t="shared" si="47"/>
        <v>3622988.538761328</v>
      </c>
      <c r="M34" s="578">
        <f t="shared" si="47"/>
        <v>47021562.422186568</v>
      </c>
      <c r="N34" s="578">
        <f t="shared" si="1"/>
        <v>1680575618.4187946</v>
      </c>
      <c r="O34" s="594">
        <f t="shared" si="47"/>
        <v>5143779.4523218293</v>
      </c>
      <c r="P34" s="594">
        <f t="shared" si="47"/>
        <v>5229166.1912303716</v>
      </c>
      <c r="T34" s="626"/>
      <c r="U34" s="626"/>
      <c r="V34" s="627"/>
      <c r="W34" s="626"/>
      <c r="X34" s="628"/>
      <c r="Y34" s="475"/>
      <c r="Z34" s="626"/>
      <c r="AA34" s="626"/>
      <c r="AB34" s="626"/>
      <c r="AC34" s="626"/>
      <c r="AD34" s="626"/>
      <c r="AE34" s="626"/>
      <c r="AF34" s="626"/>
      <c r="AG34" s="626"/>
      <c r="AH34" s="626"/>
      <c r="AI34" s="626"/>
      <c r="AJ34" s="626"/>
      <c r="AK34" s="626"/>
      <c r="AL34" s="626"/>
      <c r="AM34" s="626"/>
      <c r="AN34" s="626"/>
    </row>
    <row r="35" spans="1:40" ht="13">
      <c r="A35" s="623">
        <f t="shared" si="5"/>
        <v>23</v>
      </c>
      <c r="C35" s="616" t="str">
        <f t="shared" ref="C35" si="48">C67</f>
        <v>November</v>
      </c>
      <c r="D35" s="837">
        <v>2022</v>
      </c>
      <c r="E35" s="578">
        <f t="shared" ref="E35" si="49">E67+E98</f>
        <v>20180738.71183598</v>
      </c>
      <c r="F35" s="578">
        <f t="shared" ref="F35:P35" si="50">F67+F98</f>
        <v>0</v>
      </c>
      <c r="G35" s="578">
        <f t="shared" si="50"/>
        <v>1513555.4033876986</v>
      </c>
      <c r="H35" s="578">
        <f t="shared" si="50"/>
        <v>1490729.0492178944</v>
      </c>
      <c r="I35" s="578">
        <f t="shared" si="50"/>
        <v>17143384.066005785</v>
      </c>
      <c r="J35" s="578">
        <f t="shared" si="50"/>
        <v>514301.52198017354</v>
      </c>
      <c r="K35" s="578">
        <f t="shared" si="50"/>
        <v>1748315047.4289672</v>
      </c>
      <c r="L35" s="578">
        <f t="shared" si="50"/>
        <v>3667278.0889263363</v>
      </c>
      <c r="M35" s="578">
        <f t="shared" si="50"/>
        <v>50688840.511112906</v>
      </c>
      <c r="N35" s="578">
        <f t="shared" si="1"/>
        <v>1697626206.9178543</v>
      </c>
      <c r="O35" s="594">
        <f t="shared" si="50"/>
        <v>5395176.6101655858</v>
      </c>
      <c r="P35" s="594">
        <f t="shared" si="50"/>
        <v>5484736.5418943353</v>
      </c>
      <c r="T35" s="626"/>
      <c r="U35" s="626"/>
      <c r="V35" s="627"/>
      <c r="W35" s="626"/>
      <c r="X35" s="628"/>
      <c r="Y35" s="475"/>
      <c r="Z35" s="626"/>
      <c r="AA35" s="626"/>
      <c r="AB35" s="626"/>
      <c r="AC35" s="626"/>
      <c r="AD35" s="626"/>
      <c r="AE35" s="626"/>
      <c r="AF35" s="626"/>
      <c r="AG35" s="626"/>
      <c r="AH35" s="626"/>
      <c r="AI35" s="626"/>
      <c r="AJ35" s="626"/>
      <c r="AK35" s="626"/>
      <c r="AL35" s="626"/>
      <c r="AM35" s="626"/>
      <c r="AN35" s="626"/>
    </row>
    <row r="36" spans="1:40" ht="13">
      <c r="A36" s="623">
        <f t="shared" si="5"/>
        <v>24</v>
      </c>
      <c r="C36" s="616" t="str">
        <f t="shared" ref="C36" si="51">C68</f>
        <v>December</v>
      </c>
      <c r="D36" s="837">
        <v>2022</v>
      </c>
      <c r="E36" s="578">
        <f t="shared" ref="E36" si="52">E68+E99</f>
        <v>93016404.991835967</v>
      </c>
      <c r="F36" s="578">
        <f t="shared" ref="F36:P36" si="53">F68+F99</f>
        <v>17670.269999999997</v>
      </c>
      <c r="G36" s="578">
        <f t="shared" si="53"/>
        <v>6974905.1041376973</v>
      </c>
      <c r="H36" s="578">
        <f t="shared" si="53"/>
        <v>1814488.9492178927</v>
      </c>
      <c r="I36" s="578">
        <f t="shared" si="53"/>
        <v>20866622.916005764</v>
      </c>
      <c r="J36" s="578">
        <f t="shared" si="53"/>
        <v>625998.68748017296</v>
      </c>
      <c r="K36" s="629">
        <f t="shared" si="53"/>
        <v>1847117867.2632031</v>
      </c>
      <c r="L36" s="578">
        <f t="shared" si="53"/>
        <v>3711257.1941425386</v>
      </c>
      <c r="M36" s="578">
        <f t="shared" si="53"/>
        <v>54400097.705255449</v>
      </c>
      <c r="N36" s="629">
        <f t="shared" si="1"/>
        <v>1792717769.5579479</v>
      </c>
      <c r="O36" s="594">
        <f t="shared" si="53"/>
        <v>5646573.7680093423</v>
      </c>
      <c r="P36" s="629">
        <f t="shared" si="53"/>
        <v>5740306.8925582971</v>
      </c>
      <c r="T36" s="626"/>
      <c r="U36" s="626"/>
      <c r="V36" s="627"/>
      <c r="W36" s="626"/>
      <c r="X36" s="628"/>
      <c r="Y36" s="475"/>
      <c r="Z36" s="626"/>
      <c r="AA36" s="626"/>
      <c r="AB36" s="626"/>
      <c r="AC36" s="626"/>
      <c r="AD36" s="626"/>
      <c r="AE36" s="626"/>
      <c r="AF36" s="626"/>
      <c r="AG36" s="626"/>
      <c r="AH36" s="626"/>
      <c r="AI36" s="626"/>
      <c r="AJ36" s="626"/>
      <c r="AK36" s="626"/>
      <c r="AL36" s="626"/>
      <c r="AM36" s="626"/>
      <c r="AN36" s="626"/>
    </row>
    <row r="37" spans="1:40" s="580" customFormat="1" ht="13">
      <c r="A37" s="623">
        <f t="shared" si="5"/>
        <v>25</v>
      </c>
      <c r="D37" s="653" t="s">
        <v>1603</v>
      </c>
      <c r="K37" s="873">
        <f>AVERAGE(K24:K36)</f>
        <v>1561063848.7190382</v>
      </c>
      <c r="M37" s="654"/>
      <c r="N37" s="654">
        <f>AVERAGE(N24:N36)</f>
        <v>1527325391.9528899</v>
      </c>
      <c r="O37" s="654"/>
      <c r="P37" s="654">
        <f>AVERAGE(P24:P36)</f>
        <v>4206884.7885745186</v>
      </c>
      <c r="Q37" s="655"/>
      <c r="T37" s="639"/>
      <c r="U37" s="639"/>
    </row>
    <row r="38" spans="1:40" ht="13">
      <c r="A38" s="622"/>
      <c r="T38" s="578"/>
      <c r="U38" s="578"/>
      <c r="Z38" s="578"/>
    </row>
    <row r="39" spans="1:40" ht="13">
      <c r="A39" s="622"/>
      <c r="B39" s="580" t="s">
        <v>1946</v>
      </c>
      <c r="G39" s="622"/>
      <c r="K39" s="475"/>
      <c r="M39" s="475"/>
      <c r="N39" s="475"/>
      <c r="O39" s="475"/>
      <c r="P39" s="475"/>
    </row>
    <row r="40" spans="1:40" ht="13">
      <c r="A40" s="622"/>
      <c r="B40" s="580"/>
      <c r="E40" s="619" t="s">
        <v>358</v>
      </c>
      <c r="F40" s="619" t="s">
        <v>342</v>
      </c>
      <c r="G40" s="619" t="s">
        <v>343</v>
      </c>
      <c r="H40" s="619" t="s">
        <v>344</v>
      </c>
      <c r="I40" s="619" t="s">
        <v>345</v>
      </c>
      <c r="J40" s="619" t="s">
        <v>346</v>
      </c>
      <c r="K40" s="656" t="s">
        <v>347</v>
      </c>
      <c r="L40" s="619" t="s">
        <v>534</v>
      </c>
      <c r="M40" s="656" t="s">
        <v>949</v>
      </c>
      <c r="N40" s="656" t="s">
        <v>961</v>
      </c>
      <c r="O40" s="656" t="s">
        <v>964</v>
      </c>
      <c r="P40" s="656" t="s">
        <v>982</v>
      </c>
    </row>
    <row r="41" spans="1:40" ht="25.5">
      <c r="A41" s="622"/>
      <c r="B41" s="580"/>
      <c r="E41" s="1137" t="s">
        <v>2063</v>
      </c>
      <c r="F41" s="1137" t="s">
        <v>2064</v>
      </c>
      <c r="G41" s="1137" t="s">
        <v>2065</v>
      </c>
      <c r="H41" s="1138" t="s">
        <v>1947</v>
      </c>
      <c r="I41" s="1138" t="s">
        <v>1947</v>
      </c>
      <c r="J41" s="1139" t="s">
        <v>1947</v>
      </c>
      <c r="K41" s="1134" t="s">
        <v>1948</v>
      </c>
      <c r="L41" s="1135" t="s">
        <v>2066</v>
      </c>
      <c r="M41" s="1136" t="s">
        <v>2413</v>
      </c>
      <c r="N41" s="1140" t="s">
        <v>1896</v>
      </c>
      <c r="O41" s="1140"/>
      <c r="P41" s="1136" t="s">
        <v>2067</v>
      </c>
    </row>
    <row r="42" spans="1:40" ht="13">
      <c r="A42" s="622"/>
      <c r="C42" s="622" t="str">
        <f>C10</f>
        <v>Forecast</v>
      </c>
      <c r="E42" s="622" t="str">
        <f>E10</f>
        <v>Unloaded</v>
      </c>
      <c r="F42" s="622"/>
      <c r="G42" s="622"/>
      <c r="I42" s="623" t="str">
        <f>I10</f>
        <v>AFUDC</v>
      </c>
      <c r="J42" s="623"/>
      <c r="K42" s="623"/>
      <c r="L42" s="623"/>
      <c r="M42" s="623"/>
      <c r="N42" s="623"/>
      <c r="O42" s="622" t="str">
        <f t="shared" ref="O42:P44" si="54">O10</f>
        <v>Unloaded</v>
      </c>
      <c r="P42" s="622" t="str">
        <f t="shared" si="54"/>
        <v>Loaded</v>
      </c>
    </row>
    <row r="43" spans="1:40" ht="13">
      <c r="A43" s="622"/>
      <c r="B43" s="580"/>
      <c r="C43" s="622" t="str">
        <f>C11</f>
        <v>Period</v>
      </c>
      <c r="E43" s="622" t="str">
        <f>E11</f>
        <v>Total</v>
      </c>
      <c r="F43" s="622" t="str">
        <f t="shared" ref="F43:H44" si="55">F11</f>
        <v>Prior Period</v>
      </c>
      <c r="G43" s="623" t="str">
        <f t="shared" si="55"/>
        <v>Over Heads</v>
      </c>
      <c r="H43" s="623" t="str">
        <f t="shared" si="55"/>
        <v xml:space="preserve">Cost of </v>
      </c>
      <c r="I43" s="623" t="str">
        <f>I11</f>
        <v>Eligible Plant</v>
      </c>
      <c r="J43" s="623"/>
      <c r="K43" s="623" t="str">
        <f>K11</f>
        <v>Incremental</v>
      </c>
      <c r="L43" s="623" t="str">
        <f>L11</f>
        <v>Depreciation</v>
      </c>
      <c r="M43" s="623"/>
      <c r="N43" s="623"/>
      <c r="O43" s="623" t="str">
        <f t="shared" si="54"/>
        <v>Low Voltage</v>
      </c>
      <c r="P43" s="623" t="str">
        <f t="shared" si="54"/>
        <v>Low Voltage</v>
      </c>
    </row>
    <row r="44" spans="1:40" ht="13">
      <c r="A44" s="624" t="s">
        <v>329</v>
      </c>
      <c r="C44" s="607" t="str">
        <f t="shared" ref="C44:D44" si="56">C12</f>
        <v>Month</v>
      </c>
      <c r="D44" s="607" t="str">
        <f t="shared" si="56"/>
        <v>Year</v>
      </c>
      <c r="E44" s="619" t="str">
        <f>E12</f>
        <v>Plant Adds</v>
      </c>
      <c r="F44" s="619" t="str">
        <f t="shared" si="55"/>
        <v>CWIP Closed</v>
      </c>
      <c r="G44" s="625" t="str">
        <f t="shared" si="55"/>
        <v>Closed to PIS</v>
      </c>
      <c r="H44" s="625" t="str">
        <f t="shared" si="55"/>
        <v>Removal</v>
      </c>
      <c r="I44" s="625" t="str">
        <f>I12</f>
        <v>Additions</v>
      </c>
      <c r="J44" s="625" t="str">
        <f>J12</f>
        <v>AFUDC</v>
      </c>
      <c r="K44" s="625" t="str">
        <f>K12</f>
        <v>Gross Plant</v>
      </c>
      <c r="L44" s="625" t="str">
        <f>L12</f>
        <v>Accrual</v>
      </c>
      <c r="M44" s="625" t="str">
        <f>M12</f>
        <v>Reserve</v>
      </c>
      <c r="N44" s="625" t="str">
        <f>N12</f>
        <v>Net Plant</v>
      </c>
      <c r="O44" s="625" t="str">
        <f t="shared" si="54"/>
        <v>Additions</v>
      </c>
      <c r="P44" s="625" t="str">
        <f t="shared" si="54"/>
        <v>Additions</v>
      </c>
      <c r="T44" s="625"/>
      <c r="U44" s="625"/>
      <c r="V44" s="625"/>
      <c r="W44" s="625"/>
      <c r="X44" s="625"/>
      <c r="Y44" s="625"/>
    </row>
    <row r="45" spans="1:40" ht="13">
      <c r="A45" s="622">
        <f>A37+1</f>
        <v>26</v>
      </c>
      <c r="C45" s="608" t="s">
        <v>181</v>
      </c>
      <c r="D45" s="837">
        <v>2021</v>
      </c>
      <c r="E45" s="632">
        <f>'10-CWIP'!G55</f>
        <v>13625514.4318</v>
      </c>
      <c r="F45" s="632">
        <f>'10-CWIP'!H55</f>
        <v>13498671.640000001</v>
      </c>
      <c r="G45" s="632">
        <f>'10-CWIP'!I55</f>
        <v>9513.2093850000529</v>
      </c>
      <c r="H45" s="657">
        <v>0</v>
      </c>
      <c r="I45" s="626">
        <v>0</v>
      </c>
      <c r="J45" s="658">
        <v>0</v>
      </c>
      <c r="K45" s="1125">
        <f>0+E45+G45</f>
        <v>13635027.641185001</v>
      </c>
      <c r="L45" s="578">
        <v>0</v>
      </c>
      <c r="M45" s="578">
        <f>L45- H45</f>
        <v>0</v>
      </c>
      <c r="N45" s="578">
        <f>K45-M45</f>
        <v>13635027.641185001</v>
      </c>
      <c r="O45" s="659">
        <v>0</v>
      </c>
      <c r="P45" s="658">
        <f t="shared" ref="P45:P68" si="57">O45*(1-$E$107)*(1+$E$103+$E$111)</f>
        <v>0</v>
      </c>
      <c r="S45" s="578"/>
      <c r="T45" s="631"/>
      <c r="U45" s="628"/>
      <c r="V45" s="475"/>
      <c r="W45" s="631"/>
      <c r="X45" s="628"/>
      <c r="Y45" s="475"/>
    </row>
    <row r="46" spans="1:40" ht="13">
      <c r="A46" s="622">
        <f t="shared" ref="A46:A99" si="58">A45+1</f>
        <v>27</v>
      </c>
      <c r="C46" s="611" t="s">
        <v>182</v>
      </c>
      <c r="D46" s="837">
        <v>2021</v>
      </c>
      <c r="E46" s="632">
        <f>'10-CWIP'!G56</f>
        <v>-380130.16160000011</v>
      </c>
      <c r="F46" s="632">
        <f>'10-CWIP'!H56</f>
        <v>0</v>
      </c>
      <c r="G46" s="632">
        <f>'10-CWIP'!I56</f>
        <v>-28509.762120000007</v>
      </c>
      <c r="H46" s="657">
        <v>0</v>
      </c>
      <c r="I46" s="626">
        <v>0</v>
      </c>
      <c r="J46" s="658">
        <v>0</v>
      </c>
      <c r="K46" s="578">
        <f>K45+E46+G46</f>
        <v>13226387.717465002</v>
      </c>
      <c r="L46" s="578">
        <f t="shared" ref="L46:L68" si="59">K45*$E$133/12</f>
        <v>28943.922035159496</v>
      </c>
      <c r="M46" s="578">
        <f>(M45+L46)-H46</f>
        <v>28943.922035159496</v>
      </c>
      <c r="N46" s="578">
        <f t="shared" ref="N46:N68" si="60">K46-M46</f>
        <v>13197443.795429843</v>
      </c>
      <c r="O46" s="659">
        <v>0</v>
      </c>
      <c r="P46" s="658">
        <f t="shared" si="57"/>
        <v>0</v>
      </c>
      <c r="S46" s="578"/>
      <c r="T46" s="631"/>
      <c r="U46" s="628"/>
      <c r="V46" s="475"/>
      <c r="W46" s="631"/>
      <c r="X46" s="628"/>
      <c r="Y46" s="475"/>
    </row>
    <row r="47" spans="1:40" ht="13">
      <c r="A47" s="622">
        <f t="shared" si="58"/>
        <v>28</v>
      </c>
      <c r="C47" s="611" t="s">
        <v>195</v>
      </c>
      <c r="D47" s="837">
        <v>2021</v>
      </c>
      <c r="E47" s="632">
        <f>'10-CWIP'!G57</f>
        <v>173982.38939999999</v>
      </c>
      <c r="F47" s="632">
        <f>'10-CWIP'!H57</f>
        <v>0</v>
      </c>
      <c r="G47" s="632">
        <f>'10-CWIP'!I57</f>
        <v>13048.679204999999</v>
      </c>
      <c r="H47" s="657">
        <v>0</v>
      </c>
      <c r="I47" s="626">
        <v>0</v>
      </c>
      <c r="J47" s="658">
        <v>0</v>
      </c>
      <c r="K47" s="578">
        <f t="shared" ref="K47:K68" si="61">K46+E47+G47</f>
        <v>13413418.786070002</v>
      </c>
      <c r="L47" s="578">
        <f t="shared" si="59"/>
        <v>28076.476628823875</v>
      </c>
      <c r="M47" s="578">
        <f>(M46+L47)-H47</f>
        <v>57020.398663983375</v>
      </c>
      <c r="N47" s="578">
        <f t="shared" si="60"/>
        <v>13356398.387406019</v>
      </c>
      <c r="O47" s="659">
        <v>0</v>
      </c>
      <c r="P47" s="658">
        <f t="shared" si="57"/>
        <v>0</v>
      </c>
      <c r="S47" s="578"/>
      <c r="T47" s="631"/>
      <c r="U47" s="628"/>
      <c r="V47" s="475"/>
      <c r="W47" s="631"/>
      <c r="X47" s="628"/>
      <c r="Y47" s="475"/>
    </row>
    <row r="48" spans="1:40" ht="13">
      <c r="A48" s="622">
        <f t="shared" si="58"/>
        <v>29</v>
      </c>
      <c r="C48" s="608" t="s">
        <v>183</v>
      </c>
      <c r="D48" s="837">
        <v>2021</v>
      </c>
      <c r="E48" s="632">
        <f>'10-CWIP'!G58</f>
        <v>25406708.900000002</v>
      </c>
      <c r="F48" s="632">
        <f>'10-CWIP'!H58</f>
        <v>22566341.899999999</v>
      </c>
      <c r="G48" s="632">
        <f>'10-CWIP'!I58</f>
        <v>213027.52500000029</v>
      </c>
      <c r="H48" s="657">
        <v>0</v>
      </c>
      <c r="I48" s="626">
        <v>0</v>
      </c>
      <c r="J48" s="658">
        <v>0</v>
      </c>
      <c r="K48" s="578">
        <f t="shared" si="61"/>
        <v>39033155.211070001</v>
      </c>
      <c r="L48" s="578">
        <f t="shared" si="59"/>
        <v>28473.49912194331</v>
      </c>
      <c r="M48" s="578">
        <f t="shared" ref="M48:M67" si="62">(M47+L48)-H48</f>
        <v>85493.897785926689</v>
      </c>
      <c r="N48" s="578">
        <f t="shared" si="60"/>
        <v>38947661.313284077</v>
      </c>
      <c r="O48" s="659">
        <v>0</v>
      </c>
      <c r="P48" s="658">
        <f t="shared" si="57"/>
        <v>0</v>
      </c>
      <c r="S48" s="578"/>
      <c r="T48" s="631"/>
      <c r="U48" s="628"/>
      <c r="V48" s="475"/>
      <c r="W48" s="631"/>
      <c r="X48" s="628"/>
      <c r="Y48" s="475"/>
    </row>
    <row r="49" spans="1:25" ht="13">
      <c r="A49" s="622">
        <f t="shared" si="58"/>
        <v>30</v>
      </c>
      <c r="C49" s="611" t="s">
        <v>184</v>
      </c>
      <c r="D49" s="837">
        <v>2021</v>
      </c>
      <c r="E49" s="632">
        <f>'10-CWIP'!G59</f>
        <v>653917789.59999979</v>
      </c>
      <c r="F49" s="632">
        <f>'10-CWIP'!H59</f>
        <v>628718265.59999979</v>
      </c>
      <c r="G49" s="632">
        <f>'10-CWIP'!I59</f>
        <v>1889964.2999999998</v>
      </c>
      <c r="H49" s="657">
        <v>0</v>
      </c>
      <c r="I49" s="626">
        <v>0</v>
      </c>
      <c r="J49" s="658">
        <v>0</v>
      </c>
      <c r="K49" s="578">
        <f t="shared" si="61"/>
        <v>694840909.11106968</v>
      </c>
      <c r="L49" s="578">
        <f t="shared" si="59"/>
        <v>82858.108611601085</v>
      </c>
      <c r="M49" s="578">
        <f t="shared" si="62"/>
        <v>168352.00639752776</v>
      </c>
      <c r="N49" s="578">
        <f t="shared" si="60"/>
        <v>694672557.10467219</v>
      </c>
      <c r="O49" s="659">
        <v>0</v>
      </c>
      <c r="P49" s="658">
        <f t="shared" si="57"/>
        <v>0</v>
      </c>
      <c r="S49" s="578"/>
      <c r="T49" s="631"/>
      <c r="U49" s="628"/>
      <c r="V49" s="475"/>
      <c r="W49" s="631"/>
      <c r="X49" s="628"/>
      <c r="Y49" s="475"/>
    </row>
    <row r="50" spans="1:25" ht="13">
      <c r="A50" s="622">
        <f t="shared" si="58"/>
        <v>31</v>
      </c>
      <c r="C50" s="611" t="s">
        <v>185</v>
      </c>
      <c r="D50" s="837">
        <v>2021</v>
      </c>
      <c r="E50" s="632">
        <f>'10-CWIP'!G60</f>
        <v>6727999.9400000004</v>
      </c>
      <c r="F50" s="632">
        <f>'10-CWIP'!H60</f>
        <v>159289.94</v>
      </c>
      <c r="G50" s="632">
        <f>'10-CWIP'!I60</f>
        <v>492653.25</v>
      </c>
      <c r="H50" s="657">
        <v>0</v>
      </c>
      <c r="I50" s="626">
        <v>0</v>
      </c>
      <c r="J50" s="658">
        <v>0</v>
      </c>
      <c r="K50" s="578">
        <f t="shared" si="61"/>
        <v>702061562.30106974</v>
      </c>
      <c r="L50" s="578">
        <f t="shared" si="59"/>
        <v>1474982.0557314465</v>
      </c>
      <c r="M50" s="578">
        <f t="shared" si="62"/>
        <v>1643334.0621289741</v>
      </c>
      <c r="N50" s="578">
        <f t="shared" si="60"/>
        <v>700418228.23894072</v>
      </c>
      <c r="O50" s="659">
        <v>0</v>
      </c>
      <c r="P50" s="658">
        <f t="shared" si="57"/>
        <v>0</v>
      </c>
      <c r="S50" s="578"/>
      <c r="T50" s="631"/>
      <c r="U50" s="628"/>
      <c r="V50" s="475"/>
      <c r="W50" s="631"/>
      <c r="X50" s="628"/>
      <c r="Y50" s="475"/>
    </row>
    <row r="51" spans="1:25" ht="13">
      <c r="A51" s="622">
        <f t="shared" si="58"/>
        <v>32</v>
      </c>
      <c r="C51" s="608" t="s">
        <v>186</v>
      </c>
      <c r="D51" s="837">
        <v>2021</v>
      </c>
      <c r="E51" s="632">
        <f>'10-CWIP'!G61</f>
        <v>9490707.7799999993</v>
      </c>
      <c r="F51" s="632">
        <f>'10-CWIP'!H61</f>
        <v>6279995.7800000003</v>
      </c>
      <c r="G51" s="632">
        <f>'10-CWIP'!I61</f>
        <v>240803.39999999991</v>
      </c>
      <c r="H51" s="657">
        <v>0</v>
      </c>
      <c r="I51" s="626">
        <v>0</v>
      </c>
      <c r="J51" s="658">
        <v>0</v>
      </c>
      <c r="K51" s="578">
        <f t="shared" si="61"/>
        <v>711793073.48106968</v>
      </c>
      <c r="L51" s="578">
        <f t="shared" si="59"/>
        <v>1490309.7857862806</v>
      </c>
      <c r="M51" s="578">
        <f t="shared" si="62"/>
        <v>3133643.8479152545</v>
      </c>
      <c r="N51" s="578">
        <f t="shared" si="60"/>
        <v>708659429.63315439</v>
      </c>
      <c r="O51" s="659">
        <v>0</v>
      </c>
      <c r="P51" s="658">
        <f t="shared" si="57"/>
        <v>0</v>
      </c>
      <c r="S51" s="578"/>
      <c r="T51" s="631"/>
      <c r="U51" s="628"/>
      <c r="V51" s="475"/>
      <c r="W51" s="631"/>
      <c r="X51" s="628"/>
      <c r="Y51" s="475"/>
    </row>
    <row r="52" spans="1:25" ht="13">
      <c r="A52" s="622">
        <f t="shared" si="58"/>
        <v>33</v>
      </c>
      <c r="C52" s="611" t="s">
        <v>187</v>
      </c>
      <c r="D52" s="837">
        <v>2021</v>
      </c>
      <c r="E52" s="632">
        <f>'10-CWIP'!G62</f>
        <v>2490180</v>
      </c>
      <c r="F52" s="632">
        <f>'10-CWIP'!H62</f>
        <v>0</v>
      </c>
      <c r="G52" s="632">
        <f>'10-CWIP'!I62</f>
        <v>186763.5</v>
      </c>
      <c r="H52" s="657">
        <v>0</v>
      </c>
      <c r="I52" s="626">
        <v>0</v>
      </c>
      <c r="J52" s="658">
        <v>0</v>
      </c>
      <c r="K52" s="578">
        <f t="shared" si="61"/>
        <v>714470016.98106968</v>
      </c>
      <c r="L52" s="578">
        <f t="shared" si="59"/>
        <v>1510967.4704122667</v>
      </c>
      <c r="M52" s="578">
        <f t="shared" si="62"/>
        <v>4644611.318327521</v>
      </c>
      <c r="N52" s="578">
        <f t="shared" si="60"/>
        <v>709825405.66274214</v>
      </c>
      <c r="O52" s="659">
        <v>0</v>
      </c>
      <c r="P52" s="658">
        <f t="shared" si="57"/>
        <v>0</v>
      </c>
      <c r="S52" s="578"/>
      <c r="T52" s="631"/>
      <c r="U52" s="628"/>
      <c r="V52" s="475"/>
      <c r="W52" s="631"/>
      <c r="X52" s="628"/>
      <c r="Y52" s="475"/>
    </row>
    <row r="53" spans="1:25" ht="13">
      <c r="A53" s="622">
        <f t="shared" si="58"/>
        <v>34</v>
      </c>
      <c r="C53" s="611" t="s">
        <v>188</v>
      </c>
      <c r="D53" s="837">
        <v>2021</v>
      </c>
      <c r="E53" s="632">
        <f>'10-CWIP'!G63</f>
        <v>175102967.69999999</v>
      </c>
      <c r="F53" s="632">
        <f>'10-CWIP'!H63</f>
        <v>122968413.7</v>
      </c>
      <c r="G53" s="632">
        <f>'10-CWIP'!I63</f>
        <v>3910091.5499999989</v>
      </c>
      <c r="H53" s="657">
        <v>0</v>
      </c>
      <c r="I53" s="626">
        <v>0</v>
      </c>
      <c r="J53" s="658">
        <v>0</v>
      </c>
      <c r="K53" s="578">
        <f t="shared" si="61"/>
        <v>893483076.23106956</v>
      </c>
      <c r="L53" s="578">
        <f t="shared" si="59"/>
        <v>1516649.9850353021</v>
      </c>
      <c r="M53" s="578">
        <f t="shared" si="62"/>
        <v>6161261.3033628231</v>
      </c>
      <c r="N53" s="578">
        <f t="shared" si="60"/>
        <v>887321814.92770672</v>
      </c>
      <c r="O53" s="659">
        <v>0</v>
      </c>
      <c r="P53" s="658">
        <f t="shared" si="57"/>
        <v>0</v>
      </c>
      <c r="S53" s="578"/>
      <c r="T53" s="631"/>
      <c r="U53" s="628"/>
      <c r="V53" s="475"/>
      <c r="W53" s="631"/>
      <c r="X53" s="628"/>
      <c r="Y53" s="475"/>
    </row>
    <row r="54" spans="1:25" ht="13">
      <c r="A54" s="622">
        <f t="shared" si="58"/>
        <v>35</v>
      </c>
      <c r="C54" s="608" t="s">
        <v>189</v>
      </c>
      <c r="D54" s="837">
        <v>2021</v>
      </c>
      <c r="E54" s="632">
        <f>'10-CWIP'!G64</f>
        <v>8150882</v>
      </c>
      <c r="F54" s="632">
        <f>'10-CWIP'!H64</f>
        <v>0</v>
      </c>
      <c r="G54" s="632">
        <f>'10-CWIP'!I64</f>
        <v>611316.14999999991</v>
      </c>
      <c r="H54" s="657">
        <v>0</v>
      </c>
      <c r="I54" s="626">
        <v>0</v>
      </c>
      <c r="J54" s="658">
        <v>0</v>
      </c>
      <c r="K54" s="578">
        <f t="shared" si="61"/>
        <v>902245274.38106954</v>
      </c>
      <c r="L54" s="578">
        <f t="shared" si="59"/>
        <v>1896652.1505283148</v>
      </c>
      <c r="M54" s="578">
        <f t="shared" si="62"/>
        <v>8057913.4538911376</v>
      </c>
      <c r="N54" s="578">
        <f t="shared" si="60"/>
        <v>894187360.92717838</v>
      </c>
      <c r="O54" s="659">
        <v>0</v>
      </c>
      <c r="P54" s="658">
        <f t="shared" si="57"/>
        <v>0</v>
      </c>
      <c r="S54" s="578"/>
      <c r="T54" s="631"/>
      <c r="U54" s="628"/>
      <c r="V54" s="475"/>
      <c r="W54" s="631"/>
      <c r="X54" s="628"/>
      <c r="Y54" s="475"/>
    </row>
    <row r="55" spans="1:25" ht="13">
      <c r="A55" s="622">
        <f t="shared" si="58"/>
        <v>36</v>
      </c>
      <c r="C55" s="608" t="s">
        <v>190</v>
      </c>
      <c r="D55" s="837">
        <v>2021</v>
      </c>
      <c r="E55" s="632">
        <f>'10-CWIP'!G65</f>
        <v>38661230.410000004</v>
      </c>
      <c r="F55" s="632">
        <f>'10-CWIP'!H65</f>
        <v>26135813.41</v>
      </c>
      <c r="G55" s="632">
        <f>'10-CWIP'!I65</f>
        <v>939406.27500000037</v>
      </c>
      <c r="H55" s="657">
        <v>0</v>
      </c>
      <c r="I55" s="626">
        <v>0</v>
      </c>
      <c r="J55" s="658">
        <v>0</v>
      </c>
      <c r="K55" s="578">
        <f t="shared" si="61"/>
        <v>941845911.06606948</v>
      </c>
      <c r="L55" s="578">
        <f t="shared" si="59"/>
        <v>1915252.2140400435</v>
      </c>
      <c r="M55" s="578">
        <f t="shared" si="62"/>
        <v>9973165.6679311804</v>
      </c>
      <c r="N55" s="578">
        <f t="shared" si="60"/>
        <v>931872745.39813828</v>
      </c>
      <c r="O55" s="659">
        <v>0</v>
      </c>
      <c r="P55" s="658">
        <f>O55*(1-$E$107)*(1+$E$103+$E$111)</f>
        <v>0</v>
      </c>
      <c r="S55" s="578"/>
      <c r="T55" s="631"/>
      <c r="U55" s="628"/>
      <c r="V55" s="475"/>
      <c r="W55" s="631"/>
      <c r="X55" s="628"/>
      <c r="Y55" s="475"/>
    </row>
    <row r="56" spans="1:25" ht="13">
      <c r="A56" s="622">
        <f t="shared" si="58"/>
        <v>37</v>
      </c>
      <c r="C56" s="608" t="s">
        <v>180</v>
      </c>
      <c r="D56" s="837">
        <v>2021</v>
      </c>
      <c r="E56" s="632">
        <f>'10-CWIP'!G66</f>
        <v>40311066.800000004</v>
      </c>
      <c r="F56" s="632">
        <f>'10-CWIP'!H66</f>
        <v>13866924.800000001</v>
      </c>
      <c r="G56" s="632">
        <f>'10-CWIP'!I66</f>
        <v>1983310.6500000004</v>
      </c>
      <c r="H56" s="657">
        <v>0</v>
      </c>
      <c r="I56" s="626">
        <v>0</v>
      </c>
      <c r="J56" s="658">
        <v>0</v>
      </c>
      <c r="K56" s="578">
        <f t="shared" si="61"/>
        <v>984140288.51606941</v>
      </c>
      <c r="L56" s="578">
        <f t="shared" si="59"/>
        <v>1999314.9509054378</v>
      </c>
      <c r="M56" s="578">
        <f t="shared" si="62"/>
        <v>11972480.618836619</v>
      </c>
      <c r="N56" s="578">
        <f t="shared" si="60"/>
        <v>972167807.89723277</v>
      </c>
      <c r="O56" s="659">
        <v>0</v>
      </c>
      <c r="P56" s="658">
        <f t="shared" si="57"/>
        <v>0</v>
      </c>
      <c r="S56" s="578"/>
      <c r="T56" s="631"/>
      <c r="U56" s="628"/>
      <c r="V56" s="475"/>
      <c r="W56" s="631"/>
      <c r="X56" s="628"/>
      <c r="Y56" s="475"/>
    </row>
    <row r="57" spans="1:25" ht="13">
      <c r="A57" s="622">
        <f t="shared" si="58"/>
        <v>38</v>
      </c>
      <c r="C57" s="608" t="s">
        <v>181</v>
      </c>
      <c r="D57" s="837">
        <v>2022</v>
      </c>
      <c r="E57" s="632">
        <f>'10-CWIP'!G67</f>
        <v>33222809.440000001</v>
      </c>
      <c r="F57" s="632">
        <f>'10-CWIP'!H67</f>
        <v>21197379.440000001</v>
      </c>
      <c r="G57" s="632">
        <f>'10-CWIP'!I67</f>
        <v>901907.25</v>
      </c>
      <c r="H57" s="657">
        <v>0</v>
      </c>
      <c r="I57" s="626">
        <v>0</v>
      </c>
      <c r="J57" s="658">
        <v>0</v>
      </c>
      <c r="K57" s="578">
        <f t="shared" si="61"/>
        <v>1018265005.2060695</v>
      </c>
      <c r="L57" s="578">
        <f t="shared" si="59"/>
        <v>2089095.8589940127</v>
      </c>
      <c r="M57" s="578">
        <f t="shared" si="62"/>
        <v>14061576.477830632</v>
      </c>
      <c r="N57" s="578">
        <f t="shared" si="60"/>
        <v>1004203428.7282388</v>
      </c>
      <c r="O57" s="659">
        <v>0</v>
      </c>
      <c r="P57" s="658">
        <f t="shared" si="57"/>
        <v>0</v>
      </c>
      <c r="S57" s="578"/>
      <c r="T57" s="631"/>
      <c r="U57" s="628"/>
      <c r="V57" s="475"/>
      <c r="W57" s="631"/>
      <c r="X57" s="628"/>
      <c r="Y57" s="475"/>
    </row>
    <row r="58" spans="1:25" ht="13">
      <c r="A58" s="622">
        <f t="shared" si="58"/>
        <v>39</v>
      </c>
      <c r="C58" s="611" t="s">
        <v>182</v>
      </c>
      <c r="D58" s="837">
        <v>2022</v>
      </c>
      <c r="E58" s="632">
        <f>'10-CWIP'!G68</f>
        <v>6667430</v>
      </c>
      <c r="F58" s="632">
        <f>'10-CWIP'!H68</f>
        <v>0</v>
      </c>
      <c r="G58" s="632">
        <f>'10-CWIP'!I68</f>
        <v>500057.25</v>
      </c>
      <c r="H58" s="657">
        <v>0</v>
      </c>
      <c r="I58" s="626">
        <v>0</v>
      </c>
      <c r="J58" s="658">
        <v>0</v>
      </c>
      <c r="K58" s="578">
        <f t="shared" si="61"/>
        <v>1025432492.4560695</v>
      </c>
      <c r="L58" s="578">
        <f t="shared" si="59"/>
        <v>2161534.5195775735</v>
      </c>
      <c r="M58" s="578">
        <f t="shared" si="62"/>
        <v>16223110.997408206</v>
      </c>
      <c r="N58" s="578">
        <f t="shared" si="60"/>
        <v>1009209381.4586613</v>
      </c>
      <c r="O58" s="659">
        <v>0</v>
      </c>
      <c r="P58" s="658">
        <f t="shared" si="57"/>
        <v>0</v>
      </c>
      <c r="S58" s="578"/>
      <c r="T58" s="631"/>
      <c r="U58" s="628"/>
      <c r="V58" s="475"/>
      <c r="W58" s="631"/>
      <c r="X58" s="628"/>
      <c r="Y58" s="475"/>
    </row>
    <row r="59" spans="1:25" ht="13">
      <c r="A59" s="622">
        <f t="shared" si="58"/>
        <v>40</v>
      </c>
      <c r="C59" s="611" t="s">
        <v>195</v>
      </c>
      <c r="D59" s="837">
        <v>2022</v>
      </c>
      <c r="E59" s="632">
        <f>'10-CWIP'!G69</f>
        <v>4942727</v>
      </c>
      <c r="F59" s="632">
        <f>'10-CWIP'!H69</f>
        <v>0</v>
      </c>
      <c r="G59" s="632">
        <f>'10-CWIP'!I69</f>
        <v>370704.52500000002</v>
      </c>
      <c r="H59" s="657">
        <v>0</v>
      </c>
      <c r="I59" s="626">
        <v>0</v>
      </c>
      <c r="J59" s="658">
        <v>0</v>
      </c>
      <c r="K59" s="578">
        <f t="shared" si="61"/>
        <v>1030745923.9810694</v>
      </c>
      <c r="L59" s="578">
        <f t="shared" si="59"/>
        <v>2176749.3909816747</v>
      </c>
      <c r="M59" s="578">
        <f t="shared" si="62"/>
        <v>18399860.388389882</v>
      </c>
      <c r="N59" s="578">
        <f t="shared" si="60"/>
        <v>1012346063.5926796</v>
      </c>
      <c r="O59" s="659">
        <v>0</v>
      </c>
      <c r="P59" s="658">
        <f t="shared" si="57"/>
        <v>0</v>
      </c>
      <c r="S59" s="578"/>
      <c r="T59" s="631"/>
      <c r="U59" s="628"/>
      <c r="V59" s="475"/>
      <c r="W59" s="631"/>
      <c r="X59" s="628"/>
      <c r="Y59" s="475"/>
    </row>
    <row r="60" spans="1:25" ht="13">
      <c r="A60" s="622">
        <f t="shared" si="58"/>
        <v>41</v>
      </c>
      <c r="C60" s="608" t="s">
        <v>183</v>
      </c>
      <c r="D60" s="837">
        <v>2022</v>
      </c>
      <c r="E60" s="632">
        <f>'10-CWIP'!G70</f>
        <v>5059930</v>
      </c>
      <c r="F60" s="632">
        <f>'10-CWIP'!H70</f>
        <v>0</v>
      </c>
      <c r="G60" s="632">
        <f>'10-CWIP'!I70</f>
        <v>379494.75</v>
      </c>
      <c r="H60" s="657">
        <v>0</v>
      </c>
      <c r="I60" s="626">
        <v>0</v>
      </c>
      <c r="J60" s="658">
        <v>0</v>
      </c>
      <c r="K60" s="578">
        <f t="shared" si="61"/>
        <v>1036185348.7310694</v>
      </c>
      <c r="L60" s="578">
        <f t="shared" si="59"/>
        <v>2188028.5428723707</v>
      </c>
      <c r="M60" s="578">
        <f t="shared" si="62"/>
        <v>20587888.931262251</v>
      </c>
      <c r="N60" s="578">
        <f t="shared" si="60"/>
        <v>1015597459.7998072</v>
      </c>
      <c r="O60" s="659">
        <v>0</v>
      </c>
      <c r="P60" s="658">
        <f t="shared" si="57"/>
        <v>0</v>
      </c>
      <c r="S60" s="578"/>
      <c r="T60" s="631"/>
      <c r="U60" s="628"/>
      <c r="V60" s="475"/>
      <c r="W60" s="631"/>
      <c r="X60" s="628"/>
      <c r="Y60" s="475"/>
    </row>
    <row r="61" spans="1:25" ht="13">
      <c r="A61" s="622">
        <f t="shared" si="58"/>
        <v>42</v>
      </c>
      <c r="C61" s="611" t="s">
        <v>184</v>
      </c>
      <c r="D61" s="837">
        <v>2022</v>
      </c>
      <c r="E61" s="632">
        <f>'10-CWIP'!G71</f>
        <v>33376207.760000002</v>
      </c>
      <c r="F61" s="632">
        <f>'10-CWIP'!H71</f>
        <v>22955277.760000002</v>
      </c>
      <c r="G61" s="632">
        <f>'10-CWIP'!I71</f>
        <v>781569.75</v>
      </c>
      <c r="H61" s="657">
        <v>0</v>
      </c>
      <c r="I61" s="626">
        <v>0</v>
      </c>
      <c r="J61" s="658">
        <v>0</v>
      </c>
      <c r="K61" s="578">
        <f t="shared" si="61"/>
        <v>1070343126.2410694</v>
      </c>
      <c r="L61" s="578">
        <f t="shared" si="59"/>
        <v>2199575.1484255982</v>
      </c>
      <c r="M61" s="578">
        <f t="shared" si="62"/>
        <v>22787464.079687849</v>
      </c>
      <c r="N61" s="578">
        <f t="shared" si="60"/>
        <v>1047555662.1613816</v>
      </c>
      <c r="O61" s="659">
        <v>0</v>
      </c>
      <c r="P61" s="658">
        <f t="shared" si="57"/>
        <v>0</v>
      </c>
      <c r="S61" s="578"/>
      <c r="T61" s="631"/>
      <c r="U61" s="628"/>
      <c r="V61" s="475"/>
      <c r="W61" s="631"/>
      <c r="X61" s="628"/>
      <c r="Y61" s="475"/>
    </row>
    <row r="62" spans="1:25" ht="13">
      <c r="A62" s="622">
        <f t="shared" si="58"/>
        <v>43</v>
      </c>
      <c r="C62" s="611" t="s">
        <v>185</v>
      </c>
      <c r="D62" s="837">
        <v>2022</v>
      </c>
      <c r="E62" s="632">
        <f>'10-CWIP'!G72</f>
        <v>36967385.069999993</v>
      </c>
      <c r="F62" s="632">
        <f>'10-CWIP'!H72</f>
        <v>20878455.07</v>
      </c>
      <c r="G62" s="632">
        <f>'10-CWIP'!I72</f>
        <v>1206669.7499999995</v>
      </c>
      <c r="H62" s="657">
        <v>0</v>
      </c>
      <c r="I62" s="626">
        <v>0</v>
      </c>
      <c r="J62" s="658">
        <v>0</v>
      </c>
      <c r="K62" s="578">
        <f t="shared" si="61"/>
        <v>1108517181.0610695</v>
      </c>
      <c r="L62" s="578">
        <f t="shared" si="59"/>
        <v>2272083.989270004</v>
      </c>
      <c r="M62" s="578">
        <f t="shared" si="62"/>
        <v>25059548.068957854</v>
      </c>
      <c r="N62" s="578">
        <f t="shared" si="60"/>
        <v>1083457632.9921117</v>
      </c>
      <c r="O62" s="659">
        <v>0</v>
      </c>
      <c r="P62" s="658">
        <f t="shared" si="57"/>
        <v>0</v>
      </c>
      <c r="S62" s="578"/>
      <c r="T62" s="631"/>
      <c r="U62" s="628"/>
      <c r="V62" s="475"/>
      <c r="W62" s="631"/>
      <c r="X62" s="628"/>
      <c r="Y62" s="475"/>
    </row>
    <row r="63" spans="1:25" ht="13">
      <c r="A63" s="622">
        <f t="shared" si="58"/>
        <v>44</v>
      </c>
      <c r="C63" s="608" t="s">
        <v>186</v>
      </c>
      <c r="D63" s="837">
        <v>2022</v>
      </c>
      <c r="E63" s="632">
        <f>'10-CWIP'!G73</f>
        <v>46258652.660000004</v>
      </c>
      <c r="F63" s="632">
        <f>'10-CWIP'!H73</f>
        <v>21750009.66</v>
      </c>
      <c r="G63" s="632">
        <f>'10-CWIP'!I73</f>
        <v>1838148.2250000001</v>
      </c>
      <c r="H63" s="657">
        <v>0</v>
      </c>
      <c r="I63" s="626">
        <v>0</v>
      </c>
      <c r="J63" s="658">
        <v>0</v>
      </c>
      <c r="K63" s="578">
        <f t="shared" si="61"/>
        <v>1156613981.9460695</v>
      </c>
      <c r="L63" s="578">
        <f t="shared" si="59"/>
        <v>2353118.4319973942</v>
      </c>
      <c r="M63" s="578">
        <f t="shared" si="62"/>
        <v>27412666.500955246</v>
      </c>
      <c r="N63" s="578">
        <f t="shared" si="60"/>
        <v>1129201315.4451141</v>
      </c>
      <c r="O63" s="659">
        <v>0</v>
      </c>
      <c r="P63" s="658">
        <f t="shared" si="57"/>
        <v>0</v>
      </c>
      <c r="S63" s="578"/>
      <c r="T63" s="631"/>
      <c r="U63" s="628"/>
      <c r="V63" s="475"/>
      <c r="W63" s="631"/>
      <c r="X63" s="628"/>
      <c r="Y63" s="475"/>
    </row>
    <row r="64" spans="1:25" ht="13">
      <c r="A64" s="622">
        <f t="shared" si="58"/>
        <v>45</v>
      </c>
      <c r="C64" s="611" t="s">
        <v>187</v>
      </c>
      <c r="D64" s="837">
        <v>2022</v>
      </c>
      <c r="E64" s="632">
        <f>'10-CWIP'!G74</f>
        <v>5258959</v>
      </c>
      <c r="F64" s="632">
        <f>'10-CWIP'!H74</f>
        <v>0</v>
      </c>
      <c r="G64" s="632">
        <f>'10-CWIP'!I74</f>
        <v>394421.92499999999</v>
      </c>
      <c r="H64" s="657">
        <v>0</v>
      </c>
      <c r="I64" s="626">
        <v>0</v>
      </c>
      <c r="J64" s="658">
        <v>0</v>
      </c>
      <c r="K64" s="578">
        <f t="shared" si="61"/>
        <v>1162267362.8710694</v>
      </c>
      <c r="L64" s="578">
        <f t="shared" si="59"/>
        <v>2455216.5055466639</v>
      </c>
      <c r="M64" s="578">
        <f t="shared" si="62"/>
        <v>29867883.006501909</v>
      </c>
      <c r="N64" s="578">
        <f t="shared" si="60"/>
        <v>1132399479.8645675</v>
      </c>
      <c r="O64" s="659">
        <v>0</v>
      </c>
      <c r="P64" s="658">
        <f t="shared" si="57"/>
        <v>0</v>
      </c>
      <c r="S64" s="578"/>
      <c r="T64" s="631"/>
      <c r="U64" s="628"/>
      <c r="V64" s="475"/>
      <c r="W64" s="631"/>
      <c r="X64" s="628"/>
      <c r="Y64" s="475"/>
    </row>
    <row r="65" spans="1:25" ht="13">
      <c r="A65" s="622">
        <f t="shared" si="58"/>
        <v>46</v>
      </c>
      <c r="C65" s="611" t="s">
        <v>188</v>
      </c>
      <c r="D65" s="837">
        <v>2022</v>
      </c>
      <c r="E65" s="632">
        <f>'10-CWIP'!G75</f>
        <v>4239394</v>
      </c>
      <c r="F65" s="632">
        <f>'10-CWIP'!H75</f>
        <v>0</v>
      </c>
      <c r="G65" s="632">
        <f>'10-CWIP'!I75</f>
        <v>317954.55</v>
      </c>
      <c r="H65" s="657">
        <v>0</v>
      </c>
      <c r="I65" s="626">
        <v>0</v>
      </c>
      <c r="J65" s="658">
        <v>0</v>
      </c>
      <c r="K65" s="578">
        <f t="shared" si="61"/>
        <v>1166824711.4210694</v>
      </c>
      <c r="L65" s="578">
        <f t="shared" si="59"/>
        <v>2467217.2891926025</v>
      </c>
      <c r="M65" s="578">
        <f t="shared" si="62"/>
        <v>32335100.295694511</v>
      </c>
      <c r="N65" s="578">
        <f t="shared" si="60"/>
        <v>1134489611.1253748</v>
      </c>
      <c r="O65" s="659">
        <v>0</v>
      </c>
      <c r="P65" s="658">
        <f t="shared" si="57"/>
        <v>0</v>
      </c>
      <c r="S65" s="578"/>
      <c r="T65" s="631"/>
      <c r="U65" s="628"/>
      <c r="V65" s="475"/>
      <c r="W65" s="631"/>
      <c r="X65" s="628"/>
      <c r="Y65" s="475"/>
    </row>
    <row r="66" spans="1:25" ht="13">
      <c r="A66" s="623">
        <f t="shared" si="58"/>
        <v>47</v>
      </c>
      <c r="C66" s="611" t="s">
        <v>191</v>
      </c>
      <c r="D66" s="837">
        <v>2022</v>
      </c>
      <c r="E66" s="632">
        <f>'10-CWIP'!G76</f>
        <v>2981680</v>
      </c>
      <c r="F66" s="632">
        <f>'10-CWIP'!H76</f>
        <v>0</v>
      </c>
      <c r="G66" s="632">
        <f>'10-CWIP'!I76</f>
        <v>223626</v>
      </c>
      <c r="H66" s="657">
        <v>0</v>
      </c>
      <c r="I66" s="626">
        <v>0</v>
      </c>
      <c r="J66" s="658">
        <v>0</v>
      </c>
      <c r="K66" s="578">
        <f t="shared" si="61"/>
        <v>1170030017.4210694</v>
      </c>
      <c r="L66" s="578">
        <f t="shared" si="59"/>
        <v>2476891.4566816231</v>
      </c>
      <c r="M66" s="578">
        <f t="shared" si="62"/>
        <v>34811991.752376132</v>
      </c>
      <c r="N66" s="578">
        <f t="shared" si="60"/>
        <v>1135218025.6686933</v>
      </c>
      <c r="O66" s="659">
        <v>0</v>
      </c>
      <c r="P66" s="658">
        <f t="shared" si="57"/>
        <v>0</v>
      </c>
      <c r="S66" s="578"/>
      <c r="T66" s="631"/>
      <c r="U66" s="628"/>
      <c r="V66" s="475"/>
      <c r="W66" s="631"/>
      <c r="X66" s="628"/>
      <c r="Y66" s="475"/>
    </row>
    <row r="67" spans="1:25" ht="13">
      <c r="A67" s="623">
        <f t="shared" si="58"/>
        <v>48</v>
      </c>
      <c r="C67" s="611" t="s">
        <v>190</v>
      </c>
      <c r="D67" s="837">
        <v>2022</v>
      </c>
      <c r="E67" s="632">
        <f>'10-CWIP'!G77</f>
        <v>2846680</v>
      </c>
      <c r="F67" s="632">
        <f>'10-CWIP'!H77</f>
        <v>0</v>
      </c>
      <c r="G67" s="632">
        <f>'10-CWIP'!I77</f>
        <v>213501</v>
      </c>
      <c r="H67" s="657">
        <v>0</v>
      </c>
      <c r="I67" s="626">
        <v>0</v>
      </c>
      <c r="J67" s="658">
        <v>0</v>
      </c>
      <c r="K67" s="578">
        <f t="shared" si="61"/>
        <v>1173090198.4210694</v>
      </c>
      <c r="L67" s="578">
        <f t="shared" si="59"/>
        <v>2483695.5592771028</v>
      </c>
      <c r="M67" s="578">
        <f t="shared" si="62"/>
        <v>37295687.311653234</v>
      </c>
      <c r="N67" s="578">
        <f t="shared" si="60"/>
        <v>1135794511.1094162</v>
      </c>
      <c r="O67" s="659">
        <v>0</v>
      </c>
      <c r="P67" s="658">
        <f t="shared" si="57"/>
        <v>0</v>
      </c>
      <c r="S67" s="578"/>
      <c r="T67" s="631"/>
      <c r="U67" s="628"/>
      <c r="V67" s="475"/>
      <c r="W67" s="631"/>
      <c r="X67" s="628"/>
      <c r="Y67" s="475"/>
    </row>
    <row r="68" spans="1:25" ht="13">
      <c r="A68" s="623">
        <f t="shared" si="58"/>
        <v>49</v>
      </c>
      <c r="C68" s="611" t="s">
        <v>180</v>
      </c>
      <c r="D68" s="837">
        <v>2022</v>
      </c>
      <c r="E68" s="632">
        <f>'10-CWIP'!G78</f>
        <v>71900026.010000005</v>
      </c>
      <c r="F68" s="632">
        <f>'10-CWIP'!H78</f>
        <v>0</v>
      </c>
      <c r="G68" s="632">
        <f>'10-CWIP'!I78</f>
        <v>5392501.9507499998</v>
      </c>
      <c r="H68" s="657">
        <v>0</v>
      </c>
      <c r="I68" s="626">
        <v>0</v>
      </c>
      <c r="J68" s="658">
        <v>0</v>
      </c>
      <c r="K68" s="578">
        <f t="shared" si="61"/>
        <v>1250382726.3818195</v>
      </c>
      <c r="L68" s="578">
        <f t="shared" si="59"/>
        <v>2490191.5960001922</v>
      </c>
      <c r="M68" s="578">
        <f>(M67+L68)-H68</f>
        <v>39785878.907653429</v>
      </c>
      <c r="N68" s="578">
        <f t="shared" si="60"/>
        <v>1210596847.4741662</v>
      </c>
      <c r="O68" s="659">
        <v>0</v>
      </c>
      <c r="P68" s="658">
        <f t="shared" si="57"/>
        <v>0</v>
      </c>
      <c r="S68" s="578"/>
      <c r="T68" s="631"/>
      <c r="U68" s="628"/>
      <c r="V68" s="475"/>
      <c r="W68" s="631"/>
      <c r="X68" s="628"/>
      <c r="Y68" s="475"/>
    </row>
    <row r="69" spans="1:25" ht="13">
      <c r="A69" s="622"/>
      <c r="D69" s="630"/>
      <c r="G69" s="578"/>
      <c r="M69" s="575"/>
      <c r="N69" s="626"/>
    </row>
    <row r="70" spans="1:25" ht="13">
      <c r="A70" s="622"/>
      <c r="B70" s="580" t="s">
        <v>1949</v>
      </c>
      <c r="D70" s="630"/>
      <c r="F70" s="68" t="s">
        <v>2531</v>
      </c>
      <c r="G70" s="1488" t="s">
        <v>2729</v>
      </c>
      <c r="H70" s="617"/>
      <c r="M70" s="575"/>
      <c r="N70" s="626"/>
    </row>
    <row r="71" spans="1:25" ht="13">
      <c r="A71" s="622"/>
      <c r="E71" s="618" t="s">
        <v>358</v>
      </c>
      <c r="F71" s="618" t="s">
        <v>342</v>
      </c>
      <c r="G71" s="618" t="s">
        <v>343</v>
      </c>
      <c r="H71" s="618" t="s">
        <v>344</v>
      </c>
      <c r="I71" s="618" t="s">
        <v>345</v>
      </c>
      <c r="J71" s="618" t="s">
        <v>346</v>
      </c>
      <c r="K71" s="618" t="s">
        <v>347</v>
      </c>
      <c r="L71" s="618" t="s">
        <v>534</v>
      </c>
      <c r="M71" s="618" t="s">
        <v>949</v>
      </c>
      <c r="N71" s="618" t="s">
        <v>961</v>
      </c>
      <c r="O71" s="618" t="s">
        <v>964</v>
      </c>
      <c r="P71" s="618" t="s">
        <v>982</v>
      </c>
    </row>
    <row r="72" spans="1:25" ht="25.5">
      <c r="A72" s="622"/>
      <c r="E72" s="620"/>
      <c r="F72" s="620"/>
      <c r="G72" s="1133" t="str">
        <f>"=(C"&amp;RIGHT(E71)&amp;"-C"&amp;RIGHT(F71)&amp;")*L"&amp;$A$103</f>
        <v>=(C1-C2)*L74</v>
      </c>
      <c r="H72" s="1133" t="str">
        <f>"=(C"&amp;RIGHT(E71)&amp;"-C"&amp;RIGHT(F71)&amp;"+C"&amp;RIGHT(G71)&amp;")*L"&amp;$A$107</f>
        <v>=(C1-C2+C3)*L75</v>
      </c>
      <c r="I72" s="1133" t="str">
        <f>"=C"&amp;RIGHT(E71)&amp;"-C"&amp;RIGHT(F71)&amp;"+C"&amp;RIGHT(G71)&amp;"-C"&amp;RIGHT(H71)</f>
        <v>=C1-C2+C3-C4</v>
      </c>
      <c r="J72" s="1133" t="str">
        <f>"=C"&amp;RIGHT(I71)&amp;"*L"&amp;$A$111</f>
        <v>=C5*L76</v>
      </c>
      <c r="K72" s="1134" t="s">
        <v>1950</v>
      </c>
      <c r="L72" s="1135" t="s">
        <v>2066</v>
      </c>
      <c r="M72" s="1136" t="s">
        <v>2413</v>
      </c>
      <c r="N72" s="1133" t="str">
        <f>"=C"&amp;RIGHT(K71)&amp;"-C"&amp;RIGHT(M71)</f>
        <v>=C7-C9</v>
      </c>
      <c r="O72" s="575"/>
      <c r="P72" s="1136" t="s">
        <v>2067</v>
      </c>
    </row>
    <row r="73" spans="1:25" ht="13">
      <c r="A73" s="622"/>
      <c r="C73" s="622" t="str">
        <f>C10</f>
        <v>Forecast</v>
      </c>
      <c r="E73" s="622" t="str">
        <f>E10</f>
        <v>Unloaded</v>
      </c>
      <c r="F73" s="622"/>
      <c r="G73" s="622"/>
      <c r="H73" s="623"/>
      <c r="I73" s="623" t="str">
        <f>I10</f>
        <v>AFUDC</v>
      </c>
      <c r="J73" s="623"/>
      <c r="K73" s="623"/>
      <c r="L73" s="623"/>
      <c r="M73" s="623"/>
      <c r="O73" s="622" t="str">
        <f>O10</f>
        <v>Unloaded</v>
      </c>
      <c r="P73" s="622" t="str">
        <f>P10</f>
        <v>Loaded</v>
      </c>
    </row>
    <row r="74" spans="1:25" ht="13">
      <c r="A74" s="622"/>
      <c r="C74" s="622" t="str">
        <f>C11</f>
        <v>Period</v>
      </c>
      <c r="E74" s="622" t="str">
        <f>E11</f>
        <v>Total</v>
      </c>
      <c r="F74" s="622" t="str">
        <f t="shared" ref="F74:H75" si="63">F11</f>
        <v>Prior Period</v>
      </c>
      <c r="G74" s="623" t="str">
        <f t="shared" si="63"/>
        <v>Over Heads</v>
      </c>
      <c r="H74" s="623" t="str">
        <f t="shared" si="63"/>
        <v xml:space="preserve">Cost of </v>
      </c>
      <c r="I74" s="623" t="str">
        <f>I11</f>
        <v>Eligible Plant</v>
      </c>
      <c r="J74" s="623"/>
      <c r="K74" s="623" t="str">
        <f t="shared" ref="K74:M74" si="64">K11</f>
        <v>Incremental</v>
      </c>
      <c r="L74" s="623" t="str">
        <f t="shared" si="64"/>
        <v>Depreciation</v>
      </c>
      <c r="M74" s="623" t="str">
        <f t="shared" si="64"/>
        <v>Incremental</v>
      </c>
      <c r="O74" s="623" t="str">
        <f>O11</f>
        <v>Low Voltage</v>
      </c>
      <c r="P74" s="623" t="str">
        <f>P11</f>
        <v>Low Voltage</v>
      </c>
      <c r="Q74" s="622"/>
    </row>
    <row r="75" spans="1:25" ht="13">
      <c r="A75" s="624" t="s">
        <v>329</v>
      </c>
      <c r="C75" s="607" t="str">
        <f>C12</f>
        <v>Month</v>
      </c>
      <c r="D75" s="607" t="str">
        <f>D12</f>
        <v>Year</v>
      </c>
      <c r="E75" s="619" t="str">
        <f>E12</f>
        <v>Plant Adds</v>
      </c>
      <c r="F75" s="619" t="str">
        <f t="shared" si="63"/>
        <v>CWIP Closed</v>
      </c>
      <c r="G75" s="625" t="str">
        <f t="shared" si="63"/>
        <v>Closed to PIS</v>
      </c>
      <c r="H75" s="625" t="str">
        <f t="shared" si="63"/>
        <v>Removal</v>
      </c>
      <c r="I75" s="625" t="str">
        <f>I12</f>
        <v>Additions</v>
      </c>
      <c r="J75" s="625" t="str">
        <f t="shared" ref="J75:P75" si="65">J12</f>
        <v>AFUDC</v>
      </c>
      <c r="K75" s="625" t="str">
        <f t="shared" si="65"/>
        <v>Gross Plant</v>
      </c>
      <c r="L75" s="625" t="str">
        <f t="shared" si="65"/>
        <v>Accrual</v>
      </c>
      <c r="M75" s="625" t="str">
        <f t="shared" si="65"/>
        <v>Reserve</v>
      </c>
      <c r="N75" s="625" t="str">
        <f t="shared" si="65"/>
        <v>Net Plant</v>
      </c>
      <c r="O75" s="625" t="str">
        <f t="shared" si="65"/>
        <v>Additions</v>
      </c>
      <c r="P75" s="625" t="str">
        <f t="shared" si="65"/>
        <v>Additions</v>
      </c>
      <c r="Q75" s="625"/>
      <c r="S75" s="661"/>
      <c r="T75" s="625"/>
      <c r="U75" s="625"/>
      <c r="V75" s="625"/>
      <c r="W75" s="625"/>
      <c r="X75" s="625"/>
      <c r="Y75" s="625"/>
    </row>
    <row r="76" spans="1:25" ht="13">
      <c r="A76" s="622">
        <f>A68+1</f>
        <v>50</v>
      </c>
      <c r="C76" s="608" t="str">
        <f t="shared" ref="C76:C96" si="66">C45</f>
        <v>January</v>
      </c>
      <c r="D76" s="837">
        <v>2021</v>
      </c>
      <c r="E76" s="633">
        <v>20151390.443463691</v>
      </c>
      <c r="F76" s="633">
        <v>1864924.4333333327</v>
      </c>
      <c r="G76" s="626">
        <f>(E76-F76)*$E$103</f>
        <v>1371484.9507597766</v>
      </c>
      <c r="H76" s="578">
        <f>(E76-F76+G76)*$E$107</f>
        <v>1572636.0768712107</v>
      </c>
      <c r="I76" s="626">
        <f>E76-F76+G76-H76</f>
        <v>18085314.88401892</v>
      </c>
      <c r="J76" s="626">
        <f t="shared" ref="J76:J99" si="67">I76*$E$111</f>
        <v>542559.44652056764</v>
      </c>
      <c r="K76" s="578">
        <f>F76+I76+J76</f>
        <v>20492798.763872821</v>
      </c>
      <c r="L76" s="578">
        <v>0</v>
      </c>
      <c r="M76" s="578">
        <f>L76</f>
        <v>0</v>
      </c>
      <c r="N76" s="578">
        <f t="shared" ref="N76:N99" si="68">K76-M76</f>
        <v>20492798.763872821</v>
      </c>
      <c r="O76" s="659">
        <v>151333.95569035513</v>
      </c>
      <c r="P76" s="578">
        <f t="shared" ref="P76:P96" si="69">O76*(1-$E$107)*(1+$E$103+$E$111)</f>
        <v>153846.09935481503</v>
      </c>
      <c r="Q76" s="631"/>
      <c r="R76" s="628"/>
      <c r="S76" s="631"/>
      <c r="T76" s="631"/>
      <c r="U76" s="628"/>
      <c r="V76" s="475"/>
      <c r="W76" s="631"/>
      <c r="X76" s="628"/>
      <c r="Y76" s="475"/>
    </row>
    <row r="77" spans="1:25" ht="13">
      <c r="A77" s="622">
        <f t="shared" si="58"/>
        <v>51</v>
      </c>
      <c r="C77" s="608" t="str">
        <f t="shared" si="66"/>
        <v>February</v>
      </c>
      <c r="D77" s="837">
        <v>2021</v>
      </c>
      <c r="E77" s="633">
        <v>18987705.87346369</v>
      </c>
      <c r="F77" s="633">
        <v>959336.86333333387</v>
      </c>
      <c r="G77" s="626">
        <f t="shared" ref="G77:G99" si="70">(E77-F77)*$E$103</f>
        <v>1352127.6757597767</v>
      </c>
      <c r="H77" s="578">
        <f t="shared" ref="H77:H99" si="71">(E77-F77+G77)*$E$107</f>
        <v>1550439.7348712108</v>
      </c>
      <c r="I77" s="626">
        <f t="shared" ref="I77:I99" si="72">E77-F77+G77-H77</f>
        <v>17830056.951018922</v>
      </c>
      <c r="J77" s="626">
        <f t="shared" si="67"/>
        <v>534901.70853056759</v>
      </c>
      <c r="K77" s="578">
        <f>K76+J77+I77+F77</f>
        <v>39817094.286755644</v>
      </c>
      <c r="L77" s="578">
        <f t="shared" ref="L77:L99" si="73">K76*$E$133/12</f>
        <v>43501.339734152432</v>
      </c>
      <c r="M77" s="578">
        <f>M76+L77</f>
        <v>43501.339734152432</v>
      </c>
      <c r="N77" s="578">
        <f t="shared" si="68"/>
        <v>39773592.947021492</v>
      </c>
      <c r="O77" s="659">
        <v>302667.91138071025</v>
      </c>
      <c r="P77" s="578">
        <f t="shared" si="69"/>
        <v>307692.19870963006</v>
      </c>
      <c r="Q77" s="631"/>
      <c r="R77" s="628"/>
      <c r="S77" s="631"/>
      <c r="T77" s="631"/>
      <c r="U77" s="628"/>
      <c r="V77" s="475"/>
      <c r="W77" s="631"/>
      <c r="X77" s="628"/>
      <c r="Y77" s="475"/>
    </row>
    <row r="78" spans="1:25" ht="13">
      <c r="A78" s="622">
        <f t="shared" si="58"/>
        <v>52</v>
      </c>
      <c r="C78" s="608" t="str">
        <f t="shared" si="66"/>
        <v>March</v>
      </c>
      <c r="D78" s="837">
        <v>2021</v>
      </c>
      <c r="E78" s="633">
        <v>18987705.87346369</v>
      </c>
      <c r="F78" s="633">
        <v>959336.86333333387</v>
      </c>
      <c r="G78" s="626">
        <f t="shared" si="70"/>
        <v>1352127.6757597767</v>
      </c>
      <c r="H78" s="578">
        <f t="shared" si="71"/>
        <v>1550439.7348712108</v>
      </c>
      <c r="I78" s="626">
        <f t="shared" si="72"/>
        <v>17830056.951018922</v>
      </c>
      <c r="J78" s="626">
        <f t="shared" si="67"/>
        <v>534901.70853056759</v>
      </c>
      <c r="K78" s="578">
        <f t="shared" ref="K78:K99" si="74">K77+J78+I78+F78</f>
        <v>59141389.80963847</v>
      </c>
      <c r="L78" s="578">
        <f t="shared" si="73"/>
        <v>84522.224892408878</v>
      </c>
      <c r="M78" s="578">
        <f t="shared" ref="M78:M99" si="75">M77+L78</f>
        <v>128023.5646265613</v>
      </c>
      <c r="N78" s="578">
        <f t="shared" si="68"/>
        <v>59013366.245011911</v>
      </c>
      <c r="O78" s="659">
        <v>454001.86707106541</v>
      </c>
      <c r="P78" s="578">
        <f t="shared" si="69"/>
        <v>461538.29806444509</v>
      </c>
      <c r="Q78" s="631"/>
      <c r="R78" s="628"/>
      <c r="S78" s="631"/>
      <c r="T78" s="631"/>
      <c r="U78" s="628"/>
      <c r="V78" s="475"/>
      <c r="W78" s="631"/>
      <c r="X78" s="628"/>
      <c r="Y78" s="475"/>
    </row>
    <row r="79" spans="1:25" ht="13">
      <c r="A79" s="622">
        <f t="shared" si="58"/>
        <v>53</v>
      </c>
      <c r="C79" s="608" t="str">
        <f t="shared" si="66"/>
        <v>April</v>
      </c>
      <c r="D79" s="837">
        <v>2021</v>
      </c>
      <c r="E79" s="633">
        <v>33000980.396583058</v>
      </c>
      <c r="F79" s="633">
        <v>12250519.793333324</v>
      </c>
      <c r="G79" s="626">
        <f t="shared" si="70"/>
        <v>1556284.5452437301</v>
      </c>
      <c r="H79" s="578">
        <f t="shared" si="71"/>
        <v>1784539.6118794773</v>
      </c>
      <c r="I79" s="626">
        <f t="shared" si="72"/>
        <v>20522205.536613986</v>
      </c>
      <c r="J79" s="626">
        <f t="shared" si="67"/>
        <v>615666.16609841958</v>
      </c>
      <c r="K79" s="578">
        <f t="shared" si="74"/>
        <v>92529781.305684194</v>
      </c>
      <c r="L79" s="578">
        <f t="shared" si="73"/>
        <v>125543.11005066533</v>
      </c>
      <c r="M79" s="578">
        <f t="shared" si="75"/>
        <v>253566.67467722663</v>
      </c>
      <c r="N79" s="578">
        <f t="shared" si="68"/>
        <v>92276214.631006971</v>
      </c>
      <c r="O79" s="659">
        <v>605335.82276142051</v>
      </c>
      <c r="P79" s="578">
        <f t="shared" si="69"/>
        <v>615384.39741926012</v>
      </c>
      <c r="Q79" s="631"/>
      <c r="R79" s="628"/>
      <c r="S79" s="631"/>
      <c r="T79" s="631"/>
      <c r="U79" s="628"/>
      <c r="V79" s="475"/>
      <c r="W79" s="631"/>
      <c r="X79" s="628"/>
      <c r="Y79" s="475"/>
    </row>
    <row r="80" spans="1:25" ht="13">
      <c r="A80" s="622">
        <f t="shared" si="58"/>
        <v>54</v>
      </c>
      <c r="C80" s="608" t="str">
        <f t="shared" si="66"/>
        <v>May</v>
      </c>
      <c r="D80" s="837">
        <v>2021</v>
      </c>
      <c r="E80" s="633">
        <v>22319320.428163692</v>
      </c>
      <c r="F80" s="633">
        <v>3681313.7380333333</v>
      </c>
      <c r="G80" s="626">
        <f t="shared" si="70"/>
        <v>1397850.5017597771</v>
      </c>
      <c r="H80" s="578">
        <f t="shared" si="71"/>
        <v>1602868.5753512112</v>
      </c>
      <c r="I80" s="626">
        <f t="shared" si="72"/>
        <v>18432988.616538927</v>
      </c>
      <c r="J80" s="626">
        <f t="shared" si="67"/>
        <v>552989.65849616774</v>
      </c>
      <c r="K80" s="578">
        <f t="shared" si="74"/>
        <v>115197073.31875263</v>
      </c>
      <c r="L80" s="578">
        <f t="shared" si="73"/>
        <v>196418.72730441531</v>
      </c>
      <c r="M80" s="578">
        <f t="shared" si="75"/>
        <v>449985.40198164195</v>
      </c>
      <c r="N80" s="578">
        <f t="shared" si="68"/>
        <v>114747087.91677099</v>
      </c>
      <c r="O80" s="659">
        <v>756669.77845177578</v>
      </c>
      <c r="P80" s="578">
        <f t="shared" si="69"/>
        <v>769230.4967740752</v>
      </c>
      <c r="Q80" s="631"/>
      <c r="R80" s="628"/>
      <c r="S80" s="631"/>
      <c r="T80" s="631"/>
      <c r="U80" s="628"/>
      <c r="V80" s="475"/>
      <c r="W80" s="631"/>
      <c r="X80" s="628"/>
      <c r="Y80" s="475"/>
    </row>
    <row r="81" spans="1:25" ht="13">
      <c r="A81" s="622">
        <f t="shared" si="58"/>
        <v>55</v>
      </c>
      <c r="C81" s="608" t="str">
        <f t="shared" si="66"/>
        <v xml:space="preserve">June </v>
      </c>
      <c r="D81" s="837">
        <v>2021</v>
      </c>
      <c r="E81" s="633">
        <v>31285669.443463713</v>
      </c>
      <c r="F81" s="633">
        <v>11138685.433333339</v>
      </c>
      <c r="G81" s="626">
        <f t="shared" si="70"/>
        <v>1511023.8007597781</v>
      </c>
      <c r="H81" s="578">
        <f t="shared" si="71"/>
        <v>1732640.6248712123</v>
      </c>
      <c r="I81" s="626">
        <f t="shared" si="72"/>
        <v>19925367.18601894</v>
      </c>
      <c r="J81" s="626">
        <f t="shared" si="67"/>
        <v>597761.01558056823</v>
      </c>
      <c r="K81" s="578">
        <f t="shared" si="74"/>
        <v>146858886.95368546</v>
      </c>
      <c r="L81" s="578">
        <f t="shared" si="73"/>
        <v>244535.99923371722</v>
      </c>
      <c r="M81" s="578">
        <f t="shared" si="75"/>
        <v>694521.4012153591</v>
      </c>
      <c r="N81" s="578">
        <f t="shared" si="68"/>
        <v>146164365.55247012</v>
      </c>
      <c r="O81" s="659">
        <v>908003.73414213094</v>
      </c>
      <c r="P81" s="578">
        <f t="shared" si="69"/>
        <v>923076.59612889029</v>
      </c>
      <c r="Q81" s="631"/>
      <c r="R81" s="628"/>
      <c r="S81" s="631"/>
      <c r="T81" s="631"/>
      <c r="U81" s="628"/>
      <c r="V81" s="475"/>
      <c r="W81" s="631"/>
      <c r="X81" s="628"/>
      <c r="Y81" s="475"/>
    </row>
    <row r="82" spans="1:25" ht="13">
      <c r="A82" s="622">
        <f t="shared" si="58"/>
        <v>56</v>
      </c>
      <c r="C82" s="608" t="str">
        <f t="shared" si="66"/>
        <v>July</v>
      </c>
      <c r="D82" s="837">
        <v>2021</v>
      </c>
      <c r="E82" s="633">
        <v>19509453.646663666</v>
      </c>
      <c r="F82" s="633">
        <v>1267160.8565333337</v>
      </c>
      <c r="G82" s="626">
        <f t="shared" si="70"/>
        <v>1368171.9592597748</v>
      </c>
      <c r="H82" s="578">
        <f t="shared" si="71"/>
        <v>1568837.1799512086</v>
      </c>
      <c r="I82" s="626">
        <f t="shared" si="72"/>
        <v>18041627.569438897</v>
      </c>
      <c r="J82" s="626">
        <f t="shared" si="67"/>
        <v>541248.82708316692</v>
      </c>
      <c r="K82" s="578">
        <f t="shared" si="74"/>
        <v>166708924.20674086</v>
      </c>
      <c r="L82" s="578">
        <f t="shared" si="73"/>
        <v>311746.50217198639</v>
      </c>
      <c r="M82" s="578">
        <f t="shared" si="75"/>
        <v>1006267.9033873455</v>
      </c>
      <c r="N82" s="578">
        <f t="shared" si="68"/>
        <v>165702656.30335352</v>
      </c>
      <c r="O82" s="659">
        <v>1141443.783032486</v>
      </c>
      <c r="P82" s="578">
        <f t="shared" si="69"/>
        <v>1160391.7498308253</v>
      </c>
      <c r="Q82" s="631"/>
      <c r="R82" s="628"/>
      <c r="S82" s="631"/>
      <c r="T82" s="631"/>
      <c r="U82" s="628"/>
      <c r="V82" s="475"/>
      <c r="W82" s="631"/>
      <c r="X82" s="628"/>
      <c r="Y82" s="475"/>
    </row>
    <row r="83" spans="1:25" ht="13">
      <c r="A83" s="622">
        <f t="shared" si="58"/>
        <v>57</v>
      </c>
      <c r="C83" s="608" t="str">
        <f t="shared" si="66"/>
        <v>August</v>
      </c>
      <c r="D83" s="837">
        <v>2021</v>
      </c>
      <c r="E83" s="633">
        <v>20992722.733463675</v>
      </c>
      <c r="F83" s="633">
        <v>964353.72333333385</v>
      </c>
      <c r="G83" s="626">
        <f t="shared" si="70"/>
        <v>1502127.6757597756</v>
      </c>
      <c r="H83" s="578">
        <f t="shared" si="71"/>
        <v>1722439.7348712094</v>
      </c>
      <c r="I83" s="626">
        <f t="shared" si="72"/>
        <v>19808056.951018907</v>
      </c>
      <c r="J83" s="626">
        <f t="shared" si="67"/>
        <v>594241.70853056724</v>
      </c>
      <c r="K83" s="578">
        <f t="shared" si="74"/>
        <v>188075576.58962366</v>
      </c>
      <c r="L83" s="578">
        <f t="shared" si="73"/>
        <v>353883.41203141626</v>
      </c>
      <c r="M83" s="578">
        <f t="shared" si="75"/>
        <v>1360151.3154187617</v>
      </c>
      <c r="N83" s="578">
        <f t="shared" si="68"/>
        <v>186715425.27420491</v>
      </c>
      <c r="O83" s="659">
        <v>1292777.7387228413</v>
      </c>
      <c r="P83" s="578">
        <f t="shared" si="69"/>
        <v>1314237.8491856405</v>
      </c>
      <c r="Q83" s="631"/>
      <c r="R83" s="628"/>
      <c r="S83" s="631"/>
      <c r="T83" s="631"/>
      <c r="U83" s="628"/>
      <c r="V83" s="475"/>
      <c r="W83" s="631"/>
      <c r="X83" s="628"/>
      <c r="Y83" s="475"/>
    </row>
    <row r="84" spans="1:25" ht="13">
      <c r="A84" s="622">
        <f t="shared" si="58"/>
        <v>58</v>
      </c>
      <c r="C84" s="608" t="str">
        <f t="shared" si="66"/>
        <v>September</v>
      </c>
      <c r="D84" s="837">
        <v>2021</v>
      </c>
      <c r="E84" s="633">
        <v>24064429.183463722</v>
      </c>
      <c r="F84" s="633">
        <v>2897820.1733333338</v>
      </c>
      <c r="G84" s="626">
        <f t="shared" si="70"/>
        <v>1587495.6757597793</v>
      </c>
      <c r="H84" s="578">
        <f t="shared" si="71"/>
        <v>1820328.3748712135</v>
      </c>
      <c r="I84" s="626">
        <f t="shared" si="72"/>
        <v>20933776.311018955</v>
      </c>
      <c r="J84" s="626">
        <f t="shared" si="67"/>
        <v>628013.28933056863</v>
      </c>
      <c r="K84" s="578">
        <f t="shared" si="74"/>
        <v>212535186.36330652</v>
      </c>
      <c r="L84" s="578">
        <f t="shared" si="73"/>
        <v>399239.73524520383</v>
      </c>
      <c r="M84" s="578">
        <f t="shared" si="75"/>
        <v>1759391.0506639655</v>
      </c>
      <c r="N84" s="578">
        <f t="shared" si="68"/>
        <v>210775795.31264254</v>
      </c>
      <c r="O84" s="659">
        <v>1444111.6944131963</v>
      </c>
      <c r="P84" s="578">
        <f t="shared" si="69"/>
        <v>1468083.9485404552</v>
      </c>
      <c r="Q84" s="631"/>
      <c r="R84" s="628"/>
      <c r="S84" s="631"/>
      <c r="T84" s="631"/>
      <c r="U84" s="628"/>
      <c r="V84" s="475"/>
      <c r="W84" s="631"/>
      <c r="X84" s="628"/>
      <c r="Y84" s="475"/>
    </row>
    <row r="85" spans="1:25" ht="13">
      <c r="A85" s="622">
        <f t="shared" si="58"/>
        <v>59</v>
      </c>
      <c r="C85" s="608" t="str">
        <f t="shared" si="66"/>
        <v xml:space="preserve">October </v>
      </c>
      <c r="D85" s="837">
        <v>2021</v>
      </c>
      <c r="E85" s="633">
        <v>19413529.583463669</v>
      </c>
      <c r="F85" s="633">
        <v>968978.57333333383</v>
      </c>
      <c r="G85" s="626">
        <f t="shared" si="70"/>
        <v>1383341.325759775</v>
      </c>
      <c r="H85" s="578">
        <f t="shared" si="71"/>
        <v>1586231.3868712089</v>
      </c>
      <c r="I85" s="626">
        <f t="shared" si="72"/>
        <v>18241660.949018903</v>
      </c>
      <c r="J85" s="626">
        <f t="shared" si="67"/>
        <v>547249.82847056712</v>
      </c>
      <c r="K85" s="578">
        <f t="shared" si="74"/>
        <v>232293075.7141293</v>
      </c>
      <c r="L85" s="578">
        <f t="shared" si="73"/>
        <v>451161.67166735651</v>
      </c>
      <c r="M85" s="578">
        <f t="shared" si="75"/>
        <v>2210552.7223313218</v>
      </c>
      <c r="N85" s="578">
        <f t="shared" si="68"/>
        <v>230082522.99179798</v>
      </c>
      <c r="O85" s="659">
        <v>1595445.6501035516</v>
      </c>
      <c r="P85" s="578">
        <f t="shared" si="69"/>
        <v>1621930.0478952704</v>
      </c>
      <c r="Q85" s="631"/>
      <c r="R85" s="628"/>
      <c r="S85" s="631"/>
      <c r="T85" s="631"/>
      <c r="U85" s="628"/>
      <c r="V85" s="475"/>
      <c r="W85" s="631"/>
      <c r="X85" s="628"/>
      <c r="Y85" s="475"/>
    </row>
    <row r="86" spans="1:25" ht="13">
      <c r="A86" s="622">
        <f t="shared" si="58"/>
        <v>60</v>
      </c>
      <c r="C86" s="608" t="str">
        <f t="shared" si="66"/>
        <v>November</v>
      </c>
      <c r="D86" s="837">
        <v>2021</v>
      </c>
      <c r="E86" s="633">
        <v>33806548.743463695</v>
      </c>
      <c r="F86" s="633">
        <v>5778179.7333333334</v>
      </c>
      <c r="G86" s="626">
        <f t="shared" si="70"/>
        <v>2102127.675759777</v>
      </c>
      <c r="H86" s="578">
        <f t="shared" si="71"/>
        <v>2410439.734871211</v>
      </c>
      <c r="I86" s="626">
        <f t="shared" si="72"/>
        <v>27720056.951018926</v>
      </c>
      <c r="J86" s="626">
        <f t="shared" si="67"/>
        <v>831601.7085305677</v>
      </c>
      <c r="K86" s="578">
        <f t="shared" si="74"/>
        <v>266622914.10701212</v>
      </c>
      <c r="L86" s="578">
        <f t="shared" si="73"/>
        <v>493102.97343796463</v>
      </c>
      <c r="M86" s="578">
        <f t="shared" si="75"/>
        <v>2703655.6957692862</v>
      </c>
      <c r="N86" s="578">
        <f t="shared" si="68"/>
        <v>263919258.41124284</v>
      </c>
      <c r="O86" s="659">
        <v>1746779.6057939068</v>
      </c>
      <c r="P86" s="578">
        <f t="shared" si="69"/>
        <v>1775776.1472500856</v>
      </c>
      <c r="Q86" s="631"/>
      <c r="R86" s="628"/>
      <c r="S86" s="631"/>
      <c r="T86" s="631"/>
      <c r="U86" s="628"/>
      <c r="V86" s="475"/>
      <c r="W86" s="631"/>
      <c r="X86" s="628"/>
      <c r="Y86" s="475"/>
    </row>
    <row r="87" spans="1:25" ht="13">
      <c r="A87" s="622">
        <f t="shared" si="58"/>
        <v>61</v>
      </c>
      <c r="C87" s="608" t="str">
        <f t="shared" si="66"/>
        <v>December</v>
      </c>
      <c r="D87" s="837">
        <v>2021</v>
      </c>
      <c r="E87" s="633">
        <v>27398891.483164728</v>
      </c>
      <c r="F87" s="633">
        <v>5109058.4430343481</v>
      </c>
      <c r="G87" s="626">
        <f t="shared" si="70"/>
        <v>1671737.4780097785</v>
      </c>
      <c r="H87" s="578">
        <f t="shared" si="71"/>
        <v>1916925.6414512128</v>
      </c>
      <c r="I87" s="626">
        <f t="shared" si="72"/>
        <v>22044644.876688946</v>
      </c>
      <c r="J87" s="626">
        <f t="shared" si="67"/>
        <v>661339.34630066832</v>
      </c>
      <c r="K87" s="578">
        <f t="shared" si="74"/>
        <v>294437956.77303606</v>
      </c>
      <c r="L87" s="578">
        <f t="shared" si="73"/>
        <v>565977.05863027519</v>
      </c>
      <c r="M87" s="578">
        <f t="shared" si="75"/>
        <v>3269632.7543995613</v>
      </c>
      <c r="N87" s="578">
        <f t="shared" si="68"/>
        <v>291168324.01863652</v>
      </c>
      <c r="O87" s="659">
        <v>2629807.8738842621</v>
      </c>
      <c r="P87" s="578">
        <f t="shared" si="69"/>
        <v>2673462.6845907406</v>
      </c>
      <c r="Q87" s="631"/>
      <c r="R87" s="628"/>
      <c r="S87" s="631"/>
      <c r="T87" s="631"/>
      <c r="U87" s="628"/>
      <c r="V87" s="475"/>
      <c r="W87" s="631"/>
      <c r="X87" s="628"/>
      <c r="Y87" s="475"/>
    </row>
    <row r="88" spans="1:25" ht="13">
      <c r="A88" s="622">
        <f t="shared" si="58"/>
        <v>62</v>
      </c>
      <c r="C88" s="608" t="str">
        <f t="shared" si="66"/>
        <v>January</v>
      </c>
      <c r="D88" s="837">
        <v>2022</v>
      </c>
      <c r="E88" s="633">
        <v>17932559.751835942</v>
      </c>
      <c r="F88" s="633">
        <v>251736.03999999995</v>
      </c>
      <c r="G88" s="626">
        <f t="shared" si="70"/>
        <v>1326061.7783876958</v>
      </c>
      <c r="H88" s="578">
        <f t="shared" si="71"/>
        <v>1520550.8392178912</v>
      </c>
      <c r="I88" s="626">
        <f t="shared" si="72"/>
        <v>17486334.651005749</v>
      </c>
      <c r="J88" s="626">
        <f t="shared" si="67"/>
        <v>524590.03953017248</v>
      </c>
      <c r="K88" s="578">
        <f t="shared" si="74"/>
        <v>312700617.50357199</v>
      </c>
      <c r="L88" s="578">
        <f t="shared" si="73"/>
        <v>625021.78134856839</v>
      </c>
      <c r="M88" s="578">
        <f t="shared" si="75"/>
        <v>3894654.5357481297</v>
      </c>
      <c r="N88" s="578">
        <f t="shared" si="68"/>
        <v>308805962.96782386</v>
      </c>
      <c r="O88" s="659">
        <v>2881205.0317280185</v>
      </c>
      <c r="P88" s="578">
        <f t="shared" si="69"/>
        <v>2929033.0352547038</v>
      </c>
      <c r="Q88" s="631"/>
      <c r="R88" s="628"/>
      <c r="S88" s="631"/>
      <c r="T88" s="631"/>
      <c r="U88" s="628"/>
      <c r="V88" s="475"/>
      <c r="W88" s="631"/>
      <c r="X88" s="628"/>
      <c r="Y88" s="475"/>
    </row>
    <row r="89" spans="1:25" ht="13">
      <c r="A89" s="622">
        <f t="shared" si="58"/>
        <v>63</v>
      </c>
      <c r="C89" s="608" t="str">
        <f t="shared" si="66"/>
        <v>February</v>
      </c>
      <c r="D89" s="837">
        <v>2022</v>
      </c>
      <c r="E89" s="633">
        <v>28132737.892835915</v>
      </c>
      <c r="F89" s="633">
        <v>346960.14099999995</v>
      </c>
      <c r="G89" s="626">
        <f t="shared" si="70"/>
        <v>2083933.3313876935</v>
      </c>
      <c r="H89" s="578">
        <f t="shared" si="71"/>
        <v>2389576.886657889</v>
      </c>
      <c r="I89" s="626">
        <f t="shared" si="72"/>
        <v>27480134.196565721</v>
      </c>
      <c r="J89" s="626">
        <f t="shared" si="67"/>
        <v>824404.02589697158</v>
      </c>
      <c r="K89" s="578">
        <f t="shared" si="74"/>
        <v>341352115.86703467</v>
      </c>
      <c r="L89" s="578">
        <f t="shared" si="73"/>
        <v>663789.06824005733</v>
      </c>
      <c r="M89" s="578">
        <f t="shared" si="75"/>
        <v>4558443.6039881874</v>
      </c>
      <c r="N89" s="578">
        <f t="shared" si="68"/>
        <v>336793672.2630465</v>
      </c>
      <c r="O89" s="659">
        <v>3132602.1895717755</v>
      </c>
      <c r="P89" s="578">
        <f t="shared" si="69"/>
        <v>3184603.3859186671</v>
      </c>
      <c r="Q89" s="631"/>
      <c r="R89" s="628"/>
      <c r="S89" s="631"/>
      <c r="T89" s="631"/>
      <c r="U89" s="628"/>
      <c r="V89" s="475"/>
      <c r="W89" s="631"/>
      <c r="X89" s="628"/>
      <c r="Y89" s="475"/>
    </row>
    <row r="90" spans="1:25" ht="13">
      <c r="A90" s="622">
        <f t="shared" si="58"/>
        <v>64</v>
      </c>
      <c r="C90" s="608" t="str">
        <f t="shared" si="66"/>
        <v>March</v>
      </c>
      <c r="D90" s="837">
        <v>2022</v>
      </c>
      <c r="E90" s="633">
        <v>17440714.511835933</v>
      </c>
      <c r="F90" s="633">
        <v>58655.799999999996</v>
      </c>
      <c r="G90" s="626">
        <f t="shared" si="70"/>
        <v>1303654.4033876949</v>
      </c>
      <c r="H90" s="578">
        <f t="shared" si="71"/>
        <v>1494857.0492178902</v>
      </c>
      <c r="I90" s="626">
        <f t="shared" si="72"/>
        <v>17190856.066005737</v>
      </c>
      <c r="J90" s="626">
        <f t="shared" si="67"/>
        <v>515725.68198017206</v>
      </c>
      <c r="K90" s="578">
        <f t="shared" si="74"/>
        <v>359117353.41502064</v>
      </c>
      <c r="L90" s="578">
        <f t="shared" si="73"/>
        <v>724609.38754162437</v>
      </c>
      <c r="M90" s="578">
        <f t="shared" si="75"/>
        <v>5283052.9915298121</v>
      </c>
      <c r="N90" s="578">
        <f t="shared" si="68"/>
        <v>353834300.42349082</v>
      </c>
      <c r="O90" s="659">
        <v>3383999.347415532</v>
      </c>
      <c r="P90" s="578">
        <f t="shared" si="69"/>
        <v>3440173.7365826298</v>
      </c>
      <c r="Q90" s="631"/>
      <c r="R90" s="628"/>
      <c r="S90" s="631"/>
      <c r="T90" s="631"/>
      <c r="U90" s="628"/>
      <c r="V90" s="475"/>
      <c r="W90" s="631"/>
      <c r="X90" s="628"/>
      <c r="Y90" s="475"/>
    </row>
    <row r="91" spans="1:25" ht="13">
      <c r="A91" s="622">
        <f t="shared" si="58"/>
        <v>65</v>
      </c>
      <c r="C91" s="608" t="str">
        <f t="shared" si="66"/>
        <v>April</v>
      </c>
      <c r="D91" s="837">
        <v>2022</v>
      </c>
      <c r="E91" s="633">
        <v>63474369.091835856</v>
      </c>
      <c r="F91" s="633">
        <v>34512557.379999936</v>
      </c>
      <c r="G91" s="626">
        <f t="shared" si="70"/>
        <v>2172135.8783876938</v>
      </c>
      <c r="H91" s="578">
        <f t="shared" si="71"/>
        <v>2490715.807217889</v>
      </c>
      <c r="I91" s="626">
        <f t="shared" si="72"/>
        <v>28643231.783005726</v>
      </c>
      <c r="J91" s="626">
        <f t="shared" si="67"/>
        <v>859296.9534901717</v>
      </c>
      <c r="K91" s="578">
        <f t="shared" si="74"/>
        <v>423132439.53151649</v>
      </c>
      <c r="L91" s="578">
        <f t="shared" si="73"/>
        <v>762320.76327597571</v>
      </c>
      <c r="M91" s="578">
        <f t="shared" si="75"/>
        <v>6045373.7548057875</v>
      </c>
      <c r="N91" s="578">
        <f t="shared" si="68"/>
        <v>417087065.77671069</v>
      </c>
      <c r="O91" s="659">
        <v>3635396.5052592889</v>
      </c>
      <c r="P91" s="578">
        <f t="shared" si="69"/>
        <v>3695744.0872465936</v>
      </c>
      <c r="Q91" s="631"/>
      <c r="R91" s="628"/>
      <c r="S91" s="631"/>
      <c r="T91" s="631"/>
      <c r="U91" s="628"/>
      <c r="V91" s="475"/>
      <c r="W91" s="631"/>
      <c r="X91" s="628"/>
      <c r="Y91" s="475"/>
    </row>
    <row r="92" spans="1:25" ht="13">
      <c r="A92" s="622">
        <f t="shared" si="58"/>
        <v>66</v>
      </c>
      <c r="C92" s="608" t="str">
        <f t="shared" si="66"/>
        <v>May</v>
      </c>
      <c r="D92" s="837">
        <v>2022</v>
      </c>
      <c r="E92" s="633">
        <v>20006752.061835885</v>
      </c>
      <c r="F92" s="633">
        <v>4693.3500000000004</v>
      </c>
      <c r="G92" s="626">
        <f t="shared" si="70"/>
        <v>1500154.4033876911</v>
      </c>
      <c r="H92" s="578">
        <f t="shared" si="71"/>
        <v>1720177.0492178861</v>
      </c>
      <c r="I92" s="626">
        <f t="shared" si="72"/>
        <v>19782036.066005688</v>
      </c>
      <c r="J92" s="626">
        <f t="shared" si="67"/>
        <v>593461.08198017057</v>
      </c>
      <c r="K92" s="578">
        <f t="shared" si="74"/>
        <v>443512630.02950239</v>
      </c>
      <c r="L92" s="578">
        <f t="shared" si="73"/>
        <v>898209.57189366396</v>
      </c>
      <c r="M92" s="578">
        <f t="shared" si="75"/>
        <v>6943583.3266994515</v>
      </c>
      <c r="N92" s="578">
        <f t="shared" si="68"/>
        <v>436569046.70280296</v>
      </c>
      <c r="O92" s="659">
        <v>3886793.6631030459</v>
      </c>
      <c r="P92" s="578">
        <f t="shared" si="69"/>
        <v>3951314.4379105563</v>
      </c>
      <c r="Q92" s="631"/>
      <c r="R92" s="628"/>
      <c r="S92" s="631"/>
      <c r="T92" s="631"/>
      <c r="U92" s="628"/>
      <c r="V92" s="475"/>
      <c r="W92" s="631"/>
      <c r="X92" s="628"/>
      <c r="Y92" s="475"/>
    </row>
    <row r="93" spans="1:25" ht="13">
      <c r="A93" s="622">
        <f t="shared" si="58"/>
        <v>67</v>
      </c>
      <c r="C93" s="608" t="str">
        <f t="shared" si="66"/>
        <v xml:space="preserve">June </v>
      </c>
      <c r="D93" s="837">
        <v>2022</v>
      </c>
      <c r="E93" s="633">
        <v>26477216.971835971</v>
      </c>
      <c r="F93" s="633">
        <v>1327738.2600000007</v>
      </c>
      <c r="G93" s="626">
        <f t="shared" si="70"/>
        <v>1886210.9033876976</v>
      </c>
      <c r="H93" s="578">
        <f t="shared" si="71"/>
        <v>2162855.1692178934</v>
      </c>
      <c r="I93" s="626">
        <f t="shared" si="72"/>
        <v>24872834.446005777</v>
      </c>
      <c r="J93" s="626">
        <f t="shared" si="67"/>
        <v>746185.03338017326</v>
      </c>
      <c r="K93" s="578">
        <f t="shared" si="74"/>
        <v>470459387.76888829</v>
      </c>
      <c r="L93" s="578">
        <f t="shared" si="73"/>
        <v>941471.87105128681</v>
      </c>
      <c r="M93" s="578">
        <f t="shared" si="75"/>
        <v>7885055.1977507379</v>
      </c>
      <c r="N93" s="578">
        <f t="shared" si="68"/>
        <v>462574332.57113755</v>
      </c>
      <c r="O93" s="659">
        <v>4138190.8209468019</v>
      </c>
      <c r="P93" s="578">
        <f t="shared" si="69"/>
        <v>4206884.7885745186</v>
      </c>
      <c r="Q93" s="631"/>
      <c r="R93" s="628"/>
      <c r="S93" s="631"/>
      <c r="T93" s="631"/>
      <c r="U93" s="628"/>
      <c r="V93" s="475"/>
      <c r="W93" s="631"/>
      <c r="X93" s="628"/>
      <c r="Y93" s="475"/>
    </row>
    <row r="94" spans="1:25" ht="13">
      <c r="A94" s="622">
        <f t="shared" si="58"/>
        <v>68</v>
      </c>
      <c r="C94" s="608" t="str">
        <f t="shared" si="66"/>
        <v>July</v>
      </c>
      <c r="D94" s="837">
        <v>2022</v>
      </c>
      <c r="E94" s="633">
        <v>33684787.981835902</v>
      </c>
      <c r="F94" s="633">
        <v>9645679.270000007</v>
      </c>
      <c r="G94" s="626">
        <f t="shared" si="70"/>
        <v>1802933.1533876921</v>
      </c>
      <c r="H94" s="578">
        <f t="shared" si="71"/>
        <v>2067363.349217887</v>
      </c>
      <c r="I94" s="626">
        <f t="shared" si="72"/>
        <v>23774678.516005699</v>
      </c>
      <c r="J94" s="626">
        <f t="shared" si="67"/>
        <v>713240.35548017093</v>
      </c>
      <c r="K94" s="578">
        <f t="shared" si="74"/>
        <v>504592985.91037416</v>
      </c>
      <c r="L94" s="578">
        <f t="shared" si="73"/>
        <v>998673.43129992683</v>
      </c>
      <c r="M94" s="578">
        <f t="shared" si="75"/>
        <v>8883728.6290506646</v>
      </c>
      <c r="N94" s="578">
        <f t="shared" si="68"/>
        <v>495709257.28132349</v>
      </c>
      <c r="O94" s="659">
        <v>4389587.9787905589</v>
      </c>
      <c r="P94" s="578">
        <f t="shared" si="69"/>
        <v>4462455.1392384823</v>
      </c>
      <c r="Q94" s="631"/>
      <c r="R94" s="628"/>
      <c r="S94" s="631"/>
      <c r="T94" s="631"/>
      <c r="U94" s="628"/>
      <c r="V94" s="475"/>
      <c r="W94" s="631"/>
      <c r="X94" s="628"/>
      <c r="Y94" s="475"/>
    </row>
    <row r="95" spans="1:25" ht="13">
      <c r="A95" s="622">
        <f t="shared" si="58"/>
        <v>69</v>
      </c>
      <c r="C95" s="608" t="str">
        <f t="shared" si="66"/>
        <v>August</v>
      </c>
      <c r="D95" s="837">
        <v>2022</v>
      </c>
      <c r="E95" s="633">
        <v>17334058.711835921</v>
      </c>
      <c r="F95" s="633">
        <v>0</v>
      </c>
      <c r="G95" s="626">
        <f t="shared" si="70"/>
        <v>1300054.4033876939</v>
      </c>
      <c r="H95" s="578">
        <f t="shared" si="71"/>
        <v>1490729.0492178893</v>
      </c>
      <c r="I95" s="626">
        <f t="shared" si="72"/>
        <v>17143384.066005725</v>
      </c>
      <c r="J95" s="626">
        <f t="shared" si="67"/>
        <v>514301.52198017173</v>
      </c>
      <c r="K95" s="578">
        <f t="shared" si="74"/>
        <v>522250671.49836004</v>
      </c>
      <c r="L95" s="578">
        <f t="shared" si="73"/>
        <v>1071130.9450934792</v>
      </c>
      <c r="M95" s="578">
        <f t="shared" si="75"/>
        <v>9954859.5741441436</v>
      </c>
      <c r="N95" s="578">
        <f t="shared" si="68"/>
        <v>512295811.92421591</v>
      </c>
      <c r="O95" s="659">
        <v>4640985.1366343154</v>
      </c>
      <c r="P95" s="578">
        <f t="shared" si="69"/>
        <v>4718025.4899024451</v>
      </c>
      <c r="Q95" s="631"/>
      <c r="R95" s="628"/>
      <c r="S95" s="631"/>
      <c r="T95" s="631"/>
      <c r="U95" s="628"/>
      <c r="V95" s="475"/>
      <c r="W95" s="631"/>
      <c r="X95" s="628"/>
      <c r="Y95" s="475"/>
    </row>
    <row r="96" spans="1:25" ht="13">
      <c r="A96" s="622">
        <f t="shared" si="58"/>
        <v>70</v>
      </c>
      <c r="C96" s="608" t="str">
        <f t="shared" si="66"/>
        <v>September</v>
      </c>
      <c r="D96" s="837">
        <v>2022</v>
      </c>
      <c r="E96" s="633">
        <v>17334058.71183604</v>
      </c>
      <c r="F96" s="633">
        <v>0</v>
      </c>
      <c r="G96" s="626">
        <f t="shared" si="70"/>
        <v>1300054.403387703</v>
      </c>
      <c r="H96" s="578">
        <f t="shared" si="71"/>
        <v>1490729.0492178996</v>
      </c>
      <c r="I96" s="626">
        <f t="shared" si="72"/>
        <v>17143384.066005845</v>
      </c>
      <c r="J96" s="626">
        <f t="shared" si="67"/>
        <v>514301.52198017534</v>
      </c>
      <c r="K96" s="578">
        <f t="shared" si="74"/>
        <v>539908357.08634603</v>
      </c>
      <c r="L96" s="578">
        <f t="shared" si="73"/>
        <v>1108614.0135865922</v>
      </c>
      <c r="M96" s="578">
        <f t="shared" si="75"/>
        <v>11063473.587730736</v>
      </c>
      <c r="N96" s="578">
        <f t="shared" si="68"/>
        <v>528844883.49861526</v>
      </c>
      <c r="O96" s="659">
        <v>4892382.2944780719</v>
      </c>
      <c r="P96" s="578">
        <f t="shared" si="69"/>
        <v>4973595.8405664079</v>
      </c>
      <c r="Q96" s="631"/>
      <c r="R96" s="628"/>
      <c r="S96" s="631"/>
      <c r="T96" s="631"/>
      <c r="U96" s="628"/>
      <c r="V96" s="475"/>
      <c r="W96" s="631"/>
      <c r="X96" s="628"/>
      <c r="Y96" s="475"/>
    </row>
    <row r="97" spans="1:25" ht="13">
      <c r="A97" s="623">
        <f t="shared" si="58"/>
        <v>71</v>
      </c>
      <c r="C97" s="608" t="str">
        <f t="shared" ref="C97:C99" si="76">C66</f>
        <v>October</v>
      </c>
      <c r="D97" s="837">
        <v>2022</v>
      </c>
      <c r="E97" s="633">
        <v>17335174.341835856</v>
      </c>
      <c r="F97" s="633">
        <v>841.63</v>
      </c>
      <c r="G97" s="626">
        <f t="shared" si="70"/>
        <v>1300074.9533876893</v>
      </c>
      <c r="H97" s="578">
        <f t="shared" si="71"/>
        <v>1490752.6132178837</v>
      </c>
      <c r="I97" s="626">
        <f t="shared" si="72"/>
        <v>17143655.052005664</v>
      </c>
      <c r="J97" s="626">
        <f t="shared" si="67"/>
        <v>514309.65156016988</v>
      </c>
      <c r="K97" s="578">
        <f t="shared" si="74"/>
        <v>557567163.41991186</v>
      </c>
      <c r="L97" s="578">
        <f t="shared" si="73"/>
        <v>1146097.0820797051</v>
      </c>
      <c r="M97" s="578">
        <f t="shared" si="75"/>
        <v>12209570.66981044</v>
      </c>
      <c r="N97" s="578">
        <f t="shared" si="68"/>
        <v>545357592.75010145</v>
      </c>
      <c r="O97" s="659">
        <v>5143779.4523218293</v>
      </c>
      <c r="P97" s="578">
        <f t="shared" ref="P97:P99" si="77">O97*(1-$E$107)*(1+$E$103+$E$111)</f>
        <v>5229166.1912303716</v>
      </c>
      <c r="Q97" s="631"/>
      <c r="R97" s="628"/>
      <c r="S97" s="631"/>
      <c r="T97" s="631"/>
      <c r="U97" s="628"/>
      <c r="V97" s="475"/>
      <c r="W97" s="631"/>
      <c r="X97" s="628"/>
      <c r="Y97" s="475"/>
    </row>
    <row r="98" spans="1:25" ht="13">
      <c r="A98" s="623">
        <f t="shared" si="58"/>
        <v>72</v>
      </c>
      <c r="C98" s="608" t="str">
        <f t="shared" si="76"/>
        <v>November</v>
      </c>
      <c r="D98" s="837">
        <v>2022</v>
      </c>
      <c r="E98" s="633">
        <v>17334058.71183598</v>
      </c>
      <c r="F98" s="633">
        <v>0</v>
      </c>
      <c r="G98" s="626">
        <f t="shared" si="70"/>
        <v>1300054.4033876986</v>
      </c>
      <c r="H98" s="578">
        <f t="shared" si="71"/>
        <v>1490729.0492178944</v>
      </c>
      <c r="I98" s="626">
        <f t="shared" si="72"/>
        <v>17143384.066005785</v>
      </c>
      <c r="J98" s="626">
        <f t="shared" si="67"/>
        <v>514301.52198017354</v>
      </c>
      <c r="K98" s="578">
        <f t="shared" si="74"/>
        <v>575224849.00789785</v>
      </c>
      <c r="L98" s="578">
        <f t="shared" si="73"/>
        <v>1183582.5296492334</v>
      </c>
      <c r="M98" s="578">
        <f t="shared" si="75"/>
        <v>13393153.199459674</v>
      </c>
      <c r="N98" s="578">
        <f t="shared" si="68"/>
        <v>561831695.80843818</v>
      </c>
      <c r="O98" s="659">
        <v>5395176.6101655858</v>
      </c>
      <c r="P98" s="578">
        <f t="shared" si="77"/>
        <v>5484736.5418943353</v>
      </c>
      <c r="Q98" s="631"/>
      <c r="R98" s="628"/>
      <c r="S98" s="631"/>
      <c r="T98" s="631"/>
      <c r="U98" s="628"/>
      <c r="V98" s="475"/>
      <c r="W98" s="631"/>
      <c r="X98" s="628"/>
      <c r="Y98" s="475"/>
    </row>
    <row r="99" spans="1:25" ht="13">
      <c r="A99" s="623">
        <f t="shared" si="58"/>
        <v>73</v>
      </c>
      <c r="C99" s="608" t="str">
        <f t="shared" si="76"/>
        <v>December</v>
      </c>
      <c r="D99" s="837">
        <v>2022</v>
      </c>
      <c r="E99" s="633">
        <v>21116378.981835961</v>
      </c>
      <c r="F99" s="633">
        <v>17670.269999999997</v>
      </c>
      <c r="G99" s="626">
        <f t="shared" si="70"/>
        <v>1582403.1533876972</v>
      </c>
      <c r="H99" s="578">
        <f t="shared" si="71"/>
        <v>1814488.9492178927</v>
      </c>
      <c r="I99" s="626">
        <f t="shared" si="72"/>
        <v>20866622.916005764</v>
      </c>
      <c r="J99" s="626">
        <f t="shared" si="67"/>
        <v>625998.68748017296</v>
      </c>
      <c r="K99" s="578">
        <f t="shared" si="74"/>
        <v>596735140.88138378</v>
      </c>
      <c r="L99" s="578">
        <f t="shared" si="73"/>
        <v>1221065.5981423464</v>
      </c>
      <c r="M99" s="578">
        <f t="shared" si="75"/>
        <v>14614218.79760202</v>
      </c>
      <c r="N99" s="578">
        <f t="shared" si="68"/>
        <v>582120922.08378172</v>
      </c>
      <c r="O99" s="659">
        <v>5646573.7680093423</v>
      </c>
      <c r="P99" s="578">
        <f t="shared" si="77"/>
        <v>5740306.8925582971</v>
      </c>
      <c r="Q99" s="631"/>
      <c r="R99" s="628"/>
      <c r="S99" s="631"/>
      <c r="T99" s="631"/>
      <c r="U99" s="628"/>
      <c r="V99" s="475"/>
      <c r="W99" s="631"/>
      <c r="X99" s="628"/>
      <c r="Y99" s="475"/>
    </row>
    <row r="100" spans="1:25" ht="13">
      <c r="A100" s="622"/>
      <c r="O100" s="628"/>
    </row>
    <row r="101" spans="1:25" ht="13">
      <c r="A101" s="622"/>
      <c r="B101" s="580" t="s">
        <v>1909</v>
      </c>
      <c r="G101" s="581"/>
    </row>
    <row r="102" spans="1:25" ht="13">
      <c r="A102" s="624" t="s">
        <v>329</v>
      </c>
      <c r="B102" s="581"/>
      <c r="F102" s="662"/>
    </row>
    <row r="103" spans="1:25" ht="13">
      <c r="A103" s="622">
        <f>A99+1</f>
        <v>74</v>
      </c>
      <c r="C103" s="634" t="s">
        <v>1901</v>
      </c>
      <c r="E103" s="635">
        <v>7.4999999999999997E-2</v>
      </c>
    </row>
    <row r="105" spans="1:25" ht="13">
      <c r="A105" s="622"/>
      <c r="B105" s="580" t="s">
        <v>1911</v>
      </c>
    </row>
    <row r="106" spans="1:25" ht="13">
      <c r="A106" s="624" t="s">
        <v>329</v>
      </c>
      <c r="F106" s="662"/>
    </row>
    <row r="107" spans="1:25" ht="13">
      <c r="A107" s="622">
        <f>A103+1</f>
        <v>75</v>
      </c>
      <c r="B107" s="580"/>
      <c r="C107" s="577" t="s">
        <v>1902</v>
      </c>
      <c r="E107" s="635">
        <v>0.08</v>
      </c>
    </row>
    <row r="108" spans="1:25" ht="13">
      <c r="A108" s="622"/>
      <c r="B108" s="581"/>
      <c r="C108" s="577"/>
    </row>
    <row r="109" spans="1:25" ht="13">
      <c r="B109" s="580" t="s">
        <v>1912</v>
      </c>
    </row>
    <row r="110" spans="1:25" ht="13">
      <c r="A110" s="624" t="s">
        <v>329</v>
      </c>
      <c r="B110" s="581"/>
      <c r="F110" s="662"/>
    </row>
    <row r="111" spans="1:25" ht="13">
      <c r="A111" s="622">
        <f>A107+1</f>
        <v>76</v>
      </c>
      <c r="C111" s="577" t="s">
        <v>1903</v>
      </c>
      <c r="E111" s="635">
        <v>0.03</v>
      </c>
    </row>
    <row r="113" spans="1:9" ht="13">
      <c r="B113" s="580" t="s">
        <v>1910</v>
      </c>
    </row>
    <row r="114" spans="1:9" s="619" customFormat="1" ht="13">
      <c r="C114" s="886" t="s">
        <v>1951</v>
      </c>
      <c r="F114" s="636"/>
    </row>
    <row r="115" spans="1:9" s="622" customFormat="1" ht="13">
      <c r="B115" s="619" t="s">
        <v>358</v>
      </c>
      <c r="C115" s="619" t="s">
        <v>342</v>
      </c>
      <c r="D115" s="619" t="s">
        <v>343</v>
      </c>
      <c r="E115" s="619" t="s">
        <v>344</v>
      </c>
      <c r="F115" s="619"/>
    </row>
    <row r="116" spans="1:9" s="619" customFormat="1" ht="13">
      <c r="C116" s="622" t="s">
        <v>180</v>
      </c>
      <c r="D116" s="625"/>
      <c r="E116" s="1132" t="s">
        <v>1904</v>
      </c>
      <c r="F116" s="625"/>
    </row>
    <row r="117" spans="1:9" ht="13">
      <c r="A117" s="622"/>
      <c r="B117" s="622"/>
      <c r="C117" s="622" t="str">
        <f>"Prior Year"</f>
        <v>Prior Year</v>
      </c>
      <c r="D117" s="623" t="s">
        <v>1905</v>
      </c>
      <c r="E117" s="623" t="s">
        <v>1333</v>
      </c>
      <c r="F117" s="623" t="s">
        <v>2029</v>
      </c>
    </row>
    <row r="118" spans="1:9" ht="13">
      <c r="A118" s="619" t="s">
        <v>329</v>
      </c>
      <c r="B118" s="619" t="s">
        <v>1829</v>
      </c>
      <c r="C118" s="619" t="s">
        <v>1906</v>
      </c>
      <c r="D118" s="625" t="s">
        <v>13</v>
      </c>
      <c r="E118" s="625" t="s">
        <v>1905</v>
      </c>
      <c r="F118" s="122" t="s">
        <v>205</v>
      </c>
    </row>
    <row r="119" spans="1:9" ht="13">
      <c r="A119" s="622">
        <f>A111+1</f>
        <v>77</v>
      </c>
      <c r="B119" s="622">
        <v>350.1</v>
      </c>
      <c r="C119" s="663">
        <f>'17-Depreciation'!C24</f>
        <v>88947677.147506893</v>
      </c>
      <c r="D119" s="874">
        <f>'18-DepRates'!G6</f>
        <v>0</v>
      </c>
      <c r="E119" s="875">
        <f>C119*D119</f>
        <v>0</v>
      </c>
      <c r="F119" s="1131" t="s">
        <v>2030</v>
      </c>
      <c r="G119" s="575"/>
      <c r="H119" s="663"/>
      <c r="I119" s="661"/>
    </row>
    <row r="120" spans="1:9" ht="13">
      <c r="A120" s="622">
        <f>A119+1</f>
        <v>78</v>
      </c>
      <c r="B120" s="622">
        <v>350.2</v>
      </c>
      <c r="C120" s="663">
        <f>'17-Depreciation'!D24</f>
        <v>166997788.6995331</v>
      </c>
      <c r="D120" s="874">
        <f>'18-DepRates'!G7</f>
        <v>1.66E-2</v>
      </c>
      <c r="E120" s="875">
        <f>C120*D120</f>
        <v>2772163.2924122494</v>
      </c>
      <c r="F120" s="1131" t="s">
        <v>2031</v>
      </c>
      <c r="G120" s="575"/>
      <c r="H120" s="663"/>
      <c r="I120" s="661"/>
    </row>
    <row r="121" spans="1:9" ht="13">
      <c r="A121" s="622">
        <f t="shared" ref="A121:A133" si="78">A120+1</f>
        <v>79</v>
      </c>
      <c r="B121" s="622">
        <v>352</v>
      </c>
      <c r="C121" s="663">
        <f>'17-Depreciation'!E24</f>
        <v>804153066.44668055</v>
      </c>
      <c r="D121" s="874">
        <f>'18-DepRates'!G8</f>
        <v>2.5700000000000001E-2</v>
      </c>
      <c r="E121" s="875">
        <f t="shared" ref="E121:E128" si="79">C121*D121</f>
        <v>20666733.80767969</v>
      </c>
      <c r="F121" s="1131" t="s">
        <v>2032</v>
      </c>
      <c r="G121" s="575"/>
      <c r="H121" s="663"/>
      <c r="I121" s="661"/>
    </row>
    <row r="122" spans="1:9" ht="13">
      <c r="A122" s="622">
        <f t="shared" si="78"/>
        <v>80</v>
      </c>
      <c r="B122" s="622">
        <v>353</v>
      </c>
      <c r="C122" s="663">
        <f>'17-Depreciation'!F24</f>
        <v>3951945554.2101927</v>
      </c>
      <c r="D122" s="874">
        <f>'18-DepRates'!G9</f>
        <v>2.47E-2</v>
      </c>
      <c r="E122" s="875">
        <f t="shared" si="79"/>
        <v>97613055.188991755</v>
      </c>
      <c r="F122" s="1131" t="s">
        <v>2033</v>
      </c>
      <c r="G122" s="575"/>
      <c r="H122" s="663"/>
      <c r="I122" s="661"/>
    </row>
    <row r="123" spans="1:9" ht="13">
      <c r="A123" s="622">
        <f t="shared" si="78"/>
        <v>81</v>
      </c>
      <c r="B123" s="622">
        <v>354</v>
      </c>
      <c r="C123" s="663">
        <f>'17-Depreciation'!G24</f>
        <v>2302122819.4770331</v>
      </c>
      <c r="D123" s="874">
        <f>'18-DepRates'!G10</f>
        <v>2.4400000000000002E-2</v>
      </c>
      <c r="E123" s="875">
        <f>C123*D123</f>
        <v>56171796.795239612</v>
      </c>
      <c r="F123" s="1131" t="s">
        <v>2034</v>
      </c>
      <c r="G123" s="575"/>
      <c r="H123" s="663"/>
      <c r="I123" s="661"/>
    </row>
    <row r="124" spans="1:9" ht="13">
      <c r="A124" s="622">
        <f t="shared" si="78"/>
        <v>82</v>
      </c>
      <c r="B124" s="622">
        <v>355</v>
      </c>
      <c r="C124" s="663">
        <f>'17-Depreciation'!H24</f>
        <v>431972729.20086581</v>
      </c>
      <c r="D124" s="874">
        <f>'18-DepRates'!G11</f>
        <v>3.6700000000000003E-2</v>
      </c>
      <c r="E124" s="875">
        <f t="shared" si="79"/>
        <v>15853399.161671776</v>
      </c>
      <c r="F124" s="1131" t="s">
        <v>2035</v>
      </c>
      <c r="G124" s="575"/>
      <c r="H124" s="663"/>
      <c r="I124" s="661"/>
    </row>
    <row r="125" spans="1:9" ht="13">
      <c r="A125" s="622">
        <f t="shared" si="78"/>
        <v>83</v>
      </c>
      <c r="B125" s="622">
        <v>356</v>
      </c>
      <c r="C125" s="663">
        <f>'17-Depreciation'!I24</f>
        <v>1449635757.7995038</v>
      </c>
      <c r="D125" s="874">
        <f>'18-DepRates'!G12</f>
        <v>3.0499999999999999E-2</v>
      </c>
      <c r="E125" s="875">
        <f t="shared" si="79"/>
        <v>44213890.612884864</v>
      </c>
      <c r="F125" s="1131" t="s">
        <v>2036</v>
      </c>
      <c r="G125" s="575"/>
      <c r="H125" s="663"/>
      <c r="I125" s="661"/>
    </row>
    <row r="126" spans="1:9" ht="13">
      <c r="A126" s="622">
        <f t="shared" si="78"/>
        <v>84</v>
      </c>
      <c r="B126" s="622">
        <v>357</v>
      </c>
      <c r="C126" s="663">
        <f>'17-Depreciation'!J24</f>
        <v>215412775.95431966</v>
      </c>
      <c r="D126" s="874">
        <f>'18-DepRates'!G13</f>
        <v>1.6500000000000001E-2</v>
      </c>
      <c r="E126" s="875">
        <f t="shared" si="79"/>
        <v>3554310.8032462746</v>
      </c>
      <c r="F126" s="1131" t="s">
        <v>2037</v>
      </c>
      <c r="G126" s="575"/>
      <c r="H126" s="663"/>
      <c r="I126" s="661"/>
    </row>
    <row r="127" spans="1:9" ht="13">
      <c r="A127" s="622">
        <f t="shared" si="78"/>
        <v>85</v>
      </c>
      <c r="B127" s="622">
        <v>358</v>
      </c>
      <c r="C127" s="663">
        <f>'17-Depreciation'!K24</f>
        <v>59261609.025810957</v>
      </c>
      <c r="D127" s="874">
        <f>'18-DepRates'!G14</f>
        <v>3.8699999999999998E-2</v>
      </c>
      <c r="E127" s="875">
        <f t="shared" si="79"/>
        <v>2293424.2692988841</v>
      </c>
      <c r="F127" s="1131" t="s">
        <v>2038</v>
      </c>
      <c r="G127" s="575"/>
      <c r="H127" s="663"/>
      <c r="I127" s="661"/>
    </row>
    <row r="128" spans="1:9" ht="13">
      <c r="A128" s="622">
        <f t="shared" si="78"/>
        <v>86</v>
      </c>
      <c r="B128" s="622">
        <v>359</v>
      </c>
      <c r="C128" s="663">
        <f>'17-Depreciation'!L24</f>
        <v>192098212.92509732</v>
      </c>
      <c r="D128" s="874">
        <f>'18-DepRates'!G15</f>
        <v>1.5599999999999999E-2</v>
      </c>
      <c r="E128" s="875">
        <f t="shared" si="79"/>
        <v>2996732.121631518</v>
      </c>
      <c r="F128" s="1131" t="s">
        <v>2039</v>
      </c>
      <c r="G128" s="575"/>
      <c r="H128" s="663"/>
      <c r="I128" s="661"/>
    </row>
    <row r="129" spans="1:9" ht="13">
      <c r="A129" s="622">
        <f t="shared" si="78"/>
        <v>87</v>
      </c>
      <c r="F129" s="575"/>
      <c r="G129" s="575"/>
    </row>
    <row r="130" spans="1:9" ht="13">
      <c r="A130" s="622">
        <f t="shared" si="78"/>
        <v>88</v>
      </c>
      <c r="C130" s="637" t="s">
        <v>1907</v>
      </c>
      <c r="E130" s="664">
        <f>SUM(E119:E128)</f>
        <v>246135506.0530566</v>
      </c>
      <c r="F130" s="575" t="str">
        <f>"Sum of C"&amp;RIGHT(E115)&amp;" Lines "&amp;A119&amp;" to "&amp;A128</f>
        <v>Sum of C4 Lines 77 to 86</v>
      </c>
      <c r="G130" s="575"/>
    </row>
    <row r="131" spans="1:9" ht="13">
      <c r="A131" s="622">
        <f t="shared" si="78"/>
        <v>89</v>
      </c>
      <c r="C131" s="616" t="str">
        <f>"Sum of Dec Prior Year Plant"</f>
        <v>Sum of Dec Prior Year Plant</v>
      </c>
      <c r="E131" s="665">
        <f>SUM(C119:C128)</f>
        <v>9662547990.8865414</v>
      </c>
      <c r="F131" s="575" t="str">
        <f>"Sum of C"&amp;RIGHT(C115)&amp;" Lines "&amp;A119&amp;" to "&amp;A128</f>
        <v>Sum of C2 Lines 77 to 86</v>
      </c>
      <c r="G131" s="575"/>
    </row>
    <row r="132" spans="1:9" ht="13">
      <c r="A132" s="622">
        <f t="shared" si="78"/>
        <v>90</v>
      </c>
    </row>
    <row r="133" spans="1:9" ht="13">
      <c r="A133" s="622">
        <f t="shared" si="78"/>
        <v>91</v>
      </c>
      <c r="C133" s="616" t="s">
        <v>1908</v>
      </c>
      <c r="E133" s="638">
        <f>E130/E131</f>
        <v>2.5473147071062942E-2</v>
      </c>
      <c r="F133" s="575" t="str">
        <f>"Line "&amp;A130&amp;" / Line "&amp;A131</f>
        <v>Line 88 / Line 89</v>
      </c>
    </row>
    <row r="134" spans="1:9" ht="13">
      <c r="A134" s="622"/>
    </row>
    <row r="135" spans="1:9" ht="13">
      <c r="A135" s="622"/>
      <c r="B135" s="615" t="s">
        <v>230</v>
      </c>
      <c r="C135"/>
      <c r="D135"/>
      <c r="E135"/>
      <c r="F135"/>
      <c r="G135"/>
      <c r="H135"/>
      <c r="I135"/>
    </row>
    <row r="136" spans="1:9" ht="13">
      <c r="A136" s="622"/>
      <c r="B136" s="611" t="s">
        <v>2060</v>
      </c>
      <c r="C136" s="645"/>
      <c r="D136" s="645"/>
      <c r="E136" s="645"/>
      <c r="F136" s="645"/>
      <c r="G136" s="645"/>
      <c r="H136" s="645"/>
      <c r="I136" s="645"/>
    </row>
    <row r="137" spans="1:9" ht="13">
      <c r="A137" s="622"/>
      <c r="B137" s="611" t="s">
        <v>2068</v>
      </c>
      <c r="C137"/>
      <c r="D137"/>
      <c r="E137"/>
      <c r="F137"/>
      <c r="G137" s="14"/>
      <c r="H137" s="14"/>
      <c r="I137"/>
    </row>
    <row r="138" spans="1:9" ht="13">
      <c r="A138" s="622"/>
    </row>
    <row r="139" spans="1:9" ht="13">
      <c r="A139" s="622"/>
    </row>
    <row r="140" spans="1:9" ht="13">
      <c r="A140" s="622"/>
    </row>
    <row r="141" spans="1:9" ht="13">
      <c r="A141" s="622"/>
    </row>
    <row r="142" spans="1:9" ht="13">
      <c r="A142" s="622"/>
    </row>
    <row r="143" spans="1:9" ht="13">
      <c r="A143" s="622"/>
    </row>
    <row r="144" spans="1:9" ht="13">
      <c r="A144" s="622"/>
    </row>
    <row r="145" spans="1:1" ht="13">
      <c r="A145" s="622"/>
    </row>
    <row r="146" spans="1:1" ht="13">
      <c r="A146" s="622"/>
    </row>
    <row r="147" spans="1:1" ht="13">
      <c r="A147" s="622"/>
    </row>
    <row r="148" spans="1:1" ht="13">
      <c r="A148" s="622"/>
    </row>
    <row r="149" spans="1:1" ht="13">
      <c r="A149" s="622"/>
    </row>
    <row r="150" spans="1:1" ht="13">
      <c r="A150" s="622"/>
    </row>
    <row r="151" spans="1:1" ht="13">
      <c r="A151" s="622"/>
    </row>
    <row r="152" spans="1:1" ht="13">
      <c r="A152" s="622"/>
    </row>
    <row r="153" spans="1:1" ht="13">
      <c r="A153" s="622"/>
    </row>
    <row r="154" spans="1:1" ht="13">
      <c r="A154" s="622"/>
    </row>
    <row r="155" spans="1:1" ht="13">
      <c r="A155" s="622"/>
    </row>
    <row r="156" spans="1:1" ht="13">
      <c r="A156" s="622"/>
    </row>
    <row r="157" spans="1:1" ht="13">
      <c r="A157" s="622"/>
    </row>
    <row r="158" spans="1:1" ht="13">
      <c r="A158" s="622"/>
    </row>
    <row r="159" spans="1:1" ht="13">
      <c r="A159" s="622"/>
    </row>
    <row r="160" spans="1:1" ht="13">
      <c r="A160" s="622"/>
    </row>
    <row r="161" spans="1:1" ht="13">
      <c r="A161" s="622"/>
    </row>
    <row r="162" spans="1:1" ht="13">
      <c r="A162" s="622"/>
    </row>
    <row r="163" spans="1:1" ht="13">
      <c r="A163" s="622"/>
    </row>
    <row r="164" spans="1:1" ht="13">
      <c r="A164" s="622"/>
    </row>
    <row r="165" spans="1:1" ht="13">
      <c r="A165" s="622"/>
    </row>
    <row r="166" spans="1:1" ht="13">
      <c r="A166" s="622"/>
    </row>
    <row r="167" spans="1:1" ht="13">
      <c r="A167" s="622"/>
    </row>
    <row r="168" spans="1:1" ht="13">
      <c r="A168" s="622"/>
    </row>
    <row r="169" spans="1:1" ht="13">
      <c r="A169" s="622"/>
    </row>
    <row r="170" spans="1:1" ht="13">
      <c r="A170" s="622"/>
    </row>
    <row r="171" spans="1:1" ht="13">
      <c r="A171" s="622"/>
    </row>
    <row r="172" spans="1:1" ht="13">
      <c r="A172" s="622"/>
    </row>
    <row r="173" spans="1:1" ht="13">
      <c r="A173" s="622"/>
    </row>
    <row r="174" spans="1:1" ht="13">
      <c r="A174" s="622"/>
    </row>
    <row r="175" spans="1:1" ht="13">
      <c r="A175" s="622"/>
    </row>
    <row r="176" spans="1:1" ht="13">
      <c r="A176" s="622"/>
    </row>
    <row r="177" spans="1:1" ht="13">
      <c r="A177" s="622"/>
    </row>
    <row r="178" spans="1:1" ht="13">
      <c r="A178" s="622"/>
    </row>
    <row r="179" spans="1:1" ht="13">
      <c r="A179" s="622"/>
    </row>
    <row r="180" spans="1:1" ht="13">
      <c r="A180" s="622"/>
    </row>
    <row r="181" spans="1:1" ht="13">
      <c r="A181" s="622"/>
    </row>
    <row r="182" spans="1:1" ht="13">
      <c r="A182" s="622"/>
    </row>
    <row r="183" spans="1:1" ht="13">
      <c r="A183" s="622"/>
    </row>
    <row r="184" spans="1:1" ht="13">
      <c r="A184" s="622"/>
    </row>
    <row r="185" spans="1:1" ht="13">
      <c r="A185" s="622"/>
    </row>
    <row r="186" spans="1:1" ht="13">
      <c r="A186" s="622"/>
    </row>
    <row r="187" spans="1:1" ht="13">
      <c r="A187" s="622"/>
    </row>
    <row r="188" spans="1:1" ht="13">
      <c r="A188" s="622"/>
    </row>
    <row r="189" spans="1:1" ht="13">
      <c r="A189" s="622"/>
    </row>
    <row r="190" spans="1:1" ht="13">
      <c r="A190" s="622"/>
    </row>
    <row r="191" spans="1:1" ht="13">
      <c r="A191" s="622"/>
    </row>
    <row r="192" spans="1:1" ht="13">
      <c r="A192" s="622"/>
    </row>
    <row r="193" spans="1:1" ht="13">
      <c r="A193" s="622"/>
    </row>
    <row r="194" spans="1:1" ht="13">
      <c r="A194" s="622"/>
    </row>
    <row r="195" spans="1:1" ht="13">
      <c r="A195" s="622"/>
    </row>
    <row r="196" spans="1:1" ht="13">
      <c r="A196" s="622"/>
    </row>
    <row r="197" spans="1:1" ht="13">
      <c r="A197" s="622"/>
    </row>
    <row r="198" spans="1:1" ht="13">
      <c r="A198" s="622"/>
    </row>
    <row r="199" spans="1:1" ht="13">
      <c r="A199" s="622"/>
    </row>
    <row r="200" spans="1:1" ht="13">
      <c r="A200" s="622"/>
    </row>
    <row r="201" spans="1:1" ht="13">
      <c r="A201" s="622"/>
    </row>
    <row r="202" spans="1:1" ht="13">
      <c r="A202" s="622"/>
    </row>
    <row r="203" spans="1:1" ht="13">
      <c r="A203" s="622"/>
    </row>
    <row r="204" spans="1:1" ht="13">
      <c r="A204" s="622"/>
    </row>
  </sheetData>
  <pageMargins left="0.7" right="0.7" top="0.75" bottom="0.75" header="0.3" footer="0.3"/>
  <pageSetup scale="52" orientation="landscape" cellComments="asDisplayed" r:id="rId1"/>
  <headerFooter>
    <oddHeader>&amp;CSchedule 16
Plant Additions
&amp;RTO2022 Draft Annual Update 
Attachment 1</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zoomScalePageLayoutView="70" workbookViewId="0"/>
  </sheetViews>
  <sheetFormatPr defaultRowHeight="12.5"/>
  <cols>
    <col min="1" max="1" width="4.54296875" customWidth="1"/>
    <col min="3" max="3" width="15.453125" customWidth="1"/>
    <col min="4" max="5" width="14.54296875" customWidth="1"/>
    <col min="6" max="6" width="15.54296875" customWidth="1"/>
    <col min="7" max="13" width="14.54296875" customWidth="1"/>
  </cols>
  <sheetData>
    <row r="1" spans="1:13" ht="13">
      <c r="A1" s="1" t="s">
        <v>250</v>
      </c>
      <c r="B1" s="227"/>
      <c r="C1" s="227"/>
      <c r="D1" s="227"/>
      <c r="E1" s="227"/>
      <c r="F1" s="227"/>
      <c r="G1" s="227"/>
      <c r="H1" s="227"/>
      <c r="I1" s="501" t="s">
        <v>446</v>
      </c>
      <c r="J1" s="183"/>
      <c r="K1" s="227"/>
      <c r="L1" s="227"/>
      <c r="M1" s="227"/>
    </row>
    <row r="2" spans="1:13">
      <c r="A2" s="227"/>
      <c r="B2" s="227"/>
      <c r="C2" s="227"/>
      <c r="D2" s="227"/>
      <c r="E2" s="227"/>
      <c r="F2" s="227"/>
      <c r="G2" s="227"/>
      <c r="H2" s="227"/>
      <c r="K2" s="227"/>
      <c r="L2" s="227"/>
      <c r="M2" s="227"/>
    </row>
    <row r="3" spans="1:13" ht="13">
      <c r="A3" s="227"/>
      <c r="B3" s="1" t="s">
        <v>963</v>
      </c>
      <c r="C3" s="227"/>
      <c r="D3" s="227"/>
      <c r="E3" s="227"/>
      <c r="F3" s="227"/>
      <c r="G3" s="227"/>
      <c r="H3" s="235"/>
      <c r="I3" s="858" t="s">
        <v>1713</v>
      </c>
      <c r="J3" s="1489">
        <v>2020</v>
      </c>
      <c r="K3" s="227"/>
      <c r="L3" s="227"/>
      <c r="M3" s="227"/>
    </row>
    <row r="4" spans="1:13">
      <c r="A4" s="227"/>
      <c r="B4" s="227"/>
      <c r="C4" s="227"/>
      <c r="D4" s="227"/>
      <c r="E4" s="227"/>
      <c r="F4" s="227"/>
      <c r="G4" s="227"/>
      <c r="H4" s="235"/>
      <c r="I4" s="235"/>
      <c r="J4" s="227"/>
      <c r="K4" s="227"/>
      <c r="L4" s="227"/>
      <c r="M4" s="227"/>
    </row>
    <row r="5" spans="1:13" ht="13">
      <c r="A5" s="227"/>
      <c r="B5" s="463" t="s">
        <v>966</v>
      </c>
      <c r="C5" s="227"/>
      <c r="D5" s="227"/>
      <c r="E5" s="227"/>
      <c r="F5" s="227"/>
      <c r="G5" s="227"/>
      <c r="H5" s="465" t="s">
        <v>1765</v>
      </c>
      <c r="I5" s="235"/>
      <c r="J5" s="227"/>
      <c r="K5" s="227"/>
      <c r="L5" s="227"/>
      <c r="M5" s="227"/>
    </row>
    <row r="6" spans="1:13">
      <c r="A6" s="227"/>
      <c r="B6" s="227"/>
      <c r="C6" s="227"/>
      <c r="D6" s="227"/>
      <c r="E6" s="227"/>
      <c r="F6" s="227"/>
      <c r="G6" s="227"/>
      <c r="H6" s="227"/>
      <c r="I6" s="227"/>
      <c r="J6" s="227"/>
      <c r="K6" s="227"/>
      <c r="L6" s="227"/>
      <c r="M6" s="227"/>
    </row>
    <row r="7" spans="1:13" ht="13">
      <c r="A7" s="227"/>
      <c r="B7" s="84" t="s">
        <v>358</v>
      </c>
      <c r="C7" s="84" t="s">
        <v>342</v>
      </c>
      <c r="D7" s="84" t="s">
        <v>343</v>
      </c>
      <c r="E7" s="84" t="s">
        <v>344</v>
      </c>
      <c r="F7" s="84" t="s">
        <v>345</v>
      </c>
      <c r="G7" s="84" t="s">
        <v>346</v>
      </c>
      <c r="H7" s="84" t="s">
        <v>347</v>
      </c>
      <c r="I7" s="84" t="s">
        <v>534</v>
      </c>
      <c r="J7" s="84" t="s">
        <v>949</v>
      </c>
      <c r="K7" s="84" t="s">
        <v>961</v>
      </c>
      <c r="L7" s="84" t="s">
        <v>964</v>
      </c>
      <c r="M7" s="84" t="s">
        <v>982</v>
      </c>
    </row>
    <row r="8" spans="1:13">
      <c r="A8" s="227"/>
      <c r="B8" s="243"/>
      <c r="C8" s="227"/>
      <c r="D8" s="227"/>
      <c r="E8" s="227"/>
      <c r="F8" s="227"/>
      <c r="G8" s="227"/>
      <c r="H8" s="227"/>
      <c r="I8" s="227"/>
      <c r="J8" s="227"/>
      <c r="K8" s="227"/>
      <c r="L8" s="227"/>
      <c r="M8" s="227"/>
    </row>
    <row r="9" spans="1:13" ht="13">
      <c r="A9" s="227"/>
      <c r="B9" s="109"/>
      <c r="C9" s="502" t="s">
        <v>12</v>
      </c>
      <c r="D9" s="227"/>
      <c r="E9" s="227"/>
      <c r="F9" s="227"/>
      <c r="G9" s="227"/>
      <c r="H9" s="227"/>
      <c r="I9" s="227"/>
      <c r="J9" s="227"/>
      <c r="K9" s="227"/>
      <c r="L9" s="227"/>
      <c r="M9" s="227"/>
    </row>
    <row r="10" spans="1:13" ht="13">
      <c r="A10" s="227"/>
      <c r="B10" s="109"/>
      <c r="C10" s="502" t="s">
        <v>962</v>
      </c>
      <c r="D10" s="227"/>
      <c r="E10" s="227"/>
      <c r="F10" s="227"/>
      <c r="G10" s="227"/>
      <c r="H10" s="227"/>
      <c r="I10" s="227"/>
      <c r="J10" s="227"/>
      <c r="K10" s="227"/>
      <c r="L10" s="227"/>
      <c r="M10" s="227"/>
    </row>
    <row r="11" spans="1:13" ht="13">
      <c r="A11" s="51" t="s">
        <v>329</v>
      </c>
      <c r="B11" s="122" t="s">
        <v>1748</v>
      </c>
      <c r="C11" s="351">
        <v>350.1</v>
      </c>
      <c r="D11" s="351">
        <v>350.2</v>
      </c>
      <c r="E11" s="351">
        <v>352</v>
      </c>
      <c r="F11" s="351">
        <v>353</v>
      </c>
      <c r="G11" s="351">
        <v>354</v>
      </c>
      <c r="H11" s="351">
        <v>355</v>
      </c>
      <c r="I11" s="351">
        <v>356</v>
      </c>
      <c r="J11" s="351">
        <v>357</v>
      </c>
      <c r="K11" s="351">
        <v>358</v>
      </c>
      <c r="L11" s="351">
        <v>359</v>
      </c>
      <c r="M11" s="122" t="s">
        <v>196</v>
      </c>
    </row>
    <row r="12" spans="1:13" ht="13">
      <c r="A12" s="549">
        <v>1</v>
      </c>
      <c r="B12" s="1444" t="s">
        <v>2713</v>
      </c>
      <c r="C12" s="229">
        <f>'6-PlantInService'!C12</f>
        <v>88722950.062386677</v>
      </c>
      <c r="D12" s="229">
        <f>'6-PlantInService'!D12</f>
        <v>165732566.05861396</v>
      </c>
      <c r="E12" s="229">
        <f>'6-PlantInService'!E12</f>
        <v>741230571.25435066</v>
      </c>
      <c r="F12" s="229">
        <f>'6-PlantInService'!F12</f>
        <v>3714934155.6737089</v>
      </c>
      <c r="G12" s="229">
        <f>'6-PlantInService'!G12</f>
        <v>2305124777.8401799</v>
      </c>
      <c r="H12" s="229">
        <f>'6-PlantInService'!H12</f>
        <v>408001019.08888364</v>
      </c>
      <c r="I12" s="229">
        <f>'6-PlantInService'!I12</f>
        <v>1408013215.7482004</v>
      </c>
      <c r="J12" s="229">
        <f>'6-PlantInService'!J12</f>
        <v>215368701.52640039</v>
      </c>
      <c r="K12" s="229">
        <f>'6-PlantInService'!K12</f>
        <v>59251565.606308758</v>
      </c>
      <c r="L12" s="229">
        <f>'6-PlantInService'!L12</f>
        <v>179151598.49303469</v>
      </c>
      <c r="M12" s="229">
        <f>'6-PlantInService'!M12</f>
        <v>9285531121.352066</v>
      </c>
    </row>
    <row r="13" spans="1:13" ht="13">
      <c r="A13" s="549">
        <f>A12+1</f>
        <v>2</v>
      </c>
      <c r="B13" s="1444" t="s">
        <v>2714</v>
      </c>
      <c r="C13" s="229">
        <f>'6-PlantInService'!C13</f>
        <v>88741307.183015674</v>
      </c>
      <c r="D13" s="229">
        <f>'6-PlantInService'!D13</f>
        <v>166962652.99982244</v>
      </c>
      <c r="E13" s="229">
        <f>'6-PlantInService'!E13</f>
        <v>743980989.8689419</v>
      </c>
      <c r="F13" s="229">
        <f>'6-PlantInService'!F13</f>
        <v>3719890313.5156889</v>
      </c>
      <c r="G13" s="229">
        <f>'6-PlantInService'!G13</f>
        <v>2304291127.0573182</v>
      </c>
      <c r="H13" s="229">
        <f>'6-PlantInService'!H13</f>
        <v>409647374.61278379</v>
      </c>
      <c r="I13" s="229">
        <f>'6-PlantInService'!I13</f>
        <v>1409926314.7974291</v>
      </c>
      <c r="J13" s="229">
        <f>'6-PlantInService'!J13</f>
        <v>215372650.83183208</v>
      </c>
      <c r="K13" s="229">
        <f>'6-PlantInService'!K13</f>
        <v>59252614.940755896</v>
      </c>
      <c r="L13" s="229">
        <f>'6-PlantInService'!L13</f>
        <v>178878476.00365421</v>
      </c>
      <c r="M13" s="229">
        <f>'6-PlantInService'!M13</f>
        <v>9296943821.8112431</v>
      </c>
    </row>
    <row r="14" spans="1:13" ht="13">
      <c r="A14" s="549">
        <f t="shared" ref="A14:A76" si="0">A13+1</f>
        <v>3</v>
      </c>
      <c r="B14" s="1444" t="s">
        <v>2715</v>
      </c>
      <c r="C14" s="229">
        <f>'6-PlantInService'!C14</f>
        <v>88740719.363015622</v>
      </c>
      <c r="D14" s="229">
        <f>'6-PlantInService'!D14</f>
        <v>166963240.81982243</v>
      </c>
      <c r="E14" s="229">
        <f>'6-PlantInService'!E14</f>
        <v>748061976.02673197</v>
      </c>
      <c r="F14" s="229">
        <f>'6-PlantInService'!F14</f>
        <v>3748148586.8118367</v>
      </c>
      <c r="G14" s="229">
        <f>'6-PlantInService'!G14</f>
        <v>2304241449.6258683</v>
      </c>
      <c r="H14" s="229">
        <f>'6-PlantInService'!H14</f>
        <v>411512894.32204264</v>
      </c>
      <c r="I14" s="229">
        <f>'6-PlantInService'!I14</f>
        <v>1410792034.8643653</v>
      </c>
      <c r="J14" s="229">
        <f>'6-PlantInService'!J14</f>
        <v>215377094.81208503</v>
      </c>
      <c r="K14" s="229">
        <f>'6-PlantInService'!K14</f>
        <v>59253758.121466726</v>
      </c>
      <c r="L14" s="229">
        <f>'6-PlantInService'!L14</f>
        <v>178986015.38301054</v>
      </c>
      <c r="M14" s="229">
        <f>'6-PlantInService'!M14</f>
        <v>9332077770.1502457</v>
      </c>
    </row>
    <row r="15" spans="1:13" ht="13">
      <c r="A15" s="549">
        <f t="shared" si="0"/>
        <v>4</v>
      </c>
      <c r="B15" s="1444" t="s">
        <v>2716</v>
      </c>
      <c r="C15" s="229">
        <f>'6-PlantInService'!C15</f>
        <v>88749426.501645014</v>
      </c>
      <c r="D15" s="229">
        <f>'6-PlantInService'!D15</f>
        <v>166968727.27847999</v>
      </c>
      <c r="E15" s="229">
        <f>'6-PlantInService'!E15</f>
        <v>750916146.14378583</v>
      </c>
      <c r="F15" s="229">
        <f>'6-PlantInService'!F15</f>
        <v>3758782092.8721948</v>
      </c>
      <c r="G15" s="229">
        <f>'6-PlantInService'!G15</f>
        <v>2304999312.5660019</v>
      </c>
      <c r="H15" s="229">
        <f>'6-PlantInService'!H15</f>
        <v>413785511.70263821</v>
      </c>
      <c r="I15" s="229">
        <f>'6-PlantInService'!I15</f>
        <v>1411877248.8816786</v>
      </c>
      <c r="J15" s="229">
        <f>'6-PlantInService'!J15</f>
        <v>215385546.78872225</v>
      </c>
      <c r="K15" s="229">
        <f>'6-PlantInService'!K15</f>
        <v>59260382.175048292</v>
      </c>
      <c r="L15" s="229">
        <f>'6-PlantInService'!L15</f>
        <v>178953130.43827477</v>
      </c>
      <c r="M15" s="229">
        <f>'6-PlantInService'!M15</f>
        <v>9349677525.3484707</v>
      </c>
    </row>
    <row r="16" spans="1:13" ht="13">
      <c r="A16" s="549">
        <f t="shared" si="0"/>
        <v>5</v>
      </c>
      <c r="B16" s="1444" t="s">
        <v>2717</v>
      </c>
      <c r="C16" s="229">
        <f>'6-PlantInService'!C16</f>
        <v>88831816.93421562</v>
      </c>
      <c r="D16" s="229">
        <f>'6-PlantInService'!D16</f>
        <v>166969595.14555198</v>
      </c>
      <c r="E16" s="229">
        <f>'6-PlantInService'!E16</f>
        <v>758183935.76359642</v>
      </c>
      <c r="F16" s="229">
        <f>'6-PlantInService'!F16</f>
        <v>3768702225.5028944</v>
      </c>
      <c r="G16" s="229">
        <f>'6-PlantInService'!G16</f>
        <v>2308741647.4917316</v>
      </c>
      <c r="H16" s="229">
        <f>'6-PlantInService'!H16</f>
        <v>414860803.19063449</v>
      </c>
      <c r="I16" s="229">
        <f>'6-PlantInService'!I16</f>
        <v>1413157075.2171009</v>
      </c>
      <c r="J16" s="229">
        <f>'6-PlantInService'!J16</f>
        <v>215395001.08338583</v>
      </c>
      <c r="K16" s="229">
        <f>'6-PlantInService'!K16</f>
        <v>59258323.314141169</v>
      </c>
      <c r="L16" s="229">
        <f>'6-PlantInService'!L16</f>
        <v>178922566.42889923</v>
      </c>
      <c r="M16" s="229">
        <f>'6-PlantInService'!M16</f>
        <v>9373022990.0721512</v>
      </c>
    </row>
    <row r="17" spans="1:14" ht="13">
      <c r="A17" s="549">
        <f t="shared" si="0"/>
        <v>6</v>
      </c>
      <c r="B17" s="1444" t="s">
        <v>2718</v>
      </c>
      <c r="C17" s="229">
        <f>'6-PlantInService'!C17</f>
        <v>88896465.59750697</v>
      </c>
      <c r="D17" s="229">
        <f>'6-PlantInService'!D17</f>
        <v>166967707.30750874</v>
      </c>
      <c r="E17" s="229">
        <f>'6-PlantInService'!E17</f>
        <v>776958875.65458</v>
      </c>
      <c r="F17" s="229">
        <f>'6-PlantInService'!F17</f>
        <v>3798012794.2677789</v>
      </c>
      <c r="G17" s="229">
        <f>'6-PlantInService'!G17</f>
        <v>2308858363.2807703</v>
      </c>
      <c r="H17" s="229">
        <f>'6-PlantInService'!H17</f>
        <v>415441322.25277275</v>
      </c>
      <c r="I17" s="229">
        <f>'6-PlantInService'!I17</f>
        <v>1413442371.1347528</v>
      </c>
      <c r="J17" s="229">
        <f>'6-PlantInService'!J17</f>
        <v>215396423.13163251</v>
      </c>
      <c r="K17" s="229">
        <f>'6-PlantInService'!K17</f>
        <v>59258755.452746741</v>
      </c>
      <c r="L17" s="229">
        <f>'6-PlantInService'!L17</f>
        <v>178932930.34611958</v>
      </c>
      <c r="M17" s="229">
        <f>'6-PlantInService'!M17</f>
        <v>9422166008.4261684</v>
      </c>
    </row>
    <row r="18" spans="1:14" ht="13">
      <c r="A18" s="549">
        <f t="shared" si="0"/>
        <v>7</v>
      </c>
      <c r="B18" s="1444" t="s">
        <v>2719</v>
      </c>
      <c r="C18" s="229">
        <f>'6-PlantInService'!C18</f>
        <v>88910180.127506971</v>
      </c>
      <c r="D18" s="229">
        <f>'6-PlantInService'!D18</f>
        <v>166968401.0510698</v>
      </c>
      <c r="E18" s="229">
        <f>'6-PlantInService'!E18</f>
        <v>769760702.89704275</v>
      </c>
      <c r="F18" s="229">
        <f>'6-PlantInService'!F18</f>
        <v>3835575955.8590183</v>
      </c>
      <c r="G18" s="229">
        <f>'6-PlantInService'!G18</f>
        <v>2312716597.8183851</v>
      </c>
      <c r="H18" s="229">
        <f>'6-PlantInService'!H18</f>
        <v>424312247.26588607</v>
      </c>
      <c r="I18" s="229">
        <f>'6-PlantInService'!I18</f>
        <v>1413488437.2343235</v>
      </c>
      <c r="J18" s="229">
        <f>'6-PlantInService'!J18</f>
        <v>215400742.10586932</v>
      </c>
      <c r="K18" s="229">
        <f>'6-PlantInService'!K18</f>
        <v>59263830.266900092</v>
      </c>
      <c r="L18" s="229">
        <f>'6-PlantInService'!L18</f>
        <v>179183039.93185785</v>
      </c>
      <c r="M18" s="229">
        <f>'6-PlantInService'!M18</f>
        <v>9465580134.5578613</v>
      </c>
    </row>
    <row r="19" spans="1:14" ht="13">
      <c r="A19" s="549">
        <f t="shared" si="0"/>
        <v>8</v>
      </c>
      <c r="B19" s="1444" t="s">
        <v>2720</v>
      </c>
      <c r="C19" s="229">
        <f>'6-PlantInService'!C19</f>
        <v>88920673.787506893</v>
      </c>
      <c r="D19" s="229">
        <f>'6-PlantInService'!D19</f>
        <v>166969169.49106979</v>
      </c>
      <c r="E19" s="229">
        <f>'6-PlantInService'!E19</f>
        <v>794178462.83732998</v>
      </c>
      <c r="F19" s="229">
        <f>'6-PlantInService'!F19</f>
        <v>3845663688.413105</v>
      </c>
      <c r="G19" s="229">
        <f>'6-PlantInService'!G19</f>
        <v>2313723786.4311733</v>
      </c>
      <c r="H19" s="229">
        <f>'6-PlantInService'!H19</f>
        <v>425343146.44567668</v>
      </c>
      <c r="I19" s="229">
        <f>'6-PlantInService'!I19</f>
        <v>1414833019.4271023</v>
      </c>
      <c r="J19" s="229">
        <f>'6-PlantInService'!J19</f>
        <v>215403423.10418692</v>
      </c>
      <c r="K19" s="229">
        <f>'6-PlantInService'!K19</f>
        <v>59264176.487589054</v>
      </c>
      <c r="L19" s="229">
        <f>'6-PlantInService'!L19</f>
        <v>179250903.424485</v>
      </c>
      <c r="M19" s="229">
        <f>'6-PlantInService'!M19</f>
        <v>9503550449.8492241</v>
      </c>
    </row>
    <row r="20" spans="1:14" ht="13">
      <c r="A20" s="549">
        <f t="shared" si="0"/>
        <v>9</v>
      </c>
      <c r="B20" s="1444" t="s">
        <v>2721</v>
      </c>
      <c r="C20" s="229">
        <f>'6-PlantInService'!C20</f>
        <v>88920071.507506892</v>
      </c>
      <c r="D20" s="229">
        <f>'6-PlantInService'!D20</f>
        <v>166970879.58900836</v>
      </c>
      <c r="E20" s="229">
        <f>'6-PlantInService'!E20</f>
        <v>796501378.22452569</v>
      </c>
      <c r="F20" s="229">
        <f>'6-PlantInService'!F20</f>
        <v>3898562810.6727595</v>
      </c>
      <c r="G20" s="229">
        <f>'6-PlantInService'!G20</f>
        <v>2321211368.6332693</v>
      </c>
      <c r="H20" s="229">
        <f>'6-PlantInService'!H20</f>
        <v>424863667.44904679</v>
      </c>
      <c r="I20" s="229">
        <f>'6-PlantInService'!I20</f>
        <v>1414052510.9152007</v>
      </c>
      <c r="J20" s="229">
        <f>'6-PlantInService'!J20</f>
        <v>215406132.01264757</v>
      </c>
      <c r="K20" s="229">
        <f>'6-PlantInService'!K20</f>
        <v>59265582.683329627</v>
      </c>
      <c r="L20" s="229">
        <f>'6-PlantInService'!L20</f>
        <v>179209604.88069525</v>
      </c>
      <c r="M20" s="229">
        <f>'6-PlantInService'!M20</f>
        <v>9564964006.5679913</v>
      </c>
    </row>
    <row r="21" spans="1:14" ht="13">
      <c r="A21" s="549">
        <f t="shared" si="0"/>
        <v>10</v>
      </c>
      <c r="B21" s="1444" t="s">
        <v>2722</v>
      </c>
      <c r="C21" s="229">
        <f>'6-PlantInService'!C21</f>
        <v>88920071.617506891</v>
      </c>
      <c r="D21" s="229">
        <f>'6-PlantInService'!D21</f>
        <v>166982524.89501318</v>
      </c>
      <c r="E21" s="229">
        <f>'6-PlantInService'!E21</f>
        <v>799901216.59626353</v>
      </c>
      <c r="F21" s="229">
        <f>'6-PlantInService'!F21</f>
        <v>3912169017.295743</v>
      </c>
      <c r="G21" s="229">
        <f>'6-PlantInService'!G21</f>
        <v>2318768399.5329771</v>
      </c>
      <c r="H21" s="229">
        <f>'6-PlantInService'!H21</f>
        <v>426262752.07681221</v>
      </c>
      <c r="I21" s="229">
        <f>'6-PlantInService'!I21</f>
        <v>1413709717.7686784</v>
      </c>
      <c r="J21" s="229">
        <f>'6-PlantInService'!J21</f>
        <v>215410617.62585068</v>
      </c>
      <c r="K21" s="229">
        <f>'6-PlantInService'!K21</f>
        <v>59267114.308641575</v>
      </c>
      <c r="L21" s="229">
        <f>'6-PlantInService'!L21</f>
        <v>179111943.78944454</v>
      </c>
      <c r="M21" s="229">
        <f>'6-PlantInService'!M21</f>
        <v>9580503375.5069294</v>
      </c>
    </row>
    <row r="22" spans="1:14" ht="13">
      <c r="A22" s="549">
        <f t="shared" si="0"/>
        <v>11</v>
      </c>
      <c r="B22" s="1444" t="s">
        <v>2723</v>
      </c>
      <c r="C22" s="229">
        <f>'6-PlantInService'!C22</f>
        <v>88942153.917506918</v>
      </c>
      <c r="D22" s="229">
        <f>'6-PlantInService'!D22</f>
        <v>167007304.38528082</v>
      </c>
      <c r="E22" s="229">
        <f>'6-PlantInService'!E22</f>
        <v>802239738.13924849</v>
      </c>
      <c r="F22" s="229">
        <f>'6-PlantInService'!F22</f>
        <v>3917286472.4661717</v>
      </c>
      <c r="G22" s="229">
        <f>'6-PlantInService'!G22</f>
        <v>2298693752.5199437</v>
      </c>
      <c r="H22" s="229">
        <f>'6-PlantInService'!H22</f>
        <v>428529287.45462382</v>
      </c>
      <c r="I22" s="229">
        <f>'6-PlantInService'!I22</f>
        <v>1424762592.3306279</v>
      </c>
      <c r="J22" s="229">
        <f>'6-PlantInService'!J22</f>
        <v>215417102.26480165</v>
      </c>
      <c r="K22" s="229">
        <f>'6-PlantInService'!K22</f>
        <v>59270552.079089716</v>
      </c>
      <c r="L22" s="229">
        <f>'6-PlantInService'!L22</f>
        <v>192283678.2933422</v>
      </c>
      <c r="M22" s="229">
        <f>'6-PlantInService'!M22</f>
        <v>9594432633.8506374</v>
      </c>
    </row>
    <row r="23" spans="1:14" ht="13">
      <c r="A23" s="549">
        <f t="shared" si="0"/>
        <v>12</v>
      </c>
      <c r="B23" s="1444" t="s">
        <v>2724</v>
      </c>
      <c r="C23" s="229">
        <f>'6-PlantInService'!C23</f>
        <v>88945939.08750692</v>
      </c>
      <c r="D23" s="229">
        <f>'6-PlantInService'!D23</f>
        <v>167008481.21528083</v>
      </c>
      <c r="E23" s="229">
        <f>'6-PlantInService'!E23</f>
        <v>804793718.97257936</v>
      </c>
      <c r="F23" s="229">
        <f>'6-PlantInService'!F23</f>
        <v>3944218834.4683685</v>
      </c>
      <c r="G23" s="229">
        <f>'6-PlantInService'!G23</f>
        <v>2299336562.8785391</v>
      </c>
      <c r="H23" s="229">
        <f>'6-PlantInService'!H23</f>
        <v>429179961.39067507</v>
      </c>
      <c r="I23" s="229">
        <f>'6-PlantInService'!I23</f>
        <v>1425243572.5835612</v>
      </c>
      <c r="J23" s="229">
        <f>'6-PlantInService'!J23</f>
        <v>215420918.98423791</v>
      </c>
      <c r="K23" s="229">
        <f>'6-PlantInService'!K23</f>
        <v>59269675.758342721</v>
      </c>
      <c r="L23" s="229">
        <f>'6-PlantInService'!L23</f>
        <v>192079367.22132963</v>
      </c>
      <c r="M23" s="229">
        <f>'6-PlantInService'!M23</f>
        <v>9625497032.5604191</v>
      </c>
    </row>
    <row r="24" spans="1:14" ht="13">
      <c r="A24" s="549">
        <f t="shared" si="0"/>
        <v>13</v>
      </c>
      <c r="B24" s="1444" t="s">
        <v>2725</v>
      </c>
      <c r="C24" s="229">
        <f>'6-PlantInService'!C24</f>
        <v>88947677.147506893</v>
      </c>
      <c r="D24" s="229">
        <f>'6-PlantInService'!D24</f>
        <v>166997788.6995331</v>
      </c>
      <c r="E24" s="229">
        <f>'6-PlantInService'!E24</f>
        <v>804153066.44668055</v>
      </c>
      <c r="F24" s="229">
        <f>'6-PlantInService'!F24</f>
        <v>3951945554.2101927</v>
      </c>
      <c r="G24" s="229">
        <f>'6-PlantInService'!G24</f>
        <v>2302122819.4770331</v>
      </c>
      <c r="H24" s="229">
        <f>'6-PlantInService'!H24</f>
        <v>431972729.20086581</v>
      </c>
      <c r="I24" s="229">
        <f>'6-PlantInService'!I24</f>
        <v>1449635757.7995038</v>
      </c>
      <c r="J24" s="229">
        <f>'6-PlantInService'!J24</f>
        <v>215412775.95431966</v>
      </c>
      <c r="K24" s="229">
        <f>'6-PlantInService'!K24</f>
        <v>59261609.025810957</v>
      </c>
      <c r="L24" s="229">
        <f>'6-PlantInService'!L24</f>
        <v>192098212.92509732</v>
      </c>
      <c r="M24" s="229">
        <f>'6-PlantInService'!M24</f>
        <v>9662547990.8865414</v>
      </c>
    </row>
    <row r="25" spans="1:14" ht="13">
      <c r="A25" s="549">
        <f t="shared" si="0"/>
        <v>14</v>
      </c>
      <c r="B25" s="227"/>
      <c r="C25" s="227"/>
      <c r="D25" s="227"/>
      <c r="E25" s="227"/>
      <c r="F25" s="227"/>
      <c r="G25" s="227"/>
      <c r="H25" s="227"/>
      <c r="I25" s="227"/>
      <c r="J25" s="227"/>
      <c r="K25" s="227"/>
      <c r="L25" s="227"/>
      <c r="M25" s="227"/>
    </row>
    <row r="26" spans="1:14" ht="13">
      <c r="A26" s="549">
        <f t="shared" si="0"/>
        <v>15</v>
      </c>
      <c r="B26" s="611" t="s">
        <v>2454</v>
      </c>
      <c r="C26" s="235"/>
      <c r="D26" s="235"/>
      <c r="E26" s="235"/>
      <c r="F26" s="235"/>
      <c r="G26" s="235"/>
      <c r="H26" s="235"/>
      <c r="I26" s="227"/>
      <c r="J26" s="227"/>
      <c r="K26" s="227"/>
      <c r="L26" s="227"/>
      <c r="M26" s="227"/>
    </row>
    <row r="27" spans="1:14" ht="13">
      <c r="A27" s="549"/>
      <c r="B27" s="109"/>
      <c r="C27" s="235"/>
      <c r="D27" s="235"/>
      <c r="E27" s="235"/>
      <c r="F27" s="235"/>
      <c r="G27" s="227"/>
      <c r="H27" s="227"/>
      <c r="I27" s="227"/>
      <c r="J27" s="227"/>
      <c r="K27" s="227"/>
      <c r="L27" s="227"/>
      <c r="M27" s="227"/>
    </row>
    <row r="28" spans="1:14" ht="13">
      <c r="A28" s="549">
        <f>A26+1</f>
        <v>16</v>
      </c>
      <c r="B28" s="122" t="s">
        <v>1748</v>
      </c>
      <c r="C28" s="351">
        <v>350.1</v>
      </c>
      <c r="D28" s="351">
        <v>350.2</v>
      </c>
      <c r="E28" s="351">
        <v>352</v>
      </c>
      <c r="F28" s="351">
        <v>353</v>
      </c>
      <c r="G28" s="84">
        <v>354</v>
      </c>
      <c r="H28" s="84">
        <v>355</v>
      </c>
      <c r="I28" s="84">
        <v>356</v>
      </c>
      <c r="J28" s="84">
        <v>357</v>
      </c>
      <c r="K28" s="84">
        <v>358</v>
      </c>
      <c r="L28" s="84">
        <v>359</v>
      </c>
      <c r="M28" s="3"/>
    </row>
    <row r="29" spans="1:14" ht="13">
      <c r="A29" s="549" t="s">
        <v>2010</v>
      </c>
      <c r="B29" s="1444" t="s">
        <v>2713</v>
      </c>
      <c r="C29" s="1460">
        <v>0</v>
      </c>
      <c r="D29" s="1460">
        <v>1.66E-2</v>
      </c>
      <c r="E29" s="1460">
        <v>2.5700000000000001E-2</v>
      </c>
      <c r="F29" s="1460">
        <v>2.47E-2</v>
      </c>
      <c r="G29" s="1460">
        <v>2.4400000000000002E-2</v>
      </c>
      <c r="H29" s="1460">
        <v>3.6700000000000003E-2</v>
      </c>
      <c r="I29" s="1460">
        <v>3.0499999999999999E-2</v>
      </c>
      <c r="J29" s="1460">
        <v>1.6500000000000001E-2</v>
      </c>
      <c r="K29" s="1460">
        <v>3.8699999999999998E-2</v>
      </c>
      <c r="L29" s="1460">
        <v>1.5599999999999999E-2</v>
      </c>
      <c r="M29" s="227"/>
      <c r="N29" s="500"/>
    </row>
    <row r="30" spans="1:14" ht="13">
      <c r="A30" s="549" t="s">
        <v>2011</v>
      </c>
      <c r="B30" s="1444" t="s">
        <v>2714</v>
      </c>
      <c r="C30" s="1460">
        <v>0</v>
      </c>
      <c r="D30" s="1460">
        <v>1.66E-2</v>
      </c>
      <c r="E30" s="1460">
        <v>2.5700000000000001E-2</v>
      </c>
      <c r="F30" s="1460">
        <v>2.47E-2</v>
      </c>
      <c r="G30" s="1460">
        <v>2.4400000000000002E-2</v>
      </c>
      <c r="H30" s="1460">
        <v>3.6700000000000003E-2</v>
      </c>
      <c r="I30" s="1460">
        <v>3.0499999999999999E-2</v>
      </c>
      <c r="J30" s="1460">
        <v>1.6500000000000001E-2</v>
      </c>
      <c r="K30" s="1460">
        <v>3.8699999999999998E-2</v>
      </c>
      <c r="L30" s="1460">
        <v>1.5599999999999999E-2</v>
      </c>
      <c r="M30" s="227"/>
      <c r="N30" s="500"/>
    </row>
    <row r="31" spans="1:14" ht="13">
      <c r="A31" s="549" t="s">
        <v>2012</v>
      </c>
      <c r="B31" s="1444" t="s">
        <v>2715</v>
      </c>
      <c r="C31" s="1460">
        <v>0</v>
      </c>
      <c r="D31" s="1460">
        <v>1.66E-2</v>
      </c>
      <c r="E31" s="1460">
        <v>2.5700000000000001E-2</v>
      </c>
      <c r="F31" s="1460">
        <v>2.47E-2</v>
      </c>
      <c r="G31" s="1460">
        <v>2.4400000000000002E-2</v>
      </c>
      <c r="H31" s="1460">
        <v>3.6700000000000003E-2</v>
      </c>
      <c r="I31" s="1460">
        <v>3.0499999999999999E-2</v>
      </c>
      <c r="J31" s="1460">
        <v>1.6500000000000001E-2</v>
      </c>
      <c r="K31" s="1460">
        <v>3.8699999999999998E-2</v>
      </c>
      <c r="L31" s="1460">
        <v>1.5599999999999999E-2</v>
      </c>
      <c r="M31" s="227"/>
      <c r="N31" s="500"/>
    </row>
    <row r="32" spans="1:14" ht="13">
      <c r="A32" s="549" t="s">
        <v>2013</v>
      </c>
      <c r="B32" s="1444" t="s">
        <v>2716</v>
      </c>
      <c r="C32" s="1460">
        <v>0</v>
      </c>
      <c r="D32" s="1460">
        <v>1.66E-2</v>
      </c>
      <c r="E32" s="1460">
        <v>2.5700000000000001E-2</v>
      </c>
      <c r="F32" s="1460">
        <v>2.47E-2</v>
      </c>
      <c r="G32" s="1460">
        <v>2.4400000000000002E-2</v>
      </c>
      <c r="H32" s="1460">
        <v>3.6700000000000003E-2</v>
      </c>
      <c r="I32" s="1460">
        <v>3.0499999999999999E-2</v>
      </c>
      <c r="J32" s="1460">
        <v>1.6500000000000001E-2</v>
      </c>
      <c r="K32" s="1460">
        <v>3.8699999999999998E-2</v>
      </c>
      <c r="L32" s="1460">
        <v>1.5599999999999999E-2</v>
      </c>
      <c r="M32" s="227"/>
      <c r="N32" s="500"/>
    </row>
    <row r="33" spans="1:14" ht="13">
      <c r="A33" s="549" t="s">
        <v>2014</v>
      </c>
      <c r="B33" s="1444" t="s">
        <v>2717</v>
      </c>
      <c r="C33" s="1460">
        <v>0</v>
      </c>
      <c r="D33" s="1460">
        <v>1.66E-2</v>
      </c>
      <c r="E33" s="1460">
        <v>2.5700000000000001E-2</v>
      </c>
      <c r="F33" s="1460">
        <v>2.47E-2</v>
      </c>
      <c r="G33" s="1460">
        <v>2.4400000000000002E-2</v>
      </c>
      <c r="H33" s="1460">
        <v>3.6700000000000003E-2</v>
      </c>
      <c r="I33" s="1460">
        <v>3.0499999999999999E-2</v>
      </c>
      <c r="J33" s="1460">
        <v>1.6500000000000001E-2</v>
      </c>
      <c r="K33" s="1460">
        <v>3.8699999999999998E-2</v>
      </c>
      <c r="L33" s="1460">
        <v>1.5599999999999999E-2</v>
      </c>
      <c r="M33" s="227"/>
      <c r="N33" s="500"/>
    </row>
    <row r="34" spans="1:14" ht="13">
      <c r="A34" s="549" t="s">
        <v>2015</v>
      </c>
      <c r="B34" s="1444" t="s">
        <v>2718</v>
      </c>
      <c r="C34" s="1460">
        <v>0</v>
      </c>
      <c r="D34" s="1460">
        <v>1.66E-2</v>
      </c>
      <c r="E34" s="1460">
        <v>2.5700000000000001E-2</v>
      </c>
      <c r="F34" s="1460">
        <v>2.47E-2</v>
      </c>
      <c r="G34" s="1460">
        <v>2.4400000000000002E-2</v>
      </c>
      <c r="H34" s="1460">
        <v>3.6700000000000003E-2</v>
      </c>
      <c r="I34" s="1460">
        <v>3.0499999999999999E-2</v>
      </c>
      <c r="J34" s="1460">
        <v>1.6500000000000001E-2</v>
      </c>
      <c r="K34" s="1460">
        <v>3.8699999999999998E-2</v>
      </c>
      <c r="L34" s="1460">
        <v>1.5599999999999999E-2</v>
      </c>
      <c r="M34" s="227"/>
      <c r="N34" s="500"/>
    </row>
    <row r="35" spans="1:14" ht="13">
      <c r="A35" s="549" t="s">
        <v>2016</v>
      </c>
      <c r="B35" s="1444" t="s">
        <v>2719</v>
      </c>
      <c r="C35" s="1460">
        <v>0</v>
      </c>
      <c r="D35" s="1460">
        <v>1.66E-2</v>
      </c>
      <c r="E35" s="1460">
        <v>2.5700000000000001E-2</v>
      </c>
      <c r="F35" s="1460">
        <v>2.47E-2</v>
      </c>
      <c r="G35" s="1460">
        <v>2.4400000000000002E-2</v>
      </c>
      <c r="H35" s="1460">
        <v>3.6700000000000003E-2</v>
      </c>
      <c r="I35" s="1460">
        <v>3.0499999999999999E-2</v>
      </c>
      <c r="J35" s="1460">
        <v>1.6500000000000001E-2</v>
      </c>
      <c r="K35" s="1460">
        <v>3.8699999999999998E-2</v>
      </c>
      <c r="L35" s="1460">
        <v>1.5599999999999999E-2</v>
      </c>
      <c r="M35" s="227"/>
      <c r="N35" s="500"/>
    </row>
    <row r="36" spans="1:14" ht="13">
      <c r="A36" s="549" t="s">
        <v>2017</v>
      </c>
      <c r="B36" s="1444" t="s">
        <v>2720</v>
      </c>
      <c r="C36" s="1460">
        <v>0</v>
      </c>
      <c r="D36" s="1460">
        <v>1.66E-2</v>
      </c>
      <c r="E36" s="1460">
        <v>2.5700000000000001E-2</v>
      </c>
      <c r="F36" s="1460">
        <v>2.47E-2</v>
      </c>
      <c r="G36" s="1460">
        <v>2.4400000000000002E-2</v>
      </c>
      <c r="H36" s="1460">
        <v>3.6700000000000003E-2</v>
      </c>
      <c r="I36" s="1460">
        <v>3.0499999999999999E-2</v>
      </c>
      <c r="J36" s="1460">
        <v>1.6500000000000001E-2</v>
      </c>
      <c r="K36" s="1460">
        <v>3.8699999999999998E-2</v>
      </c>
      <c r="L36" s="1460">
        <v>1.5599999999999999E-2</v>
      </c>
      <c r="M36" s="227"/>
      <c r="N36" s="500"/>
    </row>
    <row r="37" spans="1:14" ht="13">
      <c r="A37" s="549" t="s">
        <v>2018</v>
      </c>
      <c r="B37" s="1444" t="s">
        <v>2721</v>
      </c>
      <c r="C37" s="1460">
        <v>0</v>
      </c>
      <c r="D37" s="1460">
        <v>1.66E-2</v>
      </c>
      <c r="E37" s="1460">
        <v>2.5700000000000001E-2</v>
      </c>
      <c r="F37" s="1460">
        <v>2.47E-2</v>
      </c>
      <c r="G37" s="1460">
        <v>2.4400000000000002E-2</v>
      </c>
      <c r="H37" s="1460">
        <v>3.6700000000000003E-2</v>
      </c>
      <c r="I37" s="1460">
        <v>3.0499999999999999E-2</v>
      </c>
      <c r="J37" s="1460">
        <v>1.6500000000000001E-2</v>
      </c>
      <c r="K37" s="1460">
        <v>3.8699999999999998E-2</v>
      </c>
      <c r="L37" s="1460">
        <v>1.5599999999999999E-2</v>
      </c>
      <c r="M37" s="227"/>
      <c r="N37" s="500"/>
    </row>
    <row r="38" spans="1:14" ht="13">
      <c r="A38" s="549" t="s">
        <v>2019</v>
      </c>
      <c r="B38" s="1444" t="s">
        <v>2722</v>
      </c>
      <c r="C38" s="1460">
        <v>0</v>
      </c>
      <c r="D38" s="1460">
        <v>1.66E-2</v>
      </c>
      <c r="E38" s="1460">
        <v>2.5700000000000001E-2</v>
      </c>
      <c r="F38" s="1460">
        <v>2.47E-2</v>
      </c>
      <c r="G38" s="1460">
        <v>2.4400000000000002E-2</v>
      </c>
      <c r="H38" s="1460">
        <v>3.6700000000000003E-2</v>
      </c>
      <c r="I38" s="1460">
        <v>3.0499999999999999E-2</v>
      </c>
      <c r="J38" s="1460">
        <v>1.6500000000000001E-2</v>
      </c>
      <c r="K38" s="1460">
        <v>3.8699999999999998E-2</v>
      </c>
      <c r="L38" s="1460">
        <v>1.5599999999999999E-2</v>
      </c>
      <c r="M38" s="227"/>
      <c r="N38" s="500"/>
    </row>
    <row r="39" spans="1:14" ht="13">
      <c r="A39" s="549" t="s">
        <v>2020</v>
      </c>
      <c r="B39" s="1444" t="s">
        <v>2723</v>
      </c>
      <c r="C39" s="1460">
        <v>0</v>
      </c>
      <c r="D39" s="1460">
        <v>1.66E-2</v>
      </c>
      <c r="E39" s="1460">
        <v>2.5700000000000001E-2</v>
      </c>
      <c r="F39" s="1460">
        <v>2.47E-2</v>
      </c>
      <c r="G39" s="1460">
        <v>2.4400000000000002E-2</v>
      </c>
      <c r="H39" s="1460">
        <v>3.6700000000000003E-2</v>
      </c>
      <c r="I39" s="1460">
        <v>3.0499999999999999E-2</v>
      </c>
      <c r="J39" s="1460">
        <v>1.6500000000000001E-2</v>
      </c>
      <c r="K39" s="1460">
        <v>3.8699999999999998E-2</v>
      </c>
      <c r="L39" s="1460">
        <v>1.5599999999999999E-2</v>
      </c>
      <c r="M39" s="227"/>
    </row>
    <row r="40" spans="1:14" ht="13">
      <c r="A40" s="549" t="s">
        <v>2021</v>
      </c>
      <c r="B40" s="1444" t="s">
        <v>2724</v>
      </c>
      <c r="C40" s="1460">
        <v>0</v>
      </c>
      <c r="D40" s="1460">
        <v>1.66E-2</v>
      </c>
      <c r="E40" s="1460">
        <v>2.5700000000000001E-2</v>
      </c>
      <c r="F40" s="1460">
        <v>2.47E-2</v>
      </c>
      <c r="G40" s="1460">
        <v>2.4400000000000002E-2</v>
      </c>
      <c r="H40" s="1460">
        <v>3.6700000000000003E-2</v>
      </c>
      <c r="I40" s="1460">
        <v>3.0499999999999999E-2</v>
      </c>
      <c r="J40" s="1460">
        <v>1.6500000000000001E-2</v>
      </c>
      <c r="K40" s="1460">
        <v>3.8699999999999998E-2</v>
      </c>
      <c r="L40" s="1460">
        <v>1.5599999999999999E-2</v>
      </c>
      <c r="M40" s="227"/>
    </row>
    <row r="41" spans="1:14" ht="13">
      <c r="A41" s="549" t="s">
        <v>2022</v>
      </c>
      <c r="B41" s="1444" t="s">
        <v>2725</v>
      </c>
      <c r="C41" s="1460">
        <v>0</v>
      </c>
      <c r="D41" s="1460">
        <v>1.66E-2</v>
      </c>
      <c r="E41" s="1460">
        <v>2.5700000000000001E-2</v>
      </c>
      <c r="F41" s="1460">
        <v>2.47E-2</v>
      </c>
      <c r="G41" s="1460">
        <v>2.4400000000000002E-2</v>
      </c>
      <c r="H41" s="1460">
        <v>3.6700000000000003E-2</v>
      </c>
      <c r="I41" s="1460">
        <v>3.0499999999999999E-2</v>
      </c>
      <c r="J41" s="1460">
        <v>1.6500000000000001E-2</v>
      </c>
      <c r="K41" s="1460">
        <v>3.8699999999999998E-2</v>
      </c>
      <c r="L41" s="1460">
        <v>1.5599999999999999E-2</v>
      </c>
      <c r="M41" s="227"/>
    </row>
    <row r="42" spans="1:14" ht="13">
      <c r="A42" s="549">
        <v>18</v>
      </c>
      <c r="C42" s="359"/>
      <c r="D42" s="359"/>
      <c r="E42" s="359"/>
      <c r="F42" s="359"/>
      <c r="G42" s="359"/>
      <c r="H42" s="359"/>
      <c r="I42" s="359"/>
      <c r="J42" s="359"/>
      <c r="K42" s="359"/>
      <c r="L42" s="359"/>
      <c r="M42" s="227"/>
    </row>
    <row r="43" spans="1:14" ht="13">
      <c r="A43" s="549">
        <f t="shared" si="0"/>
        <v>19</v>
      </c>
      <c r="B43" s="465" t="s">
        <v>965</v>
      </c>
      <c r="C43" s="236"/>
      <c r="D43" s="236"/>
      <c r="E43" s="236"/>
      <c r="F43" s="236"/>
      <c r="G43" s="500" t="s">
        <v>1683</v>
      </c>
      <c r="H43" s="236"/>
      <c r="I43" s="359"/>
      <c r="J43" s="359"/>
      <c r="K43" s="359"/>
      <c r="L43" s="359"/>
      <c r="M43" s="227"/>
    </row>
    <row r="44" spans="1:14" ht="13">
      <c r="A44" s="549">
        <f t="shared" si="0"/>
        <v>20</v>
      </c>
      <c r="B44" s="235"/>
      <c r="C44" s="235"/>
      <c r="D44" s="235"/>
      <c r="E44" s="235"/>
      <c r="F44" s="235"/>
      <c r="G44" s="235"/>
      <c r="H44" s="235"/>
      <c r="I44" s="227"/>
      <c r="J44" s="227"/>
      <c r="K44" s="227"/>
      <c r="L44" s="227"/>
      <c r="M44" s="227"/>
    </row>
    <row r="45" spans="1:14" ht="13">
      <c r="A45" s="549">
        <f t="shared" si="0"/>
        <v>21</v>
      </c>
      <c r="B45" s="109"/>
      <c r="C45" s="816" t="s">
        <v>12</v>
      </c>
      <c r="D45" s="235"/>
      <c r="E45" s="235"/>
      <c r="F45" s="235"/>
      <c r="G45" s="235"/>
      <c r="H45" s="235"/>
      <c r="I45" s="227"/>
      <c r="J45" s="227"/>
      <c r="K45" s="227"/>
      <c r="L45" s="227"/>
      <c r="M45" s="227"/>
    </row>
    <row r="46" spans="1:14" ht="13">
      <c r="A46" s="549">
        <f t="shared" si="0"/>
        <v>22</v>
      </c>
      <c r="B46" s="109"/>
      <c r="C46" s="816" t="s">
        <v>962</v>
      </c>
      <c r="D46" s="235"/>
      <c r="E46" s="235"/>
      <c r="F46" s="235"/>
      <c r="G46" s="235"/>
      <c r="H46" s="235"/>
      <c r="I46" s="227"/>
      <c r="J46" s="227"/>
      <c r="K46" s="227"/>
      <c r="L46" s="227"/>
      <c r="M46" s="549" t="s">
        <v>192</v>
      </c>
    </row>
    <row r="47" spans="1:14" ht="13">
      <c r="A47" s="549">
        <f t="shared" si="0"/>
        <v>23</v>
      </c>
      <c r="B47" s="122" t="s">
        <v>1748</v>
      </c>
      <c r="C47" s="351">
        <v>350.1</v>
      </c>
      <c r="D47" s="351">
        <v>350.2</v>
      </c>
      <c r="E47" s="351">
        <v>352</v>
      </c>
      <c r="F47" s="351">
        <v>353</v>
      </c>
      <c r="G47" s="351">
        <v>354</v>
      </c>
      <c r="H47" s="351">
        <v>355</v>
      </c>
      <c r="I47" s="351">
        <v>356</v>
      </c>
      <c r="J47" s="351">
        <v>357</v>
      </c>
      <c r="K47" s="351">
        <v>358</v>
      </c>
      <c r="L47" s="351">
        <v>359</v>
      </c>
      <c r="M47" s="122" t="s">
        <v>196</v>
      </c>
    </row>
    <row r="48" spans="1:14" ht="13">
      <c r="A48" s="549">
        <f t="shared" si="0"/>
        <v>24</v>
      </c>
      <c r="B48" s="1444" t="s">
        <v>2714</v>
      </c>
      <c r="C48" s="231">
        <f>C12*$C$30/12</f>
        <v>0</v>
      </c>
      <c r="D48" s="231">
        <f t="shared" ref="D48:D59" si="1">D12*$D30/12</f>
        <v>229263.38304774932</v>
      </c>
      <c r="E48" s="231">
        <f t="shared" ref="E48:E59" si="2">E12*$E30/12</f>
        <v>1587468.8067697342</v>
      </c>
      <c r="F48" s="231">
        <f t="shared" ref="F48:F59" si="3">F12*$F30/12</f>
        <v>7646572.8037617169</v>
      </c>
      <c r="G48" s="231">
        <f t="shared" ref="G48:G59" si="4">G12*$G30/12</f>
        <v>4687087.048275033</v>
      </c>
      <c r="H48" s="231">
        <f t="shared" ref="H48:H59" si="5">H12*$H30/12</f>
        <v>1247803.1167135027</v>
      </c>
      <c r="I48" s="231">
        <f t="shared" ref="I48:I59" si="6">I12*$I30/12</f>
        <v>3578700.2566933427</v>
      </c>
      <c r="J48" s="231">
        <f t="shared" ref="J48:J59" si="7">J12*$J30/12</f>
        <v>296131.96459880058</v>
      </c>
      <c r="K48" s="231">
        <f t="shared" ref="K48:K59" si="8">K12*$K30/12</f>
        <v>191086.29908034575</v>
      </c>
      <c r="L48" s="231">
        <f t="shared" ref="L48:L59" si="9">L12*$L30/12</f>
        <v>232897.07804094508</v>
      </c>
      <c r="M48" s="229">
        <f>SUM(C48:L48)</f>
        <v>19697010.756981175</v>
      </c>
    </row>
    <row r="49" spans="1:13" ht="13">
      <c r="A49" s="549">
        <f t="shared" si="0"/>
        <v>25</v>
      </c>
      <c r="B49" s="1444" t="s">
        <v>2715</v>
      </c>
      <c r="C49" s="231">
        <f>C13*$C$31/12</f>
        <v>0</v>
      </c>
      <c r="D49" s="231">
        <f t="shared" si="1"/>
        <v>230965.00331642103</v>
      </c>
      <c r="E49" s="231">
        <f t="shared" si="2"/>
        <v>1593359.286635984</v>
      </c>
      <c r="F49" s="231">
        <f t="shared" si="3"/>
        <v>7656774.2286531264</v>
      </c>
      <c r="G49" s="231">
        <f t="shared" si="4"/>
        <v>4685391.9583498808</v>
      </c>
      <c r="H49" s="231">
        <f t="shared" si="5"/>
        <v>1252838.2206907638</v>
      </c>
      <c r="I49" s="231">
        <f t="shared" si="6"/>
        <v>3583562.7167767989</v>
      </c>
      <c r="J49" s="231">
        <f t="shared" si="7"/>
        <v>296137.39489376912</v>
      </c>
      <c r="K49" s="231">
        <f t="shared" si="8"/>
        <v>191089.68318393777</v>
      </c>
      <c r="L49" s="231">
        <f t="shared" si="9"/>
        <v>232542.01880475049</v>
      </c>
      <c r="M49" s="229">
        <f t="shared" ref="M49:M59" si="10">SUM(C49:L49)</f>
        <v>19722660.511305436</v>
      </c>
    </row>
    <row r="50" spans="1:13" ht="13">
      <c r="A50" s="549">
        <f t="shared" si="0"/>
        <v>26</v>
      </c>
      <c r="B50" s="1444" t="s">
        <v>2716</v>
      </c>
      <c r="C50" s="231">
        <f>C14*$C$32/12</f>
        <v>0</v>
      </c>
      <c r="D50" s="231">
        <f t="shared" si="1"/>
        <v>230965.81646742101</v>
      </c>
      <c r="E50" s="231">
        <f t="shared" si="2"/>
        <v>1602099.3986572511</v>
      </c>
      <c r="F50" s="231">
        <f t="shared" si="3"/>
        <v>7714939.1745210299</v>
      </c>
      <c r="G50" s="231">
        <f t="shared" si="4"/>
        <v>4685290.9475725992</v>
      </c>
      <c r="H50" s="231">
        <f t="shared" si="5"/>
        <v>1258543.6018015805</v>
      </c>
      <c r="I50" s="231">
        <f t="shared" si="6"/>
        <v>3585763.0886135953</v>
      </c>
      <c r="J50" s="231">
        <f t="shared" si="7"/>
        <v>296143.50536661694</v>
      </c>
      <c r="K50" s="231">
        <f t="shared" si="8"/>
        <v>191093.36994173017</v>
      </c>
      <c r="L50" s="231">
        <f t="shared" si="9"/>
        <v>232681.81999791367</v>
      </c>
      <c r="M50" s="229">
        <f t="shared" si="10"/>
        <v>19797520.722939737</v>
      </c>
    </row>
    <row r="51" spans="1:13" ht="13">
      <c r="A51" s="549">
        <f t="shared" si="0"/>
        <v>27</v>
      </c>
      <c r="B51" s="1444" t="s">
        <v>2717</v>
      </c>
      <c r="C51" s="231">
        <f>C15*$C$33/12</f>
        <v>0</v>
      </c>
      <c r="D51" s="231">
        <f t="shared" si="1"/>
        <v>230973.40606856401</v>
      </c>
      <c r="E51" s="231">
        <f t="shared" si="2"/>
        <v>1608212.0796579414</v>
      </c>
      <c r="F51" s="231">
        <f t="shared" si="3"/>
        <v>7736826.4744952666</v>
      </c>
      <c r="G51" s="231">
        <f t="shared" si="4"/>
        <v>4686831.9355508713</v>
      </c>
      <c r="H51" s="231">
        <f t="shared" si="5"/>
        <v>1265494.0232905687</v>
      </c>
      <c r="I51" s="231">
        <f t="shared" si="6"/>
        <v>3588521.3409075998</v>
      </c>
      <c r="J51" s="231">
        <f t="shared" si="7"/>
        <v>296155.12683449307</v>
      </c>
      <c r="K51" s="231">
        <f t="shared" si="8"/>
        <v>191114.73251453074</v>
      </c>
      <c r="L51" s="231">
        <f t="shared" si="9"/>
        <v>232639.06956975721</v>
      </c>
      <c r="M51" s="229">
        <f t="shared" si="10"/>
        <v>19836768.188889593</v>
      </c>
    </row>
    <row r="52" spans="1:13" ht="13">
      <c r="A52" s="549">
        <f t="shared" si="0"/>
        <v>28</v>
      </c>
      <c r="B52" s="1444" t="s">
        <v>2718</v>
      </c>
      <c r="C52" s="231">
        <f>C16*$C$34/12</f>
        <v>0</v>
      </c>
      <c r="D52" s="231">
        <f t="shared" si="1"/>
        <v>230974.60661801358</v>
      </c>
      <c r="E52" s="231">
        <f t="shared" si="2"/>
        <v>1623777.2624270357</v>
      </c>
      <c r="F52" s="231">
        <f t="shared" si="3"/>
        <v>7757245.414160124</v>
      </c>
      <c r="G52" s="231">
        <f t="shared" si="4"/>
        <v>4694441.3498998545</v>
      </c>
      <c r="H52" s="231">
        <f t="shared" si="5"/>
        <v>1268782.6230913573</v>
      </c>
      <c r="I52" s="231">
        <f t="shared" si="6"/>
        <v>3591774.2328434647</v>
      </c>
      <c r="J52" s="231">
        <f t="shared" si="7"/>
        <v>296168.12648965552</v>
      </c>
      <c r="K52" s="231">
        <f t="shared" si="8"/>
        <v>191108.09268810527</v>
      </c>
      <c r="L52" s="231">
        <f t="shared" si="9"/>
        <v>232599.33635756897</v>
      </c>
      <c r="M52" s="229">
        <f t="shared" si="10"/>
        <v>19886871.044575177</v>
      </c>
    </row>
    <row r="53" spans="1:13" ht="13">
      <c r="A53" s="549">
        <f t="shared" si="0"/>
        <v>29</v>
      </c>
      <c r="B53" s="1444" t="s">
        <v>2719</v>
      </c>
      <c r="C53" s="231">
        <f>C17*$C$35/12</f>
        <v>0</v>
      </c>
      <c r="D53" s="231">
        <f t="shared" si="1"/>
        <v>230971.99510872041</v>
      </c>
      <c r="E53" s="231">
        <f t="shared" si="2"/>
        <v>1663986.9253602254</v>
      </c>
      <c r="F53" s="231">
        <f t="shared" si="3"/>
        <v>7817576.3348678453</v>
      </c>
      <c r="G53" s="231">
        <f t="shared" si="4"/>
        <v>4694678.6720042331</v>
      </c>
      <c r="H53" s="231">
        <f t="shared" si="5"/>
        <v>1270558.04388973</v>
      </c>
      <c r="I53" s="231">
        <f t="shared" si="6"/>
        <v>3592499.3599674962</v>
      </c>
      <c r="J53" s="231">
        <f t="shared" si="7"/>
        <v>296170.08180599468</v>
      </c>
      <c r="K53" s="231">
        <f t="shared" si="8"/>
        <v>191109.48633510826</v>
      </c>
      <c r="L53" s="231">
        <f t="shared" si="9"/>
        <v>232612.80944995544</v>
      </c>
      <c r="M53" s="229">
        <f t="shared" si="10"/>
        <v>19990163.708789311</v>
      </c>
    </row>
    <row r="54" spans="1:13" ht="13">
      <c r="A54" s="549">
        <f t="shared" si="0"/>
        <v>30</v>
      </c>
      <c r="B54" s="1444" t="s">
        <v>2720</v>
      </c>
      <c r="C54" s="231">
        <f>C18*$C$36/12</f>
        <v>0</v>
      </c>
      <c r="D54" s="231">
        <f t="shared" si="1"/>
        <v>230972.95478731324</v>
      </c>
      <c r="E54" s="231">
        <f t="shared" si="2"/>
        <v>1648570.8387045001</v>
      </c>
      <c r="F54" s="231">
        <f t="shared" si="3"/>
        <v>7894893.8424764797</v>
      </c>
      <c r="G54" s="231">
        <f t="shared" si="4"/>
        <v>4702523.7488973839</v>
      </c>
      <c r="H54" s="231">
        <f t="shared" si="5"/>
        <v>1297688.2895548351</v>
      </c>
      <c r="I54" s="231">
        <f t="shared" si="6"/>
        <v>3592616.444637239</v>
      </c>
      <c r="J54" s="231">
        <f t="shared" si="7"/>
        <v>296176.02039557032</v>
      </c>
      <c r="K54" s="231">
        <f t="shared" si="8"/>
        <v>191125.8526107528</v>
      </c>
      <c r="L54" s="231">
        <f t="shared" si="9"/>
        <v>232937.95191141521</v>
      </c>
      <c r="M54" s="229">
        <f t="shared" si="10"/>
        <v>20087505.94397549</v>
      </c>
    </row>
    <row r="55" spans="1:13" ht="13">
      <c r="A55" s="549">
        <f t="shared" si="0"/>
        <v>31</v>
      </c>
      <c r="B55" s="1444" t="s">
        <v>2721</v>
      </c>
      <c r="C55" s="231">
        <f>C19*$C$37/12</f>
        <v>0</v>
      </c>
      <c r="D55" s="231">
        <f t="shared" si="1"/>
        <v>230974.01779597989</v>
      </c>
      <c r="E55" s="231">
        <f t="shared" si="2"/>
        <v>1700865.5412432819</v>
      </c>
      <c r="F55" s="231">
        <f t="shared" si="3"/>
        <v>7915657.7586503075</v>
      </c>
      <c r="G55" s="231">
        <f t="shared" si="4"/>
        <v>4704571.6990767196</v>
      </c>
      <c r="H55" s="231">
        <f t="shared" si="5"/>
        <v>1300841.1228796947</v>
      </c>
      <c r="I55" s="231">
        <f t="shared" si="6"/>
        <v>3596033.9243772184</v>
      </c>
      <c r="J55" s="231">
        <f t="shared" si="7"/>
        <v>296179.70676825702</v>
      </c>
      <c r="K55" s="231">
        <f t="shared" si="8"/>
        <v>191126.9691724747</v>
      </c>
      <c r="L55" s="231">
        <f t="shared" si="9"/>
        <v>233026.17445183048</v>
      </c>
      <c r="M55" s="229">
        <f t="shared" si="10"/>
        <v>20169276.914415766</v>
      </c>
    </row>
    <row r="56" spans="1:13" ht="13">
      <c r="A56" s="549">
        <f t="shared" si="0"/>
        <v>32</v>
      </c>
      <c r="B56" s="1444" t="s">
        <v>2722</v>
      </c>
      <c r="C56" s="231">
        <f>C20*$C$38/12</f>
        <v>0</v>
      </c>
      <c r="D56" s="231">
        <f t="shared" si="1"/>
        <v>230976.38343146155</v>
      </c>
      <c r="E56" s="231">
        <f t="shared" si="2"/>
        <v>1705840.4516975258</v>
      </c>
      <c r="F56" s="231">
        <f t="shared" si="3"/>
        <v>8024541.7853014292</v>
      </c>
      <c r="G56" s="231">
        <f t="shared" si="4"/>
        <v>4719796.4495543148</v>
      </c>
      <c r="H56" s="231">
        <f t="shared" si="5"/>
        <v>1299374.7162816683</v>
      </c>
      <c r="I56" s="231">
        <f t="shared" si="6"/>
        <v>3594050.1319094687</v>
      </c>
      <c r="J56" s="231">
        <f t="shared" si="7"/>
        <v>296183.43151739042</v>
      </c>
      <c r="K56" s="231">
        <f t="shared" si="8"/>
        <v>191131.50415373803</v>
      </c>
      <c r="L56" s="231">
        <f t="shared" si="9"/>
        <v>232972.48634490382</v>
      </c>
      <c r="M56" s="229">
        <f t="shared" si="10"/>
        <v>20294867.340191901</v>
      </c>
    </row>
    <row r="57" spans="1:13" ht="13">
      <c r="A57" s="549">
        <f t="shared" si="0"/>
        <v>33</v>
      </c>
      <c r="B57" s="1444" t="s">
        <v>2723</v>
      </c>
      <c r="C57" s="231">
        <f>C21*$C$39/12</f>
        <v>0</v>
      </c>
      <c r="D57" s="231">
        <f t="shared" si="1"/>
        <v>230992.49277143492</v>
      </c>
      <c r="E57" s="231">
        <f t="shared" si="2"/>
        <v>1713121.7722103309</v>
      </c>
      <c r="F57" s="231">
        <f t="shared" si="3"/>
        <v>8052547.8939337367</v>
      </c>
      <c r="G57" s="231">
        <f t="shared" si="4"/>
        <v>4714829.0790503873</v>
      </c>
      <c r="H57" s="231">
        <f t="shared" si="5"/>
        <v>1303653.5834349175</v>
      </c>
      <c r="I57" s="231">
        <f t="shared" si="6"/>
        <v>3593178.8659953908</v>
      </c>
      <c r="J57" s="231">
        <f t="shared" si="7"/>
        <v>296189.59923554468</v>
      </c>
      <c r="K57" s="231">
        <f t="shared" si="8"/>
        <v>191136.44364536906</v>
      </c>
      <c r="L57" s="231">
        <f t="shared" si="9"/>
        <v>232845.5269262779</v>
      </c>
      <c r="M57" s="229">
        <f t="shared" si="10"/>
        <v>20328495.257203393</v>
      </c>
    </row>
    <row r="58" spans="1:13" ht="13">
      <c r="A58" s="549">
        <f t="shared" si="0"/>
        <v>34</v>
      </c>
      <c r="B58" s="1444" t="s">
        <v>2724</v>
      </c>
      <c r="C58" s="231">
        <f>C22*$C$40/12</f>
        <v>0</v>
      </c>
      <c r="D58" s="231">
        <f t="shared" si="1"/>
        <v>231026.77106630514</v>
      </c>
      <c r="E58" s="231">
        <f t="shared" si="2"/>
        <v>1718130.1058482239</v>
      </c>
      <c r="F58" s="231">
        <f t="shared" si="3"/>
        <v>8063081.3224928705</v>
      </c>
      <c r="G58" s="231">
        <f t="shared" si="4"/>
        <v>4674010.6301238863</v>
      </c>
      <c r="H58" s="231">
        <f t="shared" si="5"/>
        <v>1310585.4041320579</v>
      </c>
      <c r="I58" s="231">
        <f t="shared" si="6"/>
        <v>3621271.5888403463</v>
      </c>
      <c r="J58" s="231">
        <f t="shared" si="7"/>
        <v>296198.5156141023</v>
      </c>
      <c r="K58" s="231">
        <f t="shared" si="8"/>
        <v>191147.53045506435</v>
      </c>
      <c r="L58" s="231">
        <f t="shared" si="9"/>
        <v>249968.78178134488</v>
      </c>
      <c r="M58" s="229">
        <f t="shared" si="10"/>
        <v>20355420.650354203</v>
      </c>
    </row>
    <row r="59" spans="1:13" ht="13">
      <c r="A59" s="549">
        <f t="shared" si="0"/>
        <v>35</v>
      </c>
      <c r="B59" s="1444" t="s">
        <v>2725</v>
      </c>
      <c r="C59" s="445">
        <f>C23*$C$41/12</f>
        <v>0</v>
      </c>
      <c r="D59" s="445">
        <f t="shared" si="1"/>
        <v>231028.39901447183</v>
      </c>
      <c r="E59" s="445">
        <f t="shared" si="2"/>
        <v>1723599.8814662741</v>
      </c>
      <c r="F59" s="445">
        <f t="shared" si="3"/>
        <v>8118517.1009473912</v>
      </c>
      <c r="G59" s="445">
        <f t="shared" si="4"/>
        <v>4675317.6778530302</v>
      </c>
      <c r="H59" s="445">
        <f t="shared" si="5"/>
        <v>1312575.3819198147</v>
      </c>
      <c r="I59" s="445">
        <f t="shared" si="6"/>
        <v>3622494.080316551</v>
      </c>
      <c r="J59" s="445">
        <f t="shared" si="7"/>
        <v>296203.76360332716</v>
      </c>
      <c r="K59" s="445">
        <f t="shared" si="8"/>
        <v>191144.70432065529</v>
      </c>
      <c r="L59" s="445">
        <f t="shared" si="9"/>
        <v>249703.1773877285</v>
      </c>
      <c r="M59" s="91">
        <f t="shared" si="10"/>
        <v>20420584.16682924</v>
      </c>
    </row>
    <row r="60" spans="1:13" ht="13">
      <c r="A60" s="549">
        <f t="shared" si="0"/>
        <v>36</v>
      </c>
      <c r="B60" s="228" t="s">
        <v>197</v>
      </c>
      <c r="C60" s="229">
        <f>SUM(C48:C59)</f>
        <v>0</v>
      </c>
      <c r="D60" s="229">
        <f t="shared" ref="D60:K60" si="11">SUM(D48:D59)</f>
        <v>2770085.2294938564</v>
      </c>
      <c r="E60" s="229">
        <f t="shared" si="11"/>
        <v>19889032.35067831</v>
      </c>
      <c r="F60" s="229">
        <f t="shared" si="11"/>
        <v>94399174.134261325</v>
      </c>
      <c r="G60" s="229">
        <f t="shared" si="11"/>
        <v>56324771.196208194</v>
      </c>
      <c r="H60" s="229">
        <f>SUM(H48:H59)</f>
        <v>15388738.12768049</v>
      </c>
      <c r="I60" s="229">
        <f t="shared" si="11"/>
        <v>43140466.031878509</v>
      </c>
      <c r="J60" s="229">
        <f t="shared" si="11"/>
        <v>3554037.237123522</v>
      </c>
      <c r="K60" s="229">
        <f t="shared" si="11"/>
        <v>2293414.6681018118</v>
      </c>
      <c r="L60" s="229">
        <f>SUM(L48:L59)</f>
        <v>2827426.231024391</v>
      </c>
      <c r="M60" s="7"/>
    </row>
    <row r="61" spans="1:13" ht="13">
      <c r="A61" s="549">
        <f t="shared" si="0"/>
        <v>37</v>
      </c>
      <c r="B61" s="227"/>
      <c r="C61" s="227"/>
      <c r="D61" s="227"/>
      <c r="E61" s="227"/>
      <c r="F61" s="227"/>
      <c r="G61" s="227"/>
      <c r="H61" s="227"/>
      <c r="I61" s="227"/>
      <c r="J61" s="227"/>
      <c r="K61" s="227"/>
      <c r="L61" s="461" t="s">
        <v>967</v>
      </c>
      <c r="M61" s="229">
        <f>SUM(M48:M59)</f>
        <v>240587145.20645043</v>
      </c>
    </row>
    <row r="62" spans="1:13" ht="13">
      <c r="A62" s="549">
        <f t="shared" si="0"/>
        <v>38</v>
      </c>
      <c r="B62" s="227"/>
      <c r="C62" s="227"/>
      <c r="D62" s="227"/>
      <c r="E62" s="227"/>
      <c r="F62" s="227"/>
      <c r="G62" s="227"/>
      <c r="H62" s="227"/>
      <c r="I62" s="227"/>
      <c r="J62" s="227"/>
      <c r="K62" s="227"/>
      <c r="L62" s="701" t="s">
        <v>968</v>
      </c>
      <c r="M62" s="227"/>
    </row>
    <row r="63" spans="1:13" ht="13">
      <c r="A63" s="549">
        <f t="shared" si="0"/>
        <v>39</v>
      </c>
      <c r="B63" s="1" t="s">
        <v>1004</v>
      </c>
      <c r="C63" s="227"/>
      <c r="D63" s="227"/>
      <c r="E63" s="227"/>
      <c r="F63" s="227"/>
      <c r="G63" s="227"/>
      <c r="H63" s="227"/>
      <c r="I63" s="227"/>
      <c r="J63" s="227"/>
      <c r="K63" s="227"/>
      <c r="L63" s="227"/>
      <c r="M63" s="227"/>
    </row>
    <row r="64" spans="1:13" ht="13">
      <c r="A64" s="549">
        <f t="shared" si="0"/>
        <v>40</v>
      </c>
      <c r="B64" s="227"/>
      <c r="C64" s="227"/>
      <c r="D64" s="227"/>
      <c r="E64" s="227"/>
      <c r="F64" s="227"/>
      <c r="G64" s="227"/>
      <c r="H64" s="227"/>
      <c r="I64" s="227"/>
      <c r="J64" s="227"/>
      <c r="K64" s="227"/>
      <c r="L64" s="227"/>
      <c r="M64" s="227"/>
    </row>
    <row r="65" spans="1:13" ht="13">
      <c r="A65" s="549">
        <f t="shared" si="0"/>
        <v>41</v>
      </c>
      <c r="B65" s="227"/>
      <c r="C65" s="227"/>
      <c r="D65" s="84">
        <v>360</v>
      </c>
      <c r="E65" s="84">
        <v>361</v>
      </c>
      <c r="F65" s="84">
        <v>362</v>
      </c>
      <c r="G65" s="227"/>
      <c r="H65" s="51" t="s">
        <v>179</v>
      </c>
      <c r="I65" s="3"/>
      <c r="J65" s="227"/>
      <c r="K65" s="227"/>
      <c r="L65" s="227"/>
      <c r="M65" s="227"/>
    </row>
    <row r="66" spans="1:13" ht="13">
      <c r="A66" s="549">
        <f t="shared" si="0"/>
        <v>42</v>
      </c>
      <c r="B66" s="463" t="s">
        <v>1005</v>
      </c>
      <c r="C66" s="227"/>
      <c r="D66" s="231">
        <f>'6-PlantInService'!C35</f>
        <v>0</v>
      </c>
      <c r="E66" s="231">
        <f>'6-PlantInService'!D35</f>
        <v>0</v>
      </c>
      <c r="F66" s="231">
        <f>'6-PlantInService'!E35</f>
        <v>0</v>
      </c>
      <c r="G66" s="235"/>
      <c r="H66" s="465" t="s">
        <v>2171</v>
      </c>
      <c r="I66" s="462"/>
      <c r="J66" s="227"/>
      <c r="K66" s="227"/>
      <c r="L66" s="227"/>
      <c r="M66" s="227"/>
    </row>
    <row r="67" spans="1:13" ht="13">
      <c r="A67" s="549">
        <f t="shared" si="0"/>
        <v>43</v>
      </c>
      <c r="B67" s="463" t="s">
        <v>1006</v>
      </c>
      <c r="C67" s="227"/>
      <c r="D67" s="445">
        <f>'6-PlantInService'!C36</f>
        <v>0</v>
      </c>
      <c r="E67" s="445">
        <f>'6-PlantInService'!D36</f>
        <v>0</v>
      </c>
      <c r="F67" s="445">
        <f>'6-PlantInService'!E36</f>
        <v>0</v>
      </c>
      <c r="G67" s="235"/>
      <c r="H67" s="465" t="s">
        <v>2172</v>
      </c>
      <c r="I67" s="235"/>
      <c r="J67" s="227"/>
      <c r="K67" s="227"/>
      <c r="M67" s="227"/>
    </row>
    <row r="68" spans="1:13" ht="13">
      <c r="A68" s="549">
        <f t="shared" si="0"/>
        <v>44</v>
      </c>
      <c r="B68" s="463" t="s">
        <v>1007</v>
      </c>
      <c r="C68" s="227"/>
      <c r="D68" s="231">
        <f>AVERAGE(D66:D67)</f>
        <v>0</v>
      </c>
      <c r="E68" s="231">
        <f>AVERAGE(E66:E67)</f>
        <v>0</v>
      </c>
      <c r="F68" s="231">
        <f>AVERAGE(F66:F67)</f>
        <v>0</v>
      </c>
      <c r="G68" s="235"/>
      <c r="H68" s="876"/>
      <c r="I68" s="467"/>
      <c r="J68" s="227"/>
      <c r="K68" s="227"/>
      <c r="M68" s="227"/>
    </row>
    <row r="69" spans="1:13" ht="13">
      <c r="A69" s="549">
        <f t="shared" si="0"/>
        <v>45</v>
      </c>
      <c r="D69" s="14"/>
      <c r="E69" s="14"/>
      <c r="F69" s="14"/>
      <c r="G69" s="14"/>
      <c r="H69" s="14"/>
      <c r="J69" s="227"/>
      <c r="K69" s="227"/>
      <c r="M69" s="227"/>
    </row>
    <row r="70" spans="1:13" ht="13">
      <c r="A70" s="549">
        <f t="shared" si="0"/>
        <v>46</v>
      </c>
      <c r="B70" s="611" t="s">
        <v>1766</v>
      </c>
      <c r="C70" s="227"/>
      <c r="D70" s="235"/>
      <c r="E70" s="235"/>
      <c r="F70" s="14"/>
      <c r="G70" s="14"/>
      <c r="H70" s="14"/>
      <c r="J70" s="235"/>
      <c r="K70" s="235"/>
      <c r="L70" s="231"/>
      <c r="M70" s="227"/>
    </row>
    <row r="71" spans="1:13" ht="13">
      <c r="A71" s="549">
        <f t="shared" si="0"/>
        <v>47</v>
      </c>
      <c r="B71" s="227"/>
      <c r="D71" s="351">
        <v>360</v>
      </c>
      <c r="E71" s="351">
        <v>361</v>
      </c>
      <c r="F71" s="351">
        <v>362</v>
      </c>
      <c r="G71" s="14"/>
      <c r="H71" s="14"/>
      <c r="J71" s="235"/>
      <c r="K71" s="235"/>
      <c r="L71" s="231"/>
      <c r="M71" s="227"/>
    </row>
    <row r="72" spans="1:13" ht="13">
      <c r="A72" s="549">
        <f t="shared" si="0"/>
        <v>48</v>
      </c>
      <c r="D72" s="236">
        <f>'18-DepRates'!$G20</f>
        <v>1.67E-2</v>
      </c>
      <c r="E72" s="236">
        <f>'18-DepRates'!$G21</f>
        <v>2.2700000000000001E-2</v>
      </c>
      <c r="F72" s="236">
        <f>'18-DepRates'!$G22</f>
        <v>1.9E-2</v>
      </c>
      <c r="G72" s="14"/>
      <c r="H72" s="14"/>
      <c r="J72" s="235"/>
      <c r="K72" s="235"/>
      <c r="L72" s="231"/>
      <c r="M72" s="227"/>
    </row>
    <row r="73" spans="1:13" ht="13">
      <c r="A73" s="549">
        <f t="shared" si="0"/>
        <v>49</v>
      </c>
      <c r="D73" s="14"/>
      <c r="E73" s="14"/>
      <c r="F73" s="14"/>
      <c r="G73" s="14"/>
      <c r="H73" s="14"/>
      <c r="J73" s="235"/>
      <c r="K73" s="235"/>
      <c r="L73" s="110"/>
      <c r="M73" s="227"/>
    </row>
    <row r="74" spans="1:13" ht="13">
      <c r="A74" s="549">
        <f t="shared" si="0"/>
        <v>50</v>
      </c>
      <c r="B74" t="s">
        <v>361</v>
      </c>
      <c r="D74" s="14"/>
      <c r="E74" s="14"/>
      <c r="F74" s="465" t="s">
        <v>1684</v>
      </c>
      <c r="G74" s="14"/>
      <c r="H74" s="14"/>
      <c r="J74" s="235"/>
      <c r="K74" s="235"/>
      <c r="L74" s="236"/>
      <c r="M74" s="227"/>
    </row>
    <row r="75" spans="1:13" ht="13">
      <c r="A75" s="549">
        <f t="shared" si="0"/>
        <v>51</v>
      </c>
      <c r="J75" s="235"/>
      <c r="K75" s="235"/>
      <c r="L75" s="236"/>
      <c r="M75" s="227"/>
    </row>
    <row r="76" spans="1:13" ht="13">
      <c r="A76" s="549">
        <f t="shared" si="0"/>
        <v>52</v>
      </c>
      <c r="D76" s="84">
        <v>360</v>
      </c>
      <c r="E76" s="84">
        <v>361</v>
      </c>
      <c r="F76" s="84">
        <v>362</v>
      </c>
      <c r="G76" s="361" t="s">
        <v>196</v>
      </c>
      <c r="J76" s="235"/>
      <c r="K76" s="235"/>
      <c r="L76" s="236"/>
      <c r="M76" s="227"/>
    </row>
    <row r="77" spans="1:13" ht="13">
      <c r="A77" s="549">
        <f t="shared" ref="A77:A90" si="12">A76+1</f>
        <v>53</v>
      </c>
      <c r="D77" s="7">
        <f xml:space="preserve"> D68*D72</f>
        <v>0</v>
      </c>
      <c r="E77" s="7">
        <f xml:space="preserve"> E68*E72</f>
        <v>0</v>
      </c>
      <c r="F77" s="7">
        <f xml:space="preserve"> F68*F72</f>
        <v>0</v>
      </c>
      <c r="G77" s="7">
        <f>SUM(D77:F77)</f>
        <v>0</v>
      </c>
      <c r="H77" s="16" t="s">
        <v>1008</v>
      </c>
      <c r="J77" s="235"/>
      <c r="K77" s="235"/>
      <c r="L77" s="231"/>
      <c r="M77" s="227"/>
    </row>
    <row r="78" spans="1:13" ht="13">
      <c r="A78" s="549">
        <f t="shared" si="12"/>
        <v>54</v>
      </c>
      <c r="H78" s="16" t="s">
        <v>1009</v>
      </c>
      <c r="J78" s="235"/>
      <c r="K78" s="235"/>
      <c r="L78" s="235"/>
      <c r="M78" s="227"/>
    </row>
    <row r="79" spans="1:13" ht="13">
      <c r="A79" s="549">
        <f t="shared" si="12"/>
        <v>55</v>
      </c>
      <c r="J79" s="235"/>
      <c r="K79" s="235"/>
      <c r="L79" s="235"/>
      <c r="M79" s="227"/>
    </row>
    <row r="80" spans="1:13" ht="13">
      <c r="A80" s="549">
        <f t="shared" si="12"/>
        <v>56</v>
      </c>
      <c r="B80" s="1" t="s">
        <v>1010</v>
      </c>
      <c r="J80" s="235"/>
      <c r="K80" s="235"/>
      <c r="L80" s="235"/>
      <c r="M80" s="227"/>
    </row>
    <row r="81" spans="1:13" ht="13">
      <c r="A81" s="549">
        <f t="shared" si="12"/>
        <v>57</v>
      </c>
      <c r="B81" s="227"/>
      <c r="C81" s="227"/>
      <c r="D81" s="227"/>
      <c r="E81" s="227"/>
      <c r="F81" s="227"/>
      <c r="G81" s="227"/>
      <c r="H81" s="227"/>
      <c r="I81" s="227"/>
      <c r="J81" s="227"/>
      <c r="K81" s="227"/>
      <c r="L81" s="227"/>
      <c r="M81" s="227"/>
    </row>
    <row r="82" spans="1:13" ht="13">
      <c r="A82" s="549">
        <f t="shared" si="12"/>
        <v>58</v>
      </c>
      <c r="B82" s="533" t="s">
        <v>969</v>
      </c>
      <c r="C82" s="227"/>
      <c r="D82" s="227"/>
      <c r="E82" s="227"/>
      <c r="F82" s="227"/>
      <c r="G82" s="227"/>
      <c r="H82" s="362">
        <v>260971645</v>
      </c>
      <c r="I82" s="467" t="s">
        <v>971</v>
      </c>
      <c r="J82" s="227"/>
      <c r="K82" s="227"/>
      <c r="L82" s="227"/>
      <c r="M82" s="227"/>
    </row>
    <row r="83" spans="1:13" ht="13">
      <c r="A83" s="549">
        <f t="shared" si="12"/>
        <v>59</v>
      </c>
      <c r="B83" s="463" t="s">
        <v>970</v>
      </c>
      <c r="C83" s="227"/>
      <c r="D83" s="227"/>
      <c r="E83" s="227"/>
      <c r="F83" s="227"/>
      <c r="G83" s="227"/>
      <c r="H83" s="99">
        <v>223300352</v>
      </c>
      <c r="I83" s="467" t="s">
        <v>972</v>
      </c>
      <c r="J83" s="227"/>
      <c r="K83" s="227"/>
      <c r="L83" s="227"/>
      <c r="M83" s="227"/>
    </row>
    <row r="84" spans="1:13" ht="13">
      <c r="A84" s="549">
        <f t="shared" si="12"/>
        <v>60</v>
      </c>
      <c r="B84" s="533" t="s">
        <v>973</v>
      </c>
      <c r="C84" s="227"/>
      <c r="D84" s="227"/>
      <c r="E84" s="227"/>
      <c r="F84" s="227"/>
      <c r="G84" s="227"/>
      <c r="H84" s="229">
        <f>SUM(H82:H83)</f>
        <v>484271997</v>
      </c>
      <c r="I84" s="462" t="str">
        <f>"Line "&amp;A82&amp;" + Line "&amp;A83&amp;""</f>
        <v>Line 58 + Line 59</v>
      </c>
      <c r="J84" s="235"/>
      <c r="K84" s="227"/>
      <c r="L84" s="227"/>
      <c r="M84" s="227"/>
    </row>
    <row r="85" spans="1:13" ht="13">
      <c r="A85" s="549">
        <f t="shared" si="12"/>
        <v>61</v>
      </c>
      <c r="B85" s="533" t="s">
        <v>93</v>
      </c>
      <c r="C85" s="227"/>
      <c r="D85" s="227"/>
      <c r="E85" s="227"/>
      <c r="F85" s="227"/>
      <c r="G85" s="227"/>
      <c r="H85" s="242">
        <f>'27-Allocators'!G15</f>
        <v>6.9804259326257695E-2</v>
      </c>
      <c r="I85" s="112" t="str">
        <f>"27-Allocators, Line "&amp;'27-Allocators'!A15&amp;""</f>
        <v>27-Allocators, Line 9</v>
      </c>
      <c r="J85" s="235"/>
      <c r="K85" s="227"/>
      <c r="L85" s="227"/>
      <c r="M85" s="227"/>
    </row>
    <row r="86" spans="1:13" ht="13">
      <c r="A86" s="549">
        <f t="shared" si="12"/>
        <v>62</v>
      </c>
      <c r="B86" s="533" t="s">
        <v>974</v>
      </c>
      <c r="C86" s="227"/>
      <c r="D86" s="227"/>
      <c r="E86" s="227"/>
      <c r="F86" s="227"/>
      <c r="G86" s="227"/>
      <c r="H86" s="229">
        <f>H84*H85</f>
        <v>33804248.063032687</v>
      </c>
      <c r="I86" s="462" t="str">
        <f>"Line "&amp;A84&amp;" * Line "&amp;A85&amp;""</f>
        <v>Line 60 * Line 61</v>
      </c>
      <c r="J86" s="235"/>
      <c r="K86" s="227"/>
      <c r="L86" s="227"/>
      <c r="M86" s="227"/>
    </row>
    <row r="87" spans="1:13" ht="13">
      <c r="A87" s="549">
        <f t="shared" si="12"/>
        <v>63</v>
      </c>
      <c r="B87" s="533"/>
      <c r="C87" s="463"/>
      <c r="D87" s="227"/>
      <c r="E87" s="227"/>
      <c r="F87" s="227"/>
      <c r="G87" s="227"/>
      <c r="H87" s="227"/>
      <c r="I87" s="227"/>
      <c r="J87" s="227"/>
      <c r="K87" s="227"/>
      <c r="L87" s="227"/>
      <c r="M87" s="227"/>
    </row>
    <row r="88" spans="1:13" ht="13">
      <c r="A88" s="549">
        <f t="shared" si="12"/>
        <v>64</v>
      </c>
      <c r="B88" s="83" t="s">
        <v>1653</v>
      </c>
      <c r="C88" s="227"/>
      <c r="D88" s="227"/>
      <c r="E88" s="227"/>
      <c r="F88" s="227"/>
      <c r="G88" s="227"/>
      <c r="H88" s="227"/>
      <c r="I88" s="227"/>
      <c r="J88" s="227"/>
      <c r="K88" s="227"/>
      <c r="L88" s="227"/>
      <c r="M88" s="227"/>
    </row>
    <row r="89" spans="1:13" ht="13">
      <c r="A89" s="549">
        <f t="shared" si="12"/>
        <v>65</v>
      </c>
      <c r="B89" s="533"/>
      <c r="C89" s="463"/>
      <c r="D89" s="227"/>
      <c r="E89" s="227"/>
      <c r="F89" s="227"/>
      <c r="G89" s="227"/>
      <c r="H89" s="227"/>
      <c r="I89" s="227"/>
      <c r="J89" s="227"/>
      <c r="K89" s="227"/>
      <c r="L89" s="227"/>
      <c r="M89" s="227"/>
    </row>
    <row r="90" spans="1:13" ht="13">
      <c r="A90" s="549">
        <f t="shared" si="12"/>
        <v>66</v>
      </c>
      <c r="B90" s="533" t="s">
        <v>1652</v>
      </c>
      <c r="C90" s="227"/>
      <c r="D90" s="227"/>
      <c r="E90" s="227"/>
      <c r="F90" s="3" t="s">
        <v>175</v>
      </c>
      <c r="G90" s="3" t="s">
        <v>179</v>
      </c>
      <c r="H90" s="227"/>
      <c r="I90" s="227"/>
    </row>
    <row r="91" spans="1:13" ht="13">
      <c r="A91" s="549">
        <f>A90+1</f>
        <v>67</v>
      </c>
      <c r="B91" s="467" t="s">
        <v>960</v>
      </c>
      <c r="C91" s="227"/>
      <c r="D91" s="227"/>
      <c r="E91" s="227"/>
      <c r="F91" s="229">
        <f>M61</f>
        <v>240587145.20645043</v>
      </c>
      <c r="G91" s="467" t="str">
        <f>"Line "&amp;A61&amp;", Col 12"</f>
        <v>Line 37, Col 12</v>
      </c>
      <c r="H91" s="227"/>
      <c r="I91" s="227"/>
    </row>
    <row r="92" spans="1:13" ht="13">
      <c r="A92" s="549">
        <f>A91+1</f>
        <v>68</v>
      </c>
      <c r="B92" s="467" t="s">
        <v>976</v>
      </c>
      <c r="C92" s="227"/>
      <c r="D92" s="227"/>
      <c r="E92" s="227"/>
      <c r="F92" s="229">
        <f>G77</f>
        <v>0</v>
      </c>
      <c r="G92" s="467" t="str">
        <f>"Line "&amp;A77&amp;""</f>
        <v>Line 53</v>
      </c>
      <c r="H92" s="227"/>
      <c r="I92" s="227"/>
    </row>
    <row r="93" spans="1:13" ht="13">
      <c r="A93" s="549">
        <f>A92+1</f>
        <v>69</v>
      </c>
      <c r="B93" s="467" t="s">
        <v>975</v>
      </c>
      <c r="C93" s="227"/>
      <c r="D93" s="227"/>
      <c r="E93" s="227"/>
      <c r="F93" s="91">
        <f>H86</f>
        <v>33804248.063032687</v>
      </c>
      <c r="G93" s="467" t="str">
        <f>"Line "&amp;A86&amp;""</f>
        <v>Line 62</v>
      </c>
      <c r="H93" s="227"/>
      <c r="I93" s="227"/>
    </row>
    <row r="94" spans="1:13" ht="13">
      <c r="A94" s="549">
        <f>A93+1</f>
        <v>70</v>
      </c>
      <c r="B94" s="227"/>
      <c r="C94" s="227"/>
      <c r="D94" s="227"/>
      <c r="E94" s="228" t="s">
        <v>1011</v>
      </c>
      <c r="F94" s="229">
        <f>SUM(F91:F93)</f>
        <v>274391393.26948309</v>
      </c>
      <c r="G94" s="467" t="str">
        <f>"Line "&amp;A91&amp;" + Line "&amp;A92&amp;" + Line "&amp;A93&amp;""</f>
        <v>Line 67 + Line 68 + Line 69</v>
      </c>
      <c r="H94" s="227"/>
      <c r="I94" s="227"/>
    </row>
    <row r="95" spans="1:13" ht="13">
      <c r="A95" s="227"/>
      <c r="B95" s="1" t="s">
        <v>230</v>
      </c>
      <c r="C95" s="227"/>
      <c r="D95" s="227"/>
      <c r="E95" s="227"/>
      <c r="F95" s="227"/>
      <c r="G95" s="227"/>
      <c r="H95" s="227"/>
      <c r="I95" s="227"/>
    </row>
    <row r="96" spans="1:13">
      <c r="A96" s="227"/>
      <c r="B96" s="463" t="s">
        <v>1418</v>
      </c>
      <c r="C96" s="227"/>
      <c r="D96" s="227"/>
      <c r="E96" s="227"/>
      <c r="F96" s="227"/>
      <c r="G96" s="227"/>
      <c r="H96" s="227"/>
      <c r="I96" s="227"/>
    </row>
    <row r="97" spans="1:10">
      <c r="A97" s="227"/>
      <c r="B97" s="465" t="str">
        <f>"same account, times the Monthly Depreciation Rate for that account.  Monthly rate = annual rates on Line "&amp;A29&amp;" etc. divided by 12."</f>
        <v>same account, times the Monthly Depreciation Rate for that account.  Monthly rate = annual rates on Line 17a etc. divided by 12.</v>
      </c>
      <c r="C97" s="235"/>
      <c r="D97" s="235"/>
      <c r="E97" s="235"/>
      <c r="F97" s="235"/>
      <c r="G97" s="235"/>
      <c r="H97" s="235"/>
      <c r="I97" s="235"/>
      <c r="J97" s="14"/>
    </row>
    <row r="98" spans="1:10">
      <c r="A98" s="227"/>
      <c r="B98" s="465" t="str">
        <f>"2) Depreciation Expense for each account is equal to the Average BOY/EOY value on Line "&amp;A68&amp;" times the"</f>
        <v>2) Depreciation Expense for each account is equal to the Average BOY/EOY value on Line 44 times the</v>
      </c>
      <c r="C98" s="235"/>
      <c r="D98" s="235"/>
      <c r="E98" s="235"/>
      <c r="F98" s="235"/>
      <c r="G98" s="235"/>
      <c r="H98" s="235"/>
      <c r="I98" s="235"/>
      <c r="J98" s="14"/>
    </row>
    <row r="99" spans="1:10">
      <c r="B99" s="465" t="str">
        <f>"Depreciation Rate on Line "&amp;A72&amp;"."</f>
        <v>Depreciation Rate on Line 48.</v>
      </c>
      <c r="C99" s="14"/>
      <c r="D99" s="14"/>
      <c r="E99" s="14"/>
      <c r="F99" s="14"/>
      <c r="G99" s="14"/>
      <c r="H99" s="14"/>
      <c r="I99" s="14"/>
      <c r="J99" s="14"/>
    </row>
    <row r="100" spans="1:10" ht="13">
      <c r="B100" s="44" t="s">
        <v>377</v>
      </c>
      <c r="C100" s="14"/>
      <c r="D100" s="14"/>
      <c r="E100" s="14"/>
      <c r="F100" s="14"/>
      <c r="G100" s="14"/>
      <c r="H100" s="14"/>
      <c r="I100" s="14"/>
      <c r="J100" s="14"/>
    </row>
    <row r="101" spans="1:10">
      <c r="B101" s="463" t="s">
        <v>2455</v>
      </c>
      <c r="C101" s="14"/>
      <c r="D101" s="14"/>
      <c r="E101" s="14"/>
      <c r="F101" s="14"/>
      <c r="G101" s="14"/>
      <c r="H101" s="14"/>
      <c r="I101" s="14"/>
      <c r="J101" s="14"/>
    </row>
    <row r="102" spans="1:10">
      <c r="B102" s="463" t="s">
        <v>2453</v>
      </c>
      <c r="C102" s="14"/>
      <c r="D102" s="14"/>
      <c r="E102" s="14"/>
      <c r="F102" s="14"/>
      <c r="G102" s="14"/>
      <c r="H102" s="14"/>
      <c r="I102" s="14"/>
      <c r="J102" s="14"/>
    </row>
    <row r="103" spans="1:10">
      <c r="B103" s="465" t="s">
        <v>1753</v>
      </c>
      <c r="C103" s="14"/>
      <c r="D103" s="14"/>
      <c r="E103" s="14"/>
      <c r="F103" s="14"/>
      <c r="G103" s="14"/>
      <c r="H103" s="14"/>
      <c r="I103" s="14"/>
      <c r="J103" s="14"/>
    </row>
    <row r="104" spans="1:10">
      <c r="B104" s="465"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4"/>
      <c r="D104" s="14"/>
      <c r="E104" s="14"/>
      <c r="F104" s="14"/>
      <c r="G104" s="14"/>
      <c r="H104" s="14"/>
      <c r="I104" s="14"/>
      <c r="J104" s="14"/>
    </row>
  </sheetData>
  <pageMargins left="0.7" right="0.7" top="0.75" bottom="0.75" header="0.3" footer="0.3"/>
  <pageSetup scale="63" orientation="landscape" cellComments="asDisplayed" r:id="rId1"/>
  <headerFooter>
    <oddHeader>&amp;CSchedule 17
Depreciation Expense
&amp;RTO2022 Draft Annual Update 
Attachment 1</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6"/>
  <sheetViews>
    <sheetView zoomScaleNormal="100" workbookViewId="0"/>
  </sheetViews>
  <sheetFormatPr defaultColWidth="8.54296875" defaultRowHeight="12.5"/>
  <cols>
    <col min="1" max="1" width="4.54296875" style="955" customWidth="1"/>
    <col min="2" max="3" width="8.54296875" style="955"/>
    <col min="4" max="4" width="38.54296875" style="955" customWidth="1"/>
    <col min="5" max="7" width="8.54296875" style="463"/>
    <col min="8" max="16384" width="8.54296875" style="955"/>
  </cols>
  <sheetData>
    <row r="1" spans="1:11" ht="13">
      <c r="A1" s="382" t="s">
        <v>1012</v>
      </c>
      <c r="B1" s="463"/>
      <c r="C1" s="463"/>
      <c r="D1" s="463"/>
      <c r="K1" s="955" t="s">
        <v>2437</v>
      </c>
    </row>
    <row r="2" spans="1:11">
      <c r="A2" s="463"/>
      <c r="B2" s="463"/>
      <c r="C2" s="463"/>
      <c r="D2" s="463"/>
    </row>
    <row r="3" spans="1:11" ht="13">
      <c r="A3" s="463"/>
      <c r="B3" s="382" t="s">
        <v>320</v>
      </c>
      <c r="C3" s="463"/>
      <c r="D3" s="463"/>
      <c r="E3" s="549" t="s">
        <v>371</v>
      </c>
      <c r="F3" s="549"/>
      <c r="G3" s="549"/>
    </row>
    <row r="4" spans="1:11" ht="13">
      <c r="A4" s="463"/>
      <c r="B4" s="463"/>
      <c r="C4" s="230" t="s">
        <v>12</v>
      </c>
      <c r="D4" s="463"/>
      <c r="E4" s="549" t="s">
        <v>1013</v>
      </c>
      <c r="F4" s="4" t="s">
        <v>1014</v>
      </c>
      <c r="G4" s="4"/>
    </row>
    <row r="5" spans="1:11" ht="13">
      <c r="A5" s="51" t="s">
        <v>329</v>
      </c>
      <c r="B5" s="463"/>
      <c r="C5" s="361" t="s">
        <v>99</v>
      </c>
      <c r="D5" s="361" t="s">
        <v>100</v>
      </c>
      <c r="E5" s="3" t="s">
        <v>1015</v>
      </c>
      <c r="F5" s="3" t="s">
        <v>1016</v>
      </c>
      <c r="G5" s="3" t="s">
        <v>196</v>
      </c>
    </row>
    <row r="6" spans="1:11" ht="15" customHeight="1">
      <c r="A6" s="549">
        <v>1</v>
      </c>
      <c r="B6" s="463"/>
      <c r="C6" s="701">
        <v>350.1</v>
      </c>
      <c r="D6" s="467" t="s">
        <v>1017</v>
      </c>
      <c r="E6" s="500">
        <v>0</v>
      </c>
      <c r="F6" s="500">
        <v>0</v>
      </c>
      <c r="G6" s="500">
        <v>0</v>
      </c>
    </row>
    <row r="7" spans="1:11" ht="15" customHeight="1">
      <c r="A7" s="549">
        <f>A6+1</f>
        <v>2</v>
      </c>
      <c r="B7" s="463"/>
      <c r="C7" s="701">
        <v>350.2</v>
      </c>
      <c r="D7" s="467" t="s">
        <v>1018</v>
      </c>
      <c r="E7" s="500">
        <v>1.66E-2</v>
      </c>
      <c r="F7" s="500">
        <v>0</v>
      </c>
      <c r="G7" s="500">
        <v>1.66E-2</v>
      </c>
    </row>
    <row r="8" spans="1:11" ht="13">
      <c r="A8" s="549">
        <f t="shared" ref="A8:A16" si="0">A7+1</f>
        <v>3</v>
      </c>
      <c r="B8" s="463"/>
      <c r="C8" s="701">
        <v>352</v>
      </c>
      <c r="D8" s="467" t="s">
        <v>1019</v>
      </c>
      <c r="E8" s="500">
        <v>1.7999999999999999E-2</v>
      </c>
      <c r="F8" s="500">
        <v>7.7000000000000002E-3</v>
      </c>
      <c r="G8" s="500">
        <v>2.5700000000000001E-2</v>
      </c>
    </row>
    <row r="9" spans="1:11" ht="13">
      <c r="A9" s="549">
        <f t="shared" si="0"/>
        <v>4</v>
      </c>
      <c r="B9" s="463"/>
      <c r="C9" s="701">
        <v>353</v>
      </c>
      <c r="D9" s="467" t="s">
        <v>1020</v>
      </c>
      <c r="E9" s="500">
        <v>2.1999999999999999E-2</v>
      </c>
      <c r="F9" s="500">
        <v>2.7000000000000001E-3</v>
      </c>
      <c r="G9" s="500">
        <v>2.47E-2</v>
      </c>
    </row>
    <row r="10" spans="1:11" ht="13">
      <c r="A10" s="549">
        <f t="shared" si="0"/>
        <v>5</v>
      </c>
      <c r="B10" s="463"/>
      <c r="C10" s="701">
        <v>354</v>
      </c>
      <c r="D10" s="467" t="s">
        <v>1187</v>
      </c>
      <c r="E10" s="500">
        <v>1.35E-2</v>
      </c>
      <c r="F10" s="500">
        <v>1.09E-2</v>
      </c>
      <c r="G10" s="500">
        <v>2.4400000000000002E-2</v>
      </c>
    </row>
    <row r="11" spans="1:11" ht="13">
      <c r="A11" s="549">
        <f t="shared" si="0"/>
        <v>6</v>
      </c>
      <c r="B11" s="463"/>
      <c r="C11" s="701">
        <v>355</v>
      </c>
      <c r="D11" s="467" t="s">
        <v>1021</v>
      </c>
      <c r="E11" s="500">
        <v>0.02</v>
      </c>
      <c r="F11" s="500">
        <v>1.67E-2</v>
      </c>
      <c r="G11" s="500">
        <v>3.6700000000000003E-2</v>
      </c>
    </row>
    <row r="12" spans="1:11" ht="13">
      <c r="A12" s="549">
        <f t="shared" si="0"/>
        <v>7</v>
      </c>
      <c r="B12" s="463"/>
      <c r="C12" s="701">
        <v>356</v>
      </c>
      <c r="D12" s="467" t="s">
        <v>1022</v>
      </c>
      <c r="E12" s="500">
        <v>0.02</v>
      </c>
      <c r="F12" s="500">
        <v>1.0500000000000001E-2</v>
      </c>
      <c r="G12" s="500">
        <v>3.0499999999999999E-2</v>
      </c>
    </row>
    <row r="13" spans="1:11" ht="13">
      <c r="A13" s="549">
        <f t="shared" si="0"/>
        <v>8</v>
      </c>
      <c r="B13" s="463"/>
      <c r="C13" s="701">
        <v>357</v>
      </c>
      <c r="D13" s="467" t="s">
        <v>1023</v>
      </c>
      <c r="E13" s="500">
        <v>1.6500000000000001E-2</v>
      </c>
      <c r="F13" s="500">
        <v>0</v>
      </c>
      <c r="G13" s="500">
        <v>1.6500000000000001E-2</v>
      </c>
    </row>
    <row r="14" spans="1:11" ht="13">
      <c r="A14" s="549">
        <f t="shared" si="0"/>
        <v>9</v>
      </c>
      <c r="B14" s="463"/>
      <c r="C14" s="701">
        <v>358</v>
      </c>
      <c r="D14" s="467" t="s">
        <v>1024</v>
      </c>
      <c r="E14" s="500">
        <v>3.2599999999999997E-2</v>
      </c>
      <c r="F14" s="500">
        <v>6.1000000000000004E-3</v>
      </c>
      <c r="G14" s="500">
        <v>3.8699999999999998E-2</v>
      </c>
    </row>
    <row r="15" spans="1:11" ht="13">
      <c r="A15" s="549">
        <f t="shared" si="0"/>
        <v>10</v>
      </c>
      <c r="B15" s="463"/>
      <c r="C15" s="701">
        <v>359</v>
      </c>
      <c r="D15" s="467" t="s">
        <v>1025</v>
      </c>
      <c r="E15" s="500">
        <v>1.5599999999999999E-2</v>
      </c>
      <c r="F15" s="500">
        <v>0</v>
      </c>
      <c r="G15" s="500">
        <v>1.5599999999999999E-2</v>
      </c>
    </row>
    <row r="16" spans="1:11" ht="13">
      <c r="A16" s="549">
        <f t="shared" si="0"/>
        <v>11</v>
      </c>
      <c r="B16" s="463"/>
      <c r="C16" s="463"/>
      <c r="D16" s="463"/>
    </row>
    <row r="17" spans="1:7" ht="13">
      <c r="A17" s="463"/>
      <c r="B17" s="382" t="s">
        <v>321</v>
      </c>
      <c r="C17" s="463"/>
      <c r="D17" s="463"/>
      <c r="E17" s="549" t="s">
        <v>371</v>
      </c>
      <c r="F17" s="549"/>
      <c r="G17" s="549"/>
    </row>
    <row r="18" spans="1:7" ht="13">
      <c r="A18" s="463"/>
      <c r="B18" s="463"/>
      <c r="C18" s="230" t="s">
        <v>12</v>
      </c>
      <c r="D18" s="463"/>
      <c r="E18" s="549" t="s">
        <v>1013</v>
      </c>
      <c r="F18" s="4" t="s">
        <v>1014</v>
      </c>
      <c r="G18" s="4"/>
    </row>
    <row r="19" spans="1:7" ht="13">
      <c r="A19" s="463"/>
      <c r="B19" s="463"/>
      <c r="C19" s="361" t="s">
        <v>99</v>
      </c>
      <c r="D19" s="361" t="s">
        <v>100</v>
      </c>
      <c r="E19" s="3" t="s">
        <v>1015</v>
      </c>
      <c r="F19" s="3" t="s">
        <v>1016</v>
      </c>
      <c r="G19" s="3" t="s">
        <v>196</v>
      </c>
    </row>
    <row r="20" spans="1:7" ht="13">
      <c r="A20" s="549">
        <f>A16+1</f>
        <v>12</v>
      </c>
      <c r="B20" s="463"/>
      <c r="C20" s="463">
        <v>360</v>
      </c>
      <c r="D20" s="467" t="s">
        <v>1026</v>
      </c>
      <c r="E20" s="500">
        <v>1.67E-2</v>
      </c>
      <c r="F20" s="500">
        <v>0</v>
      </c>
      <c r="G20" s="500">
        <v>1.67E-2</v>
      </c>
    </row>
    <row r="21" spans="1:7" ht="13">
      <c r="A21" s="549">
        <f>A20+1</f>
        <v>13</v>
      </c>
      <c r="B21" s="463"/>
      <c r="C21" s="463">
        <v>361</v>
      </c>
      <c r="D21" s="467" t="s">
        <v>1019</v>
      </c>
      <c r="E21" s="500">
        <v>1.7500000000000002E-2</v>
      </c>
      <c r="F21" s="500">
        <v>5.1999999999999998E-3</v>
      </c>
      <c r="G21" s="500">
        <v>2.2700000000000001E-2</v>
      </c>
    </row>
    <row r="22" spans="1:7" ht="13">
      <c r="A22" s="549">
        <f>A21+1</f>
        <v>14</v>
      </c>
      <c r="B22" s="463"/>
      <c r="C22" s="463">
        <v>362</v>
      </c>
      <c r="D22" s="467" t="s">
        <v>1020</v>
      </c>
      <c r="E22" s="500">
        <v>1.32E-2</v>
      </c>
      <c r="F22" s="500">
        <v>5.7999999999999996E-3</v>
      </c>
      <c r="G22" s="500">
        <v>1.9E-2</v>
      </c>
    </row>
    <row r="23" spans="1:7">
      <c r="A23" s="463"/>
      <c r="B23" s="463"/>
      <c r="C23" s="463"/>
      <c r="D23" s="463"/>
    </row>
    <row r="24" spans="1:7" ht="13">
      <c r="A24" s="463"/>
      <c r="B24" s="382" t="s">
        <v>1027</v>
      </c>
      <c r="C24" s="463"/>
      <c r="D24" s="463"/>
      <c r="E24" s="549" t="s">
        <v>371</v>
      </c>
    </row>
    <row r="25" spans="1:7" ht="13">
      <c r="A25" s="463"/>
      <c r="B25" s="463"/>
      <c r="C25" s="230" t="s">
        <v>12</v>
      </c>
      <c r="D25" s="463"/>
      <c r="E25" s="549" t="s">
        <v>1013</v>
      </c>
      <c r="F25" s="4" t="s">
        <v>1014</v>
      </c>
      <c r="G25" s="4"/>
    </row>
    <row r="26" spans="1:7" ht="13">
      <c r="A26" s="463"/>
      <c r="B26" s="463"/>
      <c r="C26" s="361" t="s">
        <v>99</v>
      </c>
      <c r="D26" s="361" t="s">
        <v>100</v>
      </c>
      <c r="E26" s="3" t="s">
        <v>1015</v>
      </c>
      <c r="F26" s="3" t="s">
        <v>1016</v>
      </c>
      <c r="G26" s="3" t="s">
        <v>196</v>
      </c>
    </row>
    <row r="27" spans="1:7" ht="13">
      <c r="A27" s="549">
        <f>A22+1</f>
        <v>15</v>
      </c>
      <c r="B27" s="463"/>
      <c r="C27" s="463">
        <v>389</v>
      </c>
      <c r="D27" s="467" t="s">
        <v>1026</v>
      </c>
      <c r="E27" s="834">
        <v>1.67E-2</v>
      </c>
      <c r="F27" s="834">
        <v>0</v>
      </c>
      <c r="G27" s="834">
        <v>1.67E-2</v>
      </c>
    </row>
    <row r="28" spans="1:7" ht="13">
      <c r="A28" s="549">
        <f t="shared" ref="A28:A42" si="1">A27+1</f>
        <v>16</v>
      </c>
      <c r="B28" s="463"/>
      <c r="C28" s="463">
        <v>390</v>
      </c>
      <c r="D28" s="467" t="s">
        <v>1019</v>
      </c>
      <c r="E28" s="834">
        <v>1.8099999999999998E-2</v>
      </c>
      <c r="F28" s="834">
        <v>2.7000000000000001E-3</v>
      </c>
      <c r="G28" s="834">
        <v>2.0799999999999999E-2</v>
      </c>
    </row>
    <row r="29" spans="1:7" ht="13">
      <c r="A29" s="549">
        <f t="shared" si="1"/>
        <v>17</v>
      </c>
      <c r="B29" s="463"/>
      <c r="C29" s="463">
        <v>391.1</v>
      </c>
      <c r="D29" s="1491" t="s">
        <v>1028</v>
      </c>
      <c r="E29" s="834">
        <v>0.05</v>
      </c>
      <c r="F29" s="834">
        <v>0</v>
      </c>
      <c r="G29" s="834">
        <v>0.05</v>
      </c>
    </row>
    <row r="30" spans="1:7" ht="13">
      <c r="A30" s="549">
        <f t="shared" si="1"/>
        <v>18</v>
      </c>
      <c r="B30" s="463"/>
      <c r="C30" s="463">
        <v>391.5</v>
      </c>
      <c r="D30" s="1491" t="s">
        <v>1579</v>
      </c>
      <c r="E30" s="834">
        <v>0.2</v>
      </c>
      <c r="F30" s="834">
        <v>0</v>
      </c>
      <c r="G30" s="834">
        <v>0.2</v>
      </c>
    </row>
    <row r="31" spans="1:7" ht="13">
      <c r="A31" s="549">
        <f t="shared" si="1"/>
        <v>19</v>
      </c>
      <c r="B31" s="463"/>
      <c r="C31" s="463">
        <v>391.6</v>
      </c>
      <c r="D31" s="1491" t="s">
        <v>1580</v>
      </c>
      <c r="E31" s="834">
        <v>0.2</v>
      </c>
      <c r="F31" s="834">
        <v>0</v>
      </c>
      <c r="G31" s="834">
        <v>0.2</v>
      </c>
    </row>
    <row r="32" spans="1:7" ht="13">
      <c r="A32" s="549">
        <f t="shared" si="1"/>
        <v>20</v>
      </c>
      <c r="B32" s="463"/>
      <c r="C32" s="463">
        <v>391.2</v>
      </c>
      <c r="D32" s="1491" t="s">
        <v>1581</v>
      </c>
      <c r="E32" s="834">
        <v>0.2</v>
      </c>
      <c r="F32" s="834">
        <v>0</v>
      </c>
      <c r="G32" s="834">
        <v>0.2</v>
      </c>
    </row>
    <row r="33" spans="1:7" ht="13">
      <c r="A33" s="549">
        <f t="shared" si="1"/>
        <v>21</v>
      </c>
      <c r="B33" s="463"/>
      <c r="C33" s="463">
        <v>391.3</v>
      </c>
      <c r="D33" s="1491" t="s">
        <v>1582</v>
      </c>
      <c r="E33" s="834">
        <v>0.2</v>
      </c>
      <c r="F33" s="834">
        <v>0</v>
      </c>
      <c r="G33" s="834">
        <v>0.2</v>
      </c>
    </row>
    <row r="34" spans="1:7" ht="13">
      <c r="A34" s="549">
        <f t="shared" si="1"/>
        <v>22</v>
      </c>
      <c r="B34" s="463"/>
      <c r="C34" s="461">
        <v>391.7</v>
      </c>
      <c r="D34" s="1491" t="s">
        <v>1583</v>
      </c>
      <c r="E34" s="834">
        <v>0.2</v>
      </c>
      <c r="F34" s="834">
        <v>0</v>
      </c>
      <c r="G34" s="834">
        <v>0.2</v>
      </c>
    </row>
    <row r="35" spans="1:7" ht="13">
      <c r="A35" s="549">
        <f t="shared" si="1"/>
        <v>23</v>
      </c>
      <c r="B35" s="463"/>
      <c r="C35" s="461">
        <v>391.4</v>
      </c>
      <c r="D35" s="1491" t="s">
        <v>1584</v>
      </c>
      <c r="E35" s="834">
        <v>0.1429</v>
      </c>
      <c r="F35" s="834">
        <v>0</v>
      </c>
      <c r="G35" s="834">
        <v>0.1429</v>
      </c>
    </row>
    <row r="36" spans="1:7" ht="13">
      <c r="A36" s="549">
        <f t="shared" si="1"/>
        <v>24</v>
      </c>
      <c r="B36" s="463"/>
      <c r="C36" s="463">
        <v>391.4</v>
      </c>
      <c r="D36" s="1491" t="s">
        <v>1585</v>
      </c>
      <c r="E36" s="834">
        <v>0.1</v>
      </c>
      <c r="F36" s="834">
        <v>0</v>
      </c>
      <c r="G36" s="834">
        <v>0.1</v>
      </c>
    </row>
    <row r="37" spans="1:7" ht="13">
      <c r="A37" s="549">
        <f t="shared" si="1"/>
        <v>25</v>
      </c>
      <c r="B37" s="463"/>
      <c r="C37" s="461">
        <v>391.4</v>
      </c>
      <c r="D37" s="1491" t="s">
        <v>1586</v>
      </c>
      <c r="E37" s="834">
        <v>6.6699999999999995E-2</v>
      </c>
      <c r="F37" s="834">
        <v>0</v>
      </c>
      <c r="G37" s="834">
        <v>6.6699999999999995E-2</v>
      </c>
    </row>
    <row r="38" spans="1:7" ht="13">
      <c r="A38" s="549">
        <f t="shared" si="1"/>
        <v>26</v>
      </c>
      <c r="B38" s="463"/>
      <c r="C38" s="461">
        <v>391.4</v>
      </c>
      <c r="D38" s="1491" t="s">
        <v>1587</v>
      </c>
      <c r="E38" s="834">
        <v>0.05</v>
      </c>
      <c r="F38" s="834">
        <v>0</v>
      </c>
      <c r="G38" s="834">
        <v>0.05</v>
      </c>
    </row>
    <row r="39" spans="1:7" ht="13">
      <c r="A39" s="549">
        <f t="shared" si="1"/>
        <v>27</v>
      </c>
      <c r="B39" s="463"/>
      <c r="C39" s="461">
        <v>391.4</v>
      </c>
      <c r="D39" s="1492" t="s">
        <v>2521</v>
      </c>
      <c r="E39" s="500">
        <v>0.2</v>
      </c>
      <c r="F39" s="500">
        <v>0</v>
      </c>
      <c r="G39" s="500">
        <v>0.2</v>
      </c>
    </row>
    <row r="40" spans="1:7" ht="13">
      <c r="A40" s="549">
        <f t="shared" si="1"/>
        <v>28</v>
      </c>
      <c r="B40" s="463"/>
      <c r="C40" s="461">
        <v>393</v>
      </c>
      <c r="D40" s="467" t="s">
        <v>1588</v>
      </c>
      <c r="E40" s="834">
        <v>0.05</v>
      </c>
      <c r="F40" s="834">
        <v>0</v>
      </c>
      <c r="G40" s="834">
        <v>0.05</v>
      </c>
    </row>
    <row r="41" spans="1:7" ht="13">
      <c r="A41" s="549">
        <f t="shared" si="1"/>
        <v>29</v>
      </c>
      <c r="B41" s="463"/>
      <c r="C41" s="461">
        <v>395</v>
      </c>
      <c r="D41" s="467" t="s">
        <v>1589</v>
      </c>
      <c r="E41" s="834">
        <v>6.6699999999999995E-2</v>
      </c>
      <c r="F41" s="834">
        <v>0</v>
      </c>
      <c r="G41" s="834">
        <v>6.6699999999999995E-2</v>
      </c>
    </row>
    <row r="42" spans="1:7" ht="13">
      <c r="A42" s="549">
        <f t="shared" si="1"/>
        <v>30</v>
      </c>
      <c r="B42" s="463"/>
      <c r="C42" s="461">
        <v>398</v>
      </c>
      <c r="D42" s="467" t="s">
        <v>1590</v>
      </c>
      <c r="E42" s="834">
        <v>0.05</v>
      </c>
      <c r="F42" s="834">
        <v>0</v>
      </c>
      <c r="G42" s="834">
        <v>0.05</v>
      </c>
    </row>
    <row r="43" spans="1:7" ht="13">
      <c r="A43" s="549">
        <f>A42+1</f>
        <v>31</v>
      </c>
      <c r="B43" s="463"/>
      <c r="C43" s="461">
        <v>397</v>
      </c>
      <c r="D43" s="467" t="s">
        <v>2182</v>
      </c>
      <c r="E43" s="834">
        <v>0.2</v>
      </c>
      <c r="F43" s="834">
        <v>0</v>
      </c>
      <c r="G43" s="834">
        <v>0.2</v>
      </c>
    </row>
    <row r="44" spans="1:7" ht="13">
      <c r="A44" s="549">
        <f t="shared" ref="A44:A53" si="2">A43+1</f>
        <v>32</v>
      </c>
      <c r="B44" s="463"/>
      <c r="C44" s="461">
        <v>397</v>
      </c>
      <c r="D44" s="467" t="s">
        <v>1591</v>
      </c>
      <c r="E44" s="834">
        <v>0.1429</v>
      </c>
      <c r="F44" s="834">
        <v>0</v>
      </c>
      <c r="G44" s="834">
        <v>0.1429</v>
      </c>
    </row>
    <row r="45" spans="1:7" ht="13">
      <c r="A45" s="549">
        <f t="shared" si="2"/>
        <v>33</v>
      </c>
      <c r="B45" s="463"/>
      <c r="C45" s="461">
        <v>397</v>
      </c>
      <c r="D45" s="467" t="s">
        <v>1592</v>
      </c>
      <c r="E45" s="834">
        <v>0.1</v>
      </c>
      <c r="F45" s="834">
        <v>0</v>
      </c>
      <c r="G45" s="834">
        <v>0.1</v>
      </c>
    </row>
    <row r="46" spans="1:7" ht="13">
      <c r="A46" s="549">
        <f t="shared" si="2"/>
        <v>34</v>
      </c>
      <c r="B46" s="463"/>
      <c r="C46" s="461">
        <v>397</v>
      </c>
      <c r="D46" s="467" t="s">
        <v>1593</v>
      </c>
      <c r="E46" s="834">
        <v>6.6699999999999995E-2</v>
      </c>
      <c r="F46" s="834">
        <v>0</v>
      </c>
      <c r="G46" s="834">
        <v>6.6699999999999995E-2</v>
      </c>
    </row>
    <row r="47" spans="1:7" ht="13">
      <c r="A47" s="549">
        <f t="shared" si="2"/>
        <v>35</v>
      </c>
      <c r="B47" s="463"/>
      <c r="C47" s="461">
        <v>397</v>
      </c>
      <c r="D47" s="467" t="s">
        <v>2183</v>
      </c>
      <c r="E47" s="996">
        <v>0.05</v>
      </c>
      <c r="F47" s="834">
        <v>0</v>
      </c>
      <c r="G47" s="996">
        <v>0.05</v>
      </c>
    </row>
    <row r="48" spans="1:7" ht="13">
      <c r="A48" s="549">
        <f t="shared" si="2"/>
        <v>36</v>
      </c>
      <c r="B48" s="463"/>
      <c r="C48" s="461">
        <v>397</v>
      </c>
      <c r="D48" s="467" t="s">
        <v>1594</v>
      </c>
      <c r="E48" s="834">
        <v>0.04</v>
      </c>
      <c r="F48" s="834">
        <v>0</v>
      </c>
      <c r="G48" s="834">
        <v>0.04</v>
      </c>
    </row>
    <row r="49" spans="1:7" ht="13">
      <c r="A49" s="549">
        <f t="shared" si="2"/>
        <v>37</v>
      </c>
      <c r="B49" s="463"/>
      <c r="C49" s="461">
        <v>397</v>
      </c>
      <c r="D49" s="467" t="s">
        <v>1595</v>
      </c>
      <c r="E49" s="834">
        <v>2.5000000000000001E-2</v>
      </c>
      <c r="F49" s="834">
        <v>0</v>
      </c>
      <c r="G49" s="834">
        <v>2.5000000000000001E-2</v>
      </c>
    </row>
    <row r="50" spans="1:7" ht="13">
      <c r="A50" s="549">
        <f t="shared" si="2"/>
        <v>38</v>
      </c>
      <c r="B50" s="463"/>
      <c r="C50" s="461">
        <v>392</v>
      </c>
      <c r="D50" s="467" t="s">
        <v>1596</v>
      </c>
      <c r="E50" s="834">
        <v>0.1429</v>
      </c>
      <c r="F50" s="834">
        <v>0</v>
      </c>
      <c r="G50" s="834">
        <v>0.1429</v>
      </c>
    </row>
    <row r="51" spans="1:7" ht="13">
      <c r="A51" s="549">
        <f t="shared" si="2"/>
        <v>39</v>
      </c>
      <c r="B51" s="463"/>
      <c r="C51" s="461">
        <v>394.4</v>
      </c>
      <c r="D51" s="467" t="s">
        <v>1597</v>
      </c>
      <c r="E51" s="834">
        <v>0.1</v>
      </c>
      <c r="F51" s="834">
        <v>0</v>
      </c>
      <c r="G51" s="834">
        <v>0.1</v>
      </c>
    </row>
    <row r="52" spans="1:7" ht="13">
      <c r="A52" s="549">
        <f t="shared" si="2"/>
        <v>40</v>
      </c>
      <c r="B52" s="463"/>
      <c r="C52" s="461">
        <v>394.5</v>
      </c>
      <c r="D52" s="467" t="s">
        <v>1598</v>
      </c>
      <c r="E52" s="834">
        <v>0.1</v>
      </c>
      <c r="F52" s="834">
        <v>0</v>
      </c>
      <c r="G52" s="834">
        <v>0.1</v>
      </c>
    </row>
    <row r="53" spans="1:7" ht="13">
      <c r="A53" s="549">
        <f t="shared" si="2"/>
        <v>41</v>
      </c>
      <c r="B53" s="463"/>
      <c r="C53" s="461">
        <v>396</v>
      </c>
      <c r="D53" s="467" t="s">
        <v>1599</v>
      </c>
      <c r="E53" s="834">
        <v>6.6699999999999995E-2</v>
      </c>
      <c r="F53" s="834">
        <v>0</v>
      </c>
      <c r="G53" s="834">
        <v>6.6699999999999995E-2</v>
      </c>
    </row>
    <row r="54" spans="1:7">
      <c r="A54" s="463"/>
      <c r="B54" s="463"/>
      <c r="C54" s="463"/>
      <c r="D54" s="463"/>
    </row>
    <row r="55" spans="1:7" ht="13">
      <c r="A55" s="463"/>
      <c r="B55" s="382" t="s">
        <v>1029</v>
      </c>
      <c r="C55" s="463"/>
      <c r="D55" s="463"/>
      <c r="E55" s="549" t="s">
        <v>371</v>
      </c>
    </row>
    <row r="56" spans="1:7" ht="13">
      <c r="A56" s="463"/>
      <c r="B56" s="463"/>
      <c r="C56" s="230" t="s">
        <v>12</v>
      </c>
      <c r="D56" s="463"/>
      <c r="E56" s="549" t="s">
        <v>1013</v>
      </c>
      <c r="F56" s="4" t="s">
        <v>1014</v>
      </c>
      <c r="G56" s="4"/>
    </row>
    <row r="57" spans="1:7" ht="13">
      <c r="A57" s="463"/>
      <c r="B57" s="463"/>
      <c r="C57" s="361" t="s">
        <v>99</v>
      </c>
      <c r="D57" s="361" t="s">
        <v>100</v>
      </c>
      <c r="E57" s="3" t="s">
        <v>1015</v>
      </c>
      <c r="F57" s="3" t="s">
        <v>1016</v>
      </c>
      <c r="G57" s="3" t="s">
        <v>196</v>
      </c>
    </row>
    <row r="58" spans="1:7" ht="13">
      <c r="A58" s="549">
        <f>A53+1</f>
        <v>42</v>
      </c>
      <c r="B58" s="463"/>
      <c r="C58" s="461">
        <v>302</v>
      </c>
      <c r="D58" s="467" t="s">
        <v>1030</v>
      </c>
      <c r="E58" s="500">
        <v>1.8499999999999999E-2</v>
      </c>
      <c r="F58" s="500">
        <v>0</v>
      </c>
      <c r="G58" s="500">
        <v>1.8499999999999999E-2</v>
      </c>
    </row>
    <row r="59" spans="1:7" ht="13">
      <c r="A59" s="549">
        <f t="shared" ref="A59:A64" si="3">A58+1</f>
        <v>43</v>
      </c>
      <c r="B59" s="463"/>
      <c r="C59" s="461">
        <v>303</v>
      </c>
      <c r="D59" s="467" t="s">
        <v>1031</v>
      </c>
      <c r="E59" s="834">
        <v>2.5000000000000001E-2</v>
      </c>
      <c r="F59" s="834">
        <v>0</v>
      </c>
      <c r="G59" s="834">
        <v>2.5000000000000001E-2</v>
      </c>
    </row>
    <row r="60" spans="1:7" ht="13">
      <c r="A60" s="549">
        <f t="shared" si="3"/>
        <v>44</v>
      </c>
      <c r="B60" s="463"/>
      <c r="C60" s="461">
        <v>301</v>
      </c>
      <c r="D60" s="467" t="s">
        <v>1032</v>
      </c>
      <c r="E60" s="834">
        <v>0.05</v>
      </c>
      <c r="F60" s="834">
        <v>0</v>
      </c>
      <c r="G60" s="834">
        <v>0.05</v>
      </c>
    </row>
    <row r="61" spans="1:7" ht="13">
      <c r="A61" s="549">
        <f t="shared" si="3"/>
        <v>45</v>
      </c>
      <c r="B61" s="463"/>
      <c r="C61" s="461">
        <v>303</v>
      </c>
      <c r="D61" s="467" t="s">
        <v>1033</v>
      </c>
      <c r="E61" s="834">
        <v>0.2031</v>
      </c>
      <c r="F61" s="834">
        <v>0</v>
      </c>
      <c r="G61" s="834">
        <v>0.2031</v>
      </c>
    </row>
    <row r="62" spans="1:7" ht="13">
      <c r="A62" s="549">
        <f t="shared" si="3"/>
        <v>46</v>
      </c>
      <c r="B62" s="463"/>
      <c r="C62" s="461">
        <v>303</v>
      </c>
      <c r="D62" s="467" t="s">
        <v>1034</v>
      </c>
      <c r="E62" s="834">
        <v>0.1462</v>
      </c>
      <c r="F62" s="834">
        <v>0</v>
      </c>
      <c r="G62" s="834">
        <v>0.1462</v>
      </c>
    </row>
    <row r="63" spans="1:7" ht="13">
      <c r="A63" s="549">
        <f t="shared" si="3"/>
        <v>47</v>
      </c>
      <c r="B63" s="463"/>
      <c r="C63" s="461">
        <v>303</v>
      </c>
      <c r="D63" s="467" t="s">
        <v>1035</v>
      </c>
      <c r="E63" s="834">
        <v>0.1293</v>
      </c>
      <c r="F63" s="834">
        <v>0</v>
      </c>
      <c r="G63" s="834">
        <v>0.1293</v>
      </c>
    </row>
    <row r="64" spans="1:7" ht="13">
      <c r="A64" s="549">
        <f t="shared" si="3"/>
        <v>48</v>
      </c>
      <c r="B64" s="463"/>
      <c r="C64" s="461">
        <v>303</v>
      </c>
      <c r="D64" s="467" t="s">
        <v>1036</v>
      </c>
      <c r="E64" s="834">
        <v>8.48E-2</v>
      </c>
      <c r="F64" s="834">
        <v>0</v>
      </c>
      <c r="G64" s="834">
        <v>8.48E-2</v>
      </c>
    </row>
    <row r="65" spans="1:6" ht="13">
      <c r="A65" s="463"/>
      <c r="B65" s="465" t="s">
        <v>1719</v>
      </c>
      <c r="C65" s="465"/>
      <c r="D65" s="465"/>
      <c r="E65" s="465"/>
      <c r="F65" s="465"/>
    </row>
    <row r="66" spans="1:6">
      <c r="A66" s="463"/>
      <c r="B66" s="465" t="s">
        <v>2407</v>
      </c>
      <c r="C66" s="465"/>
      <c r="D66" s="465"/>
      <c r="E66" s="465"/>
      <c r="F66" s="465"/>
    </row>
  </sheetData>
  <pageMargins left="0.7" right="0.7" top="0.75" bottom="0.75" header="0.3" footer="0.3"/>
  <pageSetup scale="75" orientation="portrait" cellComments="asDisplayed" r:id="rId1"/>
  <headerFooter>
    <oddHeader>&amp;CSchedule 18
Depreciation Rates
&amp;RTO2022 Draft Annual Update 
Attachment 1</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55"/>
  <sheetViews>
    <sheetView zoomScaleNormal="100" zoomScaleSheetLayoutView="40" zoomScalePageLayoutView="90" workbookViewId="0"/>
  </sheetViews>
  <sheetFormatPr defaultColWidth="9.453125" defaultRowHeight="12.5"/>
  <cols>
    <col min="1" max="1" width="5.54296875" style="476" customWidth="1"/>
    <col min="2" max="2" width="50.54296875" style="476" customWidth="1"/>
    <col min="3" max="3" width="14.54296875" style="474" customWidth="1"/>
    <col min="4" max="4" width="16.453125" style="474" customWidth="1"/>
    <col min="5" max="5" width="14.54296875" style="474" customWidth="1"/>
    <col min="6" max="6" width="12.54296875" style="825" customWidth="1"/>
    <col min="7" max="7" width="16.54296875" style="785" customWidth="1"/>
    <col min="8" max="9" width="14.54296875" style="786" customWidth="1"/>
    <col min="10" max="12" width="14.54296875" style="476" customWidth="1"/>
    <col min="13" max="13" width="9.453125" style="463"/>
    <col min="14" max="14" width="10.54296875" style="463" bestFit="1" customWidth="1"/>
    <col min="15" max="16384" width="9.453125" style="463"/>
  </cols>
  <sheetData>
    <row r="1" spans="1:12" ht="12.75" customHeight="1">
      <c r="A1" s="397" t="s">
        <v>1254</v>
      </c>
      <c r="C1" s="398"/>
      <c r="D1" s="399"/>
      <c r="E1" s="399"/>
      <c r="F1" s="400"/>
      <c r="G1" s="401"/>
      <c r="H1" s="401"/>
      <c r="I1" s="401"/>
      <c r="J1" s="401"/>
      <c r="K1" s="463"/>
      <c r="L1" s="463"/>
    </row>
    <row r="2" spans="1:12" ht="12.75" customHeight="1">
      <c r="A2" s="402"/>
      <c r="B2" s="1249" t="s">
        <v>2531</v>
      </c>
      <c r="C2" s="512" t="s">
        <v>2776</v>
      </c>
      <c r="D2" s="1236"/>
      <c r="E2" s="399"/>
      <c r="F2" s="403"/>
      <c r="G2" s="667" t="s">
        <v>301</v>
      </c>
      <c r="H2" s="473"/>
      <c r="I2" s="399"/>
      <c r="J2" s="401"/>
      <c r="K2" s="401"/>
      <c r="L2" s="401"/>
    </row>
    <row r="3" spans="1:12" ht="12.75" customHeight="1">
      <c r="A3" s="404"/>
      <c r="B3" s="405" t="s">
        <v>1255</v>
      </c>
      <c r="C3" s="407"/>
      <c r="D3" s="407"/>
      <c r="E3" s="407"/>
      <c r="F3" s="408"/>
      <c r="G3" s="406"/>
      <c r="H3" s="406"/>
      <c r="I3" s="406"/>
      <c r="J3" s="406"/>
      <c r="K3" s="406"/>
      <c r="L3" s="409"/>
    </row>
    <row r="4" spans="1:12" ht="12.75" customHeight="1">
      <c r="A4" s="410"/>
      <c r="B4" s="402"/>
      <c r="C4" s="411"/>
      <c r="D4" s="411"/>
      <c r="E4" s="411"/>
      <c r="F4" s="412"/>
      <c r="G4" s="26"/>
      <c r="H4" s="26"/>
      <c r="I4" s="26"/>
      <c r="J4" s="26"/>
      <c r="K4" s="26"/>
      <c r="L4" s="401"/>
    </row>
    <row r="5" spans="1:12" ht="12.75" customHeight="1">
      <c r="A5" s="406"/>
      <c r="B5" s="413" t="s">
        <v>358</v>
      </c>
      <c r="C5" s="413" t="s">
        <v>342</v>
      </c>
      <c r="D5" s="413" t="s">
        <v>343</v>
      </c>
      <c r="E5" s="413" t="s">
        <v>344</v>
      </c>
      <c r="F5" s="414" t="s">
        <v>345</v>
      </c>
      <c r="G5" s="413" t="s">
        <v>346</v>
      </c>
      <c r="H5" s="413" t="s">
        <v>347</v>
      </c>
      <c r="I5" s="413" t="s">
        <v>534</v>
      </c>
      <c r="J5" s="413" t="s">
        <v>949</v>
      </c>
      <c r="K5" s="413" t="s">
        <v>961</v>
      </c>
      <c r="L5" s="413" t="s">
        <v>964</v>
      </c>
    </row>
    <row r="6" spans="1:12" ht="12.75" customHeight="1">
      <c r="A6" s="410"/>
      <c r="B6" s="402"/>
      <c r="C6" s="1153" t="s">
        <v>1256</v>
      </c>
      <c r="D6" s="411"/>
      <c r="E6" s="411"/>
      <c r="F6" s="781" t="s">
        <v>360</v>
      </c>
      <c r="G6" s="1153" t="s">
        <v>1257</v>
      </c>
      <c r="H6" s="1160"/>
      <c r="I6" s="1160"/>
      <c r="J6" s="1153" t="s">
        <v>1258</v>
      </c>
      <c r="K6" s="1153" t="s">
        <v>1259</v>
      </c>
      <c r="L6" s="1154" t="s">
        <v>1260</v>
      </c>
    </row>
    <row r="7" spans="1:12" ht="12.75" customHeight="1">
      <c r="C7" s="782"/>
      <c r="D7" s="783"/>
      <c r="E7" s="783"/>
      <c r="F7" s="784"/>
      <c r="J7" s="787"/>
    </row>
    <row r="8" spans="1:12" ht="13">
      <c r="A8" s="416"/>
      <c r="B8" s="1513" t="s">
        <v>1261</v>
      </c>
      <c r="C8" s="1515" t="s">
        <v>1262</v>
      </c>
      <c r="D8" s="1515"/>
      <c r="E8" s="1515"/>
      <c r="F8" s="417"/>
      <c r="G8" s="1511" t="s">
        <v>1263</v>
      </c>
      <c r="H8" s="1511"/>
      <c r="I8" s="1512"/>
      <c r="J8" s="1510" t="s">
        <v>1264</v>
      </c>
      <c r="K8" s="1511"/>
      <c r="L8" s="1512"/>
    </row>
    <row r="9" spans="1:12" ht="13">
      <c r="A9" s="51"/>
      <c r="B9" s="1514"/>
      <c r="C9" s="780" t="s">
        <v>196</v>
      </c>
      <c r="D9" s="780" t="s">
        <v>1265</v>
      </c>
      <c r="E9" s="418" t="s">
        <v>1266</v>
      </c>
      <c r="F9" s="419" t="s">
        <v>1208</v>
      </c>
      <c r="G9" s="418" t="s">
        <v>196</v>
      </c>
      <c r="H9" s="418" t="s">
        <v>1265</v>
      </c>
      <c r="I9" s="418" t="s">
        <v>1266</v>
      </c>
      <c r="J9" s="780" t="s">
        <v>196</v>
      </c>
      <c r="K9" s="418" t="s">
        <v>1265</v>
      </c>
      <c r="L9" s="418" t="s">
        <v>1266</v>
      </c>
    </row>
    <row r="10" spans="1:12" ht="13">
      <c r="A10" s="51" t="s">
        <v>329</v>
      </c>
      <c r="B10" s="420" t="s">
        <v>1267</v>
      </c>
      <c r="C10" s="250"/>
      <c r="D10" s="250"/>
      <c r="E10" s="421"/>
      <c r="F10" s="422"/>
      <c r="G10" s="421"/>
      <c r="H10" s="421"/>
      <c r="I10" s="421"/>
      <c r="J10" s="250"/>
      <c r="K10" s="421"/>
      <c r="L10" s="421"/>
    </row>
    <row r="11" spans="1:12" ht="13">
      <c r="A11" s="549">
        <v>1</v>
      </c>
      <c r="B11" s="478" t="s">
        <v>2313</v>
      </c>
      <c r="C11" s="788">
        <f>SUM(D11:E11)</f>
        <v>8721014.5099999998</v>
      </c>
      <c r="D11" s="950">
        <v>2947582.1800000006</v>
      </c>
      <c r="E11" s="950">
        <v>5773432.3299999991</v>
      </c>
      <c r="F11" s="1043"/>
      <c r="G11" s="789">
        <f t="shared" ref="G11:G42" si="0">SUM(H11:I11)</f>
        <v>0</v>
      </c>
      <c r="H11" s="950"/>
      <c r="I11" s="950"/>
      <c r="J11" s="572">
        <f>SUM(K11:L11)</f>
        <v>8721014.5099999998</v>
      </c>
      <c r="K11" s="572">
        <f>D11+H11</f>
        <v>2947582.1800000006</v>
      </c>
      <c r="L11" s="572">
        <f>E11+I11</f>
        <v>5773432.3299999991</v>
      </c>
    </row>
    <row r="12" spans="1:12" ht="13">
      <c r="A12" s="549">
        <f>A11+1</f>
        <v>2</v>
      </c>
      <c r="B12" s="478" t="s">
        <v>1268</v>
      </c>
      <c r="C12" s="788">
        <f>SUM(D12:E12)</f>
        <v>251031.09</v>
      </c>
      <c r="D12" s="950">
        <v>0</v>
      </c>
      <c r="E12" s="950">
        <v>251031.09</v>
      </c>
      <c r="F12" s="1043"/>
      <c r="G12" s="789">
        <f t="shared" si="0"/>
        <v>0</v>
      </c>
      <c r="H12" s="950"/>
      <c r="I12" s="950"/>
      <c r="J12" s="572">
        <f t="shared" ref="J12:J42" si="1">SUM(K12:L12)</f>
        <v>251031.09</v>
      </c>
      <c r="K12" s="572">
        <f t="shared" ref="K12:K21" si="2">D12+H12</f>
        <v>0</v>
      </c>
      <c r="L12" s="572">
        <f t="shared" ref="K12:L27" si="3">E12+I12</f>
        <v>251031.09</v>
      </c>
    </row>
    <row r="13" spans="1:12" ht="13">
      <c r="A13" s="549">
        <f t="shared" ref="A13:A44" si="4">A12+1</f>
        <v>3</v>
      </c>
      <c r="B13" s="570" t="s">
        <v>2314</v>
      </c>
      <c r="C13" s="788">
        <f t="shared" ref="C13:C40" si="5">SUM(D13:E13)</f>
        <v>13229581</v>
      </c>
      <c r="D13" s="950">
        <v>10842257.360000001</v>
      </c>
      <c r="E13" s="950">
        <v>2387323.6399999992</v>
      </c>
      <c r="F13" s="1043"/>
      <c r="G13" s="789">
        <f t="shared" si="0"/>
        <v>0</v>
      </c>
      <c r="H13" s="950"/>
      <c r="I13" s="950"/>
      <c r="J13" s="572">
        <f t="shared" si="1"/>
        <v>13229581</v>
      </c>
      <c r="K13" s="572">
        <f t="shared" si="2"/>
        <v>10842257.360000001</v>
      </c>
      <c r="L13" s="572">
        <f t="shared" si="3"/>
        <v>2387323.6399999992</v>
      </c>
    </row>
    <row r="14" spans="1:12" ht="13">
      <c r="A14" s="549">
        <f t="shared" si="4"/>
        <v>4</v>
      </c>
      <c r="B14" s="570" t="s">
        <v>1269</v>
      </c>
      <c r="C14" s="788">
        <f t="shared" si="5"/>
        <v>30727206.439999998</v>
      </c>
      <c r="D14" s="950">
        <v>0</v>
      </c>
      <c r="E14" s="950">
        <v>30727206.439999998</v>
      </c>
      <c r="F14" s="1043" t="s">
        <v>551</v>
      </c>
      <c r="G14" s="789">
        <f t="shared" si="0"/>
        <v>-30727206.440000001</v>
      </c>
      <c r="H14" s="950">
        <v>0</v>
      </c>
      <c r="I14" s="950">
        <v>-30727206.440000001</v>
      </c>
      <c r="J14" s="572">
        <f t="shared" si="1"/>
        <v>0</v>
      </c>
      <c r="K14" s="572">
        <f t="shared" si="2"/>
        <v>0</v>
      </c>
      <c r="L14" s="572">
        <f t="shared" si="3"/>
        <v>0</v>
      </c>
    </row>
    <row r="15" spans="1:12" ht="13">
      <c r="A15" s="549">
        <f t="shared" si="4"/>
        <v>5</v>
      </c>
      <c r="B15" s="570" t="s">
        <v>2315</v>
      </c>
      <c r="C15" s="788">
        <f t="shared" si="5"/>
        <v>4828525.6500000004</v>
      </c>
      <c r="D15" s="950">
        <v>4235346.790000001</v>
      </c>
      <c r="E15" s="950">
        <v>593178.85999999987</v>
      </c>
      <c r="F15" s="1043"/>
      <c r="G15" s="789">
        <f t="shared" si="0"/>
        <v>0</v>
      </c>
      <c r="H15" s="950"/>
      <c r="I15" s="950"/>
      <c r="J15" s="572">
        <f t="shared" si="1"/>
        <v>4828525.6500000004</v>
      </c>
      <c r="K15" s="572">
        <f t="shared" si="2"/>
        <v>4235346.790000001</v>
      </c>
      <c r="L15" s="572">
        <f t="shared" si="3"/>
        <v>593178.85999999987</v>
      </c>
    </row>
    <row r="16" spans="1:12" ht="13">
      <c r="A16" s="549">
        <f t="shared" si="4"/>
        <v>6</v>
      </c>
      <c r="B16" s="570" t="s">
        <v>2316</v>
      </c>
      <c r="C16" s="788">
        <f t="shared" si="5"/>
        <v>32343719.699999999</v>
      </c>
      <c r="D16" s="950">
        <v>26968567.499999996</v>
      </c>
      <c r="E16" s="950">
        <v>5375152.2000000039</v>
      </c>
      <c r="F16" s="1043"/>
      <c r="G16" s="789">
        <f t="shared" si="0"/>
        <v>0</v>
      </c>
      <c r="H16" s="950"/>
      <c r="I16" s="950"/>
      <c r="J16" s="572">
        <f t="shared" si="1"/>
        <v>32343719.699999999</v>
      </c>
      <c r="K16" s="572">
        <f t="shared" si="2"/>
        <v>26968567.499999996</v>
      </c>
      <c r="L16" s="572">
        <f t="shared" si="3"/>
        <v>5375152.2000000039</v>
      </c>
    </row>
    <row r="17" spans="1:12" ht="13">
      <c r="A17" s="549">
        <f t="shared" si="4"/>
        <v>7</v>
      </c>
      <c r="B17" s="570" t="s">
        <v>1270</v>
      </c>
      <c r="C17" s="788">
        <f t="shared" si="5"/>
        <v>0</v>
      </c>
      <c r="D17" s="950">
        <v>0</v>
      </c>
      <c r="E17" s="950">
        <v>0</v>
      </c>
      <c r="F17" s="1043" t="s">
        <v>552</v>
      </c>
      <c r="G17" s="789">
        <f t="shared" si="0"/>
        <v>0</v>
      </c>
      <c r="H17" s="950">
        <v>0</v>
      </c>
      <c r="I17" s="950">
        <v>0</v>
      </c>
      <c r="J17" s="572">
        <f t="shared" si="1"/>
        <v>0</v>
      </c>
      <c r="K17" s="572">
        <f t="shared" si="2"/>
        <v>0</v>
      </c>
      <c r="L17" s="572">
        <f t="shared" si="3"/>
        <v>0</v>
      </c>
    </row>
    <row r="18" spans="1:12" ht="13">
      <c r="A18" s="549">
        <f t="shared" si="4"/>
        <v>8</v>
      </c>
      <c r="B18" s="570" t="s">
        <v>1271</v>
      </c>
      <c r="C18" s="788">
        <f t="shared" si="5"/>
        <v>950815.02</v>
      </c>
      <c r="D18" s="950">
        <v>0</v>
      </c>
      <c r="E18" s="950">
        <v>950815.02</v>
      </c>
      <c r="F18" s="1043"/>
      <c r="G18" s="789">
        <f t="shared" si="0"/>
        <v>0</v>
      </c>
      <c r="H18" s="950"/>
      <c r="I18" s="950"/>
      <c r="J18" s="572">
        <f t="shared" si="1"/>
        <v>950815.02</v>
      </c>
      <c r="K18" s="572">
        <f t="shared" si="2"/>
        <v>0</v>
      </c>
      <c r="L18" s="572">
        <f t="shared" si="3"/>
        <v>950815.02</v>
      </c>
    </row>
    <row r="19" spans="1:12" ht="13">
      <c r="A19" s="549">
        <f t="shared" si="4"/>
        <v>9</v>
      </c>
      <c r="B19" s="570" t="s">
        <v>2317</v>
      </c>
      <c r="C19" s="788">
        <f t="shared" si="5"/>
        <v>40209181.039999999</v>
      </c>
      <c r="D19" s="950">
        <v>12092709.940000001</v>
      </c>
      <c r="E19" s="950">
        <v>28116471.099999998</v>
      </c>
      <c r="F19" s="1043"/>
      <c r="G19" s="789">
        <f t="shared" si="0"/>
        <v>0</v>
      </c>
      <c r="H19" s="950"/>
      <c r="I19" s="950"/>
      <c r="J19" s="572">
        <f t="shared" si="1"/>
        <v>40209181.039999999</v>
      </c>
      <c r="K19" s="572">
        <f t="shared" si="2"/>
        <v>12092709.940000001</v>
      </c>
      <c r="L19" s="572">
        <f t="shared" si="3"/>
        <v>28116471.099999998</v>
      </c>
    </row>
    <row r="20" spans="1:12" ht="13">
      <c r="A20" s="549">
        <f t="shared" si="4"/>
        <v>10</v>
      </c>
      <c r="B20" s="570" t="s">
        <v>2318</v>
      </c>
      <c r="C20" s="788">
        <f t="shared" si="5"/>
        <v>2410542.2000000002</v>
      </c>
      <c r="D20" s="950">
        <v>2105995.4700000002</v>
      </c>
      <c r="E20" s="950">
        <v>304546.73</v>
      </c>
      <c r="F20" s="1043"/>
      <c r="G20" s="789">
        <f t="shared" si="0"/>
        <v>0</v>
      </c>
      <c r="H20" s="950"/>
      <c r="I20" s="950"/>
      <c r="J20" s="572">
        <f t="shared" si="1"/>
        <v>2410542.2000000002</v>
      </c>
      <c r="K20" s="572">
        <f t="shared" si="2"/>
        <v>2105995.4700000002</v>
      </c>
      <c r="L20" s="572">
        <f t="shared" si="3"/>
        <v>304546.73</v>
      </c>
    </row>
    <row r="21" spans="1:12" ht="13">
      <c r="A21" s="549">
        <f t="shared" si="4"/>
        <v>11</v>
      </c>
      <c r="B21" s="570" t="s">
        <v>2319</v>
      </c>
      <c r="C21" s="788">
        <f t="shared" si="5"/>
        <v>0</v>
      </c>
      <c r="D21" s="950">
        <v>0</v>
      </c>
      <c r="E21" s="950">
        <v>0</v>
      </c>
      <c r="F21" s="1043"/>
      <c r="G21" s="789">
        <f t="shared" si="0"/>
        <v>0</v>
      </c>
      <c r="H21" s="950"/>
      <c r="I21" s="950"/>
      <c r="J21" s="572">
        <f t="shared" si="1"/>
        <v>0</v>
      </c>
      <c r="K21" s="572">
        <f t="shared" si="2"/>
        <v>0</v>
      </c>
      <c r="L21" s="572">
        <f t="shared" si="3"/>
        <v>0</v>
      </c>
    </row>
    <row r="22" spans="1:12" ht="13">
      <c r="A22" s="549">
        <f t="shared" si="4"/>
        <v>12</v>
      </c>
      <c r="B22" s="570" t="s">
        <v>1273</v>
      </c>
      <c r="C22" s="788">
        <f t="shared" si="5"/>
        <v>20617564.539999999</v>
      </c>
      <c r="D22" s="950">
        <v>0</v>
      </c>
      <c r="E22" s="950">
        <v>20617564.539999999</v>
      </c>
      <c r="F22" s="1043" t="s">
        <v>553</v>
      </c>
      <c r="G22" s="790">
        <f t="shared" si="0"/>
        <v>-20617564.539999999</v>
      </c>
      <c r="H22" s="950">
        <v>0</v>
      </c>
      <c r="I22" s="950">
        <v>-20617564.539999999</v>
      </c>
      <c r="J22" s="572">
        <f t="shared" si="1"/>
        <v>0</v>
      </c>
      <c r="K22" s="572">
        <f t="shared" si="3"/>
        <v>0</v>
      </c>
      <c r="L22" s="572">
        <f t="shared" si="3"/>
        <v>0</v>
      </c>
    </row>
    <row r="23" spans="1:12" ht="13">
      <c r="A23" s="549">
        <f t="shared" si="4"/>
        <v>13</v>
      </c>
      <c r="B23" s="570" t="s">
        <v>1274</v>
      </c>
      <c r="C23" s="788">
        <f t="shared" si="5"/>
        <v>371081.75</v>
      </c>
      <c r="D23" s="950">
        <v>0</v>
      </c>
      <c r="E23" s="950">
        <v>371081.75</v>
      </c>
      <c r="F23" s="1043"/>
      <c r="G23" s="789">
        <f t="shared" si="0"/>
        <v>0</v>
      </c>
      <c r="H23" s="950"/>
      <c r="I23" s="950"/>
      <c r="J23" s="572">
        <f t="shared" si="1"/>
        <v>371081.75</v>
      </c>
      <c r="K23" s="572">
        <f t="shared" si="3"/>
        <v>0</v>
      </c>
      <c r="L23" s="572">
        <f t="shared" si="3"/>
        <v>371081.75</v>
      </c>
    </row>
    <row r="24" spans="1:12" ht="13">
      <c r="A24" s="549">
        <f t="shared" si="4"/>
        <v>14</v>
      </c>
      <c r="B24" s="570" t="s">
        <v>2320</v>
      </c>
      <c r="C24" s="788">
        <f t="shared" si="5"/>
        <v>67394161.549999982</v>
      </c>
      <c r="D24" s="950">
        <v>30999596.229999986</v>
      </c>
      <c r="E24" s="950">
        <v>36394565.32</v>
      </c>
      <c r="F24" s="1043" t="s">
        <v>556</v>
      </c>
      <c r="G24" s="789">
        <f>SUM(H24:I24)</f>
        <v>-15597736.129999999</v>
      </c>
      <c r="H24" s="950">
        <v>-1095252.7</v>
      </c>
      <c r="I24" s="950">
        <v>-14502483.43</v>
      </c>
      <c r="J24" s="572">
        <f>SUM(K24:L24)</f>
        <v>51796425.419999987</v>
      </c>
      <c r="K24" s="572">
        <f t="shared" si="3"/>
        <v>29904343.529999986</v>
      </c>
      <c r="L24" s="572">
        <f t="shared" si="3"/>
        <v>21892081.890000001</v>
      </c>
    </row>
    <row r="25" spans="1:12" ht="13">
      <c r="A25" s="549">
        <f t="shared" si="4"/>
        <v>15</v>
      </c>
      <c r="B25" s="570" t="s">
        <v>1275</v>
      </c>
      <c r="C25" s="788">
        <f t="shared" si="5"/>
        <v>151904731.54000002</v>
      </c>
      <c r="D25" s="950">
        <v>0</v>
      </c>
      <c r="E25" s="950">
        <v>151904731.54000002</v>
      </c>
      <c r="F25" s="1043" t="s">
        <v>554</v>
      </c>
      <c r="G25" s="789">
        <f>SUM(H25:I25)</f>
        <v>-151904731.60999998</v>
      </c>
      <c r="H25" s="950">
        <v>0</v>
      </c>
      <c r="I25" s="950">
        <v>-151904731.60999998</v>
      </c>
      <c r="J25" s="572">
        <f t="shared" si="1"/>
        <v>-6.9999963045120239E-2</v>
      </c>
      <c r="K25" s="572">
        <f t="shared" si="3"/>
        <v>0</v>
      </c>
      <c r="L25" s="572">
        <f t="shared" si="3"/>
        <v>-6.9999963045120239E-2</v>
      </c>
    </row>
    <row r="26" spans="1:12" ht="13">
      <c r="A26" s="549">
        <f t="shared" si="4"/>
        <v>16</v>
      </c>
      <c r="B26" s="570" t="s">
        <v>1276</v>
      </c>
      <c r="C26" s="788">
        <f t="shared" si="5"/>
        <v>842622.43</v>
      </c>
      <c r="D26" s="950">
        <v>0</v>
      </c>
      <c r="E26" s="950">
        <v>842622.43</v>
      </c>
      <c r="F26" s="1043"/>
      <c r="G26" s="789">
        <f t="shared" si="0"/>
        <v>0</v>
      </c>
      <c r="H26" s="950"/>
      <c r="I26" s="950"/>
      <c r="J26" s="572">
        <f t="shared" si="1"/>
        <v>842622.43</v>
      </c>
      <c r="K26" s="572">
        <f t="shared" si="3"/>
        <v>0</v>
      </c>
      <c r="L26" s="572">
        <f t="shared" si="3"/>
        <v>842622.43</v>
      </c>
    </row>
    <row r="27" spans="1:12" ht="13">
      <c r="A27" s="549">
        <f t="shared" si="4"/>
        <v>17</v>
      </c>
      <c r="B27" s="570" t="s">
        <v>2308</v>
      </c>
      <c r="C27" s="788">
        <f t="shared" si="5"/>
        <v>18516862.59</v>
      </c>
      <c r="D27" s="950">
        <v>68787.360000000015</v>
      </c>
      <c r="E27" s="950">
        <v>18448075.23</v>
      </c>
      <c r="F27" s="1043" t="s">
        <v>556</v>
      </c>
      <c r="G27" s="790">
        <f t="shared" si="0"/>
        <v>0</v>
      </c>
      <c r="H27" s="950">
        <v>0</v>
      </c>
      <c r="I27" s="950">
        <v>0</v>
      </c>
      <c r="J27" s="572">
        <f t="shared" si="1"/>
        <v>18516862.59</v>
      </c>
      <c r="K27" s="572">
        <f t="shared" si="3"/>
        <v>68787.360000000015</v>
      </c>
      <c r="L27" s="572">
        <f t="shared" si="3"/>
        <v>18448075.23</v>
      </c>
    </row>
    <row r="28" spans="1:12" ht="13">
      <c r="A28" s="109">
        <f t="shared" si="4"/>
        <v>18</v>
      </c>
      <c r="B28" s="570" t="s">
        <v>1277</v>
      </c>
      <c r="C28" s="788">
        <f t="shared" si="5"/>
        <v>-7234.65</v>
      </c>
      <c r="D28" s="950">
        <v>0</v>
      </c>
      <c r="E28" s="950">
        <v>-7234.65</v>
      </c>
      <c r="F28" s="1043"/>
      <c r="G28" s="789">
        <f t="shared" si="0"/>
        <v>0</v>
      </c>
      <c r="H28" s="950"/>
      <c r="I28" s="950"/>
      <c r="J28" s="806">
        <f t="shared" si="1"/>
        <v>-7234.65</v>
      </c>
      <c r="K28" s="806">
        <f t="shared" ref="K28:L40" si="6">D28+H28</f>
        <v>0</v>
      </c>
      <c r="L28" s="806">
        <f t="shared" si="6"/>
        <v>-7234.65</v>
      </c>
    </row>
    <row r="29" spans="1:12" ht="13">
      <c r="A29" s="109">
        <f t="shared" si="4"/>
        <v>19</v>
      </c>
      <c r="B29" s="570" t="s">
        <v>1278</v>
      </c>
      <c r="C29" s="788">
        <f t="shared" si="5"/>
        <v>438002.55000000005</v>
      </c>
      <c r="D29" s="950">
        <v>0</v>
      </c>
      <c r="E29" s="950">
        <v>438002.55000000005</v>
      </c>
      <c r="F29" s="1043"/>
      <c r="G29" s="790">
        <f t="shared" si="0"/>
        <v>0</v>
      </c>
      <c r="H29" s="950"/>
      <c r="I29" s="950"/>
      <c r="J29" s="806">
        <f t="shared" ref="J29" si="7">SUM(K29:L29)</f>
        <v>438002.55000000005</v>
      </c>
      <c r="K29" s="806">
        <f t="shared" ref="K29" si="8">D29+H29</f>
        <v>0</v>
      </c>
      <c r="L29" s="806">
        <f t="shared" ref="L29" si="9">E29+I29</f>
        <v>438002.55000000005</v>
      </c>
    </row>
    <row r="30" spans="1:12" ht="13">
      <c r="A30" s="109">
        <f t="shared" si="4"/>
        <v>20</v>
      </c>
      <c r="B30" s="570" t="s">
        <v>2321</v>
      </c>
      <c r="C30" s="788">
        <f t="shared" si="5"/>
        <v>1802989.81</v>
      </c>
      <c r="D30" s="950">
        <v>1567136.62</v>
      </c>
      <c r="E30" s="950">
        <v>235853.18999999997</v>
      </c>
      <c r="F30" s="1043"/>
      <c r="G30" s="789">
        <f t="shared" si="0"/>
        <v>0</v>
      </c>
      <c r="H30" s="950"/>
      <c r="I30" s="950"/>
      <c r="J30" s="572">
        <f t="shared" si="1"/>
        <v>1802989.81</v>
      </c>
      <c r="K30" s="572">
        <f t="shared" si="6"/>
        <v>1567136.62</v>
      </c>
      <c r="L30" s="572">
        <f t="shared" si="6"/>
        <v>235853.18999999997</v>
      </c>
    </row>
    <row r="31" spans="1:12" ht="13">
      <c r="A31" s="109">
        <f t="shared" si="4"/>
        <v>21</v>
      </c>
      <c r="B31" s="570" t="s">
        <v>1279</v>
      </c>
      <c r="C31" s="788">
        <f t="shared" si="5"/>
        <v>365991.53</v>
      </c>
      <c r="D31" s="950">
        <v>0</v>
      </c>
      <c r="E31" s="950">
        <v>365991.53</v>
      </c>
      <c r="F31" s="1043"/>
      <c r="G31" s="789">
        <f t="shared" si="0"/>
        <v>0</v>
      </c>
      <c r="H31" s="950"/>
      <c r="I31" s="950"/>
      <c r="J31" s="572">
        <f t="shared" si="1"/>
        <v>365991.53</v>
      </c>
      <c r="K31" s="572">
        <f t="shared" si="6"/>
        <v>0</v>
      </c>
      <c r="L31" s="572">
        <f t="shared" si="6"/>
        <v>365991.53</v>
      </c>
    </row>
    <row r="32" spans="1:12" ht="13">
      <c r="A32" s="109">
        <f t="shared" si="4"/>
        <v>22</v>
      </c>
      <c r="B32" s="570" t="s">
        <v>2322</v>
      </c>
      <c r="C32" s="788">
        <f t="shared" si="5"/>
        <v>39115214.539999999</v>
      </c>
      <c r="D32" s="950">
        <v>7644.800000000002</v>
      </c>
      <c r="E32" s="950">
        <v>39107569.740000002</v>
      </c>
      <c r="F32" s="1043" t="s">
        <v>555</v>
      </c>
      <c r="G32" s="789">
        <f t="shared" si="0"/>
        <v>-36711547</v>
      </c>
      <c r="H32" s="950">
        <v>0</v>
      </c>
      <c r="I32" s="950">
        <v>-36711547</v>
      </c>
      <c r="J32" s="572">
        <f t="shared" si="1"/>
        <v>2403667.5400000019</v>
      </c>
      <c r="K32" s="572">
        <f t="shared" si="6"/>
        <v>7644.800000000002</v>
      </c>
      <c r="L32" s="572">
        <f t="shared" si="6"/>
        <v>2396022.7400000021</v>
      </c>
    </row>
    <row r="33" spans="1:12" ht="13">
      <c r="A33" s="109">
        <f t="shared" si="4"/>
        <v>23</v>
      </c>
      <c r="B33" s="570" t="s">
        <v>1280</v>
      </c>
      <c r="C33" s="788">
        <f t="shared" si="5"/>
        <v>2440888.5499999998</v>
      </c>
      <c r="D33" s="950">
        <v>0</v>
      </c>
      <c r="E33" s="950">
        <v>2440888.5499999998</v>
      </c>
      <c r="F33" s="1043"/>
      <c r="G33" s="789">
        <f t="shared" si="0"/>
        <v>0</v>
      </c>
      <c r="H33" s="950"/>
      <c r="I33" s="950"/>
      <c r="J33" s="572">
        <f t="shared" si="1"/>
        <v>2440888.5499999998</v>
      </c>
      <c r="K33" s="572">
        <f t="shared" si="6"/>
        <v>0</v>
      </c>
      <c r="L33" s="572">
        <f t="shared" si="6"/>
        <v>2440888.5499999998</v>
      </c>
    </row>
    <row r="34" spans="1:12" ht="13">
      <c r="A34" s="109">
        <f t="shared" si="4"/>
        <v>24</v>
      </c>
      <c r="B34" s="570" t="s">
        <v>2323</v>
      </c>
      <c r="C34" s="788">
        <f t="shared" si="5"/>
        <v>8050840.4100000011</v>
      </c>
      <c r="D34" s="950">
        <v>3312956.6800000006</v>
      </c>
      <c r="E34" s="950">
        <v>4737883.7300000004</v>
      </c>
      <c r="F34" s="1043"/>
      <c r="G34" s="789">
        <f t="shared" si="0"/>
        <v>0</v>
      </c>
      <c r="H34" s="950"/>
      <c r="I34" s="950"/>
      <c r="J34" s="572">
        <f t="shared" si="1"/>
        <v>8050840.4100000011</v>
      </c>
      <c r="K34" s="572">
        <f t="shared" si="6"/>
        <v>3312956.6800000006</v>
      </c>
      <c r="L34" s="572">
        <f t="shared" si="6"/>
        <v>4737883.7300000004</v>
      </c>
    </row>
    <row r="35" spans="1:12" ht="13">
      <c r="A35" s="109">
        <f t="shared" si="4"/>
        <v>25</v>
      </c>
      <c r="B35" s="570" t="s">
        <v>1281</v>
      </c>
      <c r="C35" s="788">
        <f t="shared" si="5"/>
        <v>1301046.3800000001</v>
      </c>
      <c r="D35" s="950">
        <v>0</v>
      </c>
      <c r="E35" s="950">
        <v>1301046.3800000001</v>
      </c>
      <c r="F35" s="1043"/>
      <c r="G35" s="789">
        <f t="shared" si="0"/>
        <v>0</v>
      </c>
      <c r="H35" s="950"/>
      <c r="I35" s="950"/>
      <c r="J35" s="572">
        <f t="shared" si="1"/>
        <v>1301046.3800000001</v>
      </c>
      <c r="K35" s="572">
        <f t="shared" si="6"/>
        <v>0</v>
      </c>
      <c r="L35" s="572">
        <f t="shared" si="6"/>
        <v>1301046.3800000001</v>
      </c>
    </row>
    <row r="36" spans="1:12" ht="13">
      <c r="A36" s="109">
        <f t="shared" si="4"/>
        <v>26</v>
      </c>
      <c r="B36" s="570" t="s">
        <v>2324</v>
      </c>
      <c r="C36" s="788">
        <f t="shared" si="5"/>
        <v>86145175.479999959</v>
      </c>
      <c r="D36" s="950">
        <v>14331006.829999994</v>
      </c>
      <c r="E36" s="950">
        <v>71814168.649999961</v>
      </c>
      <c r="F36" s="1043" t="s">
        <v>556</v>
      </c>
      <c r="G36" s="789">
        <f t="shared" si="0"/>
        <v>-671453.29</v>
      </c>
      <c r="H36" s="950">
        <v>1.98</v>
      </c>
      <c r="I36" s="950">
        <v>-671455.27</v>
      </c>
      <c r="J36" s="572">
        <f t="shared" si="1"/>
        <v>85473722.189999968</v>
      </c>
      <c r="K36" s="572">
        <f t="shared" si="6"/>
        <v>14331008.809999995</v>
      </c>
      <c r="L36" s="572">
        <f t="shared" si="6"/>
        <v>71142713.379999965</v>
      </c>
    </row>
    <row r="37" spans="1:12" ht="13">
      <c r="A37" s="109">
        <f t="shared" si="4"/>
        <v>27</v>
      </c>
      <c r="B37" s="570" t="s">
        <v>1282</v>
      </c>
      <c r="C37" s="788">
        <f t="shared" si="5"/>
        <v>671146.64</v>
      </c>
      <c r="D37" s="950">
        <v>0</v>
      </c>
      <c r="E37" s="950">
        <v>671146.64</v>
      </c>
      <c r="F37" s="1043"/>
      <c r="G37" s="789">
        <f t="shared" si="0"/>
        <v>0</v>
      </c>
      <c r="H37" s="950"/>
      <c r="I37" s="950"/>
      <c r="J37" s="572">
        <f t="shared" si="1"/>
        <v>671146.64</v>
      </c>
      <c r="K37" s="572">
        <f t="shared" si="6"/>
        <v>0</v>
      </c>
      <c r="L37" s="572">
        <f t="shared" si="6"/>
        <v>671146.64</v>
      </c>
    </row>
    <row r="38" spans="1:12" ht="13">
      <c r="A38" s="109">
        <f t="shared" si="4"/>
        <v>28</v>
      </c>
      <c r="B38" s="570" t="s">
        <v>2325</v>
      </c>
      <c r="C38" s="788">
        <f t="shared" si="5"/>
        <v>453295.91000000003</v>
      </c>
      <c r="D38" s="950">
        <v>138453.72</v>
      </c>
      <c r="E38" s="950">
        <v>314842.19</v>
      </c>
      <c r="F38" s="1043"/>
      <c r="G38" s="789">
        <f t="shared" si="0"/>
        <v>0</v>
      </c>
      <c r="H38" s="950"/>
      <c r="I38" s="950"/>
      <c r="J38" s="572">
        <f t="shared" si="1"/>
        <v>453295.91000000003</v>
      </c>
      <c r="K38" s="572">
        <f t="shared" si="6"/>
        <v>138453.72</v>
      </c>
      <c r="L38" s="572">
        <f t="shared" si="6"/>
        <v>314842.19</v>
      </c>
    </row>
    <row r="39" spans="1:12" ht="13">
      <c r="A39" s="109">
        <f t="shared" si="4"/>
        <v>29</v>
      </c>
      <c r="B39" s="570" t="s">
        <v>1284</v>
      </c>
      <c r="C39" s="788">
        <f t="shared" si="5"/>
        <v>13727.48</v>
      </c>
      <c r="D39" s="950">
        <v>0</v>
      </c>
      <c r="E39" s="950">
        <v>13727.48</v>
      </c>
      <c r="F39" s="1043"/>
      <c r="G39" s="789">
        <f t="shared" si="0"/>
        <v>0</v>
      </c>
      <c r="H39" s="950"/>
      <c r="I39" s="950"/>
      <c r="J39" s="572">
        <f t="shared" si="1"/>
        <v>13727.48</v>
      </c>
      <c r="K39" s="572">
        <f t="shared" si="6"/>
        <v>0</v>
      </c>
      <c r="L39" s="572">
        <f t="shared" si="6"/>
        <v>13727.48</v>
      </c>
    </row>
    <row r="40" spans="1:12" ht="13">
      <c r="A40" s="109">
        <f t="shared" si="4"/>
        <v>30</v>
      </c>
      <c r="B40" s="570" t="s">
        <v>2326</v>
      </c>
      <c r="C40" s="788">
        <f t="shared" si="5"/>
        <v>1583990.81</v>
      </c>
      <c r="D40" s="950">
        <v>1119461.1000000001</v>
      </c>
      <c r="E40" s="950">
        <v>464529.71</v>
      </c>
      <c r="F40" s="1043"/>
      <c r="G40" s="789">
        <f t="shared" si="0"/>
        <v>0</v>
      </c>
      <c r="H40" s="950"/>
      <c r="I40" s="950"/>
      <c r="J40" s="572">
        <f t="shared" si="1"/>
        <v>1583990.81</v>
      </c>
      <c r="K40" s="572">
        <f t="shared" si="6"/>
        <v>1119461.1000000001</v>
      </c>
      <c r="L40" s="572">
        <f t="shared" si="6"/>
        <v>464529.71</v>
      </c>
    </row>
    <row r="41" spans="1:12" ht="14">
      <c r="A41" s="109">
        <f t="shared" si="4"/>
        <v>31</v>
      </c>
      <c r="B41" s="514" t="s">
        <v>504</v>
      </c>
      <c r="C41" s="792" t="s">
        <v>76</v>
      </c>
      <c r="D41" s="792" t="s">
        <v>76</v>
      </c>
      <c r="E41" s="792" t="s">
        <v>76</v>
      </c>
      <c r="F41" s="792" t="s">
        <v>76</v>
      </c>
      <c r="G41" s="790">
        <f t="shared" si="0"/>
        <v>0</v>
      </c>
      <c r="H41" s="792" t="s">
        <v>76</v>
      </c>
      <c r="I41" s="792" t="s">
        <v>76</v>
      </c>
      <c r="J41" s="423"/>
      <c r="K41" s="423"/>
      <c r="L41" s="423"/>
    </row>
    <row r="42" spans="1:12" ht="13">
      <c r="A42" s="109">
        <f t="shared" si="4"/>
        <v>32</v>
      </c>
      <c r="B42" s="570" t="s">
        <v>1992</v>
      </c>
      <c r="C42" s="793">
        <v>0</v>
      </c>
      <c r="D42" s="793">
        <v>0</v>
      </c>
      <c r="E42" s="793">
        <v>0</v>
      </c>
      <c r="F42" s="808"/>
      <c r="G42" s="794">
        <f t="shared" si="0"/>
        <v>-2591790.3572421069</v>
      </c>
      <c r="H42" s="795">
        <f>+C64*C144</f>
        <v>-2591790.3572421069</v>
      </c>
      <c r="I42" s="795">
        <v>0</v>
      </c>
      <c r="J42" s="796">
        <f t="shared" si="1"/>
        <v>-2591790.3572421069</v>
      </c>
      <c r="K42" s="796">
        <f>D42+H42</f>
        <v>-2591790.3572421069</v>
      </c>
      <c r="L42" s="796">
        <f>E42+I42</f>
        <v>0</v>
      </c>
    </row>
    <row r="43" spans="1:12" ht="13">
      <c r="A43" s="109">
        <f t="shared" si="4"/>
        <v>33</v>
      </c>
      <c r="B43" s="424" t="s">
        <v>1285</v>
      </c>
      <c r="C43" s="788">
        <f>SUM(C11:C42)</f>
        <v>535693716.49000001</v>
      </c>
      <c r="D43" s="797">
        <f>SUM(D11:D42)</f>
        <v>110737502.57999998</v>
      </c>
      <c r="E43" s="797">
        <f>SUM(E11:E42)</f>
        <v>424956213.91000009</v>
      </c>
      <c r="F43" s="798"/>
      <c r="G43" s="798">
        <f t="shared" ref="G43:L43" si="10">SUM(G11:G42)</f>
        <v>-258822029.36724207</v>
      </c>
      <c r="H43" s="799">
        <f t="shared" si="10"/>
        <v>-3687041.0772421071</v>
      </c>
      <c r="I43" s="799">
        <f t="shared" si="10"/>
        <v>-255134988.28999999</v>
      </c>
      <c r="J43" s="799">
        <f t="shared" si="10"/>
        <v>276871687.12275791</v>
      </c>
      <c r="K43" s="799">
        <f t="shared" si="10"/>
        <v>107050461.50275788</v>
      </c>
      <c r="L43" s="799">
        <f t="shared" si="10"/>
        <v>169821225.61999997</v>
      </c>
    </row>
    <row r="44" spans="1:12" ht="13">
      <c r="A44" s="109">
        <f t="shared" si="4"/>
        <v>34</v>
      </c>
      <c r="B44" s="496"/>
      <c r="C44" s="800"/>
      <c r="D44" s="801"/>
      <c r="E44" s="801"/>
      <c r="F44" s="802"/>
      <c r="G44" s="803"/>
      <c r="H44" s="804"/>
      <c r="I44" s="804"/>
      <c r="J44" s="572"/>
      <c r="K44" s="572"/>
      <c r="L44" s="572"/>
    </row>
    <row r="45" spans="1:12" ht="13">
      <c r="A45" s="549"/>
      <c r="B45" s="424"/>
      <c r="C45" s="801"/>
      <c r="D45" s="801"/>
      <c r="E45" s="801"/>
      <c r="F45" s="802"/>
      <c r="G45" s="805"/>
      <c r="H45" s="801"/>
      <c r="I45" s="801"/>
      <c r="J45" s="801"/>
      <c r="K45" s="801"/>
      <c r="L45" s="801"/>
    </row>
    <row r="46" spans="1:12" ht="13">
      <c r="A46" s="549"/>
      <c r="B46" s="413" t="s">
        <v>358</v>
      </c>
      <c r="C46" s="413" t="s">
        <v>342</v>
      </c>
      <c r="D46" s="413" t="s">
        <v>343</v>
      </c>
      <c r="E46" s="413" t="s">
        <v>344</v>
      </c>
      <c r="F46" s="414" t="s">
        <v>345</v>
      </c>
      <c r="G46" s="413" t="s">
        <v>346</v>
      </c>
      <c r="H46" s="413" t="s">
        <v>347</v>
      </c>
      <c r="I46" s="413" t="s">
        <v>534</v>
      </c>
      <c r="J46" s="413" t="s">
        <v>949</v>
      </c>
      <c r="K46" s="413" t="s">
        <v>961</v>
      </c>
      <c r="L46" s="413" t="s">
        <v>964</v>
      </c>
    </row>
    <row r="47" spans="1:12" ht="13">
      <c r="A47" s="549"/>
      <c r="B47" s="424"/>
      <c r="C47" s="1153" t="s">
        <v>1256</v>
      </c>
      <c r="D47" s="411"/>
      <c r="E47" s="411"/>
      <c r="F47" s="781" t="s">
        <v>360</v>
      </c>
      <c r="G47" s="1153" t="s">
        <v>1257</v>
      </c>
      <c r="H47" s="415"/>
      <c r="I47" s="415"/>
      <c r="J47" s="1153" t="s">
        <v>1258</v>
      </c>
      <c r="K47" s="1153" t="s">
        <v>1259</v>
      </c>
      <c r="L47" s="1154" t="s">
        <v>1260</v>
      </c>
    </row>
    <row r="48" spans="1:12" ht="13">
      <c r="A48" s="549"/>
      <c r="C48" s="800"/>
      <c r="D48" s="801"/>
      <c r="E48" s="801"/>
      <c r="F48" s="802"/>
      <c r="G48" s="803"/>
      <c r="H48" s="801"/>
      <c r="I48" s="801"/>
      <c r="J48" s="572"/>
      <c r="K48" s="572"/>
      <c r="L48" s="572"/>
    </row>
    <row r="49" spans="1:12" ht="13">
      <c r="A49" s="549"/>
      <c r="B49" s="1513" t="s">
        <v>1261</v>
      </c>
      <c r="C49" s="1515" t="s">
        <v>1262</v>
      </c>
      <c r="D49" s="1515"/>
      <c r="E49" s="1515"/>
      <c r="F49" s="417"/>
      <c r="G49" s="1511" t="s">
        <v>1263</v>
      </c>
      <c r="H49" s="1511"/>
      <c r="I49" s="1512"/>
      <c r="J49" s="1510" t="s">
        <v>1264</v>
      </c>
      <c r="K49" s="1511"/>
      <c r="L49" s="1512"/>
    </row>
    <row r="50" spans="1:12" ht="13">
      <c r="A50" s="549"/>
      <c r="B50" s="1514"/>
      <c r="C50" s="780" t="s">
        <v>196</v>
      </c>
      <c r="D50" s="780" t="s">
        <v>1265</v>
      </c>
      <c r="E50" s="418" t="s">
        <v>1266</v>
      </c>
      <c r="F50" s="419" t="s">
        <v>1208</v>
      </c>
      <c r="G50" s="418" t="s">
        <v>196</v>
      </c>
      <c r="H50" s="418" t="s">
        <v>1265</v>
      </c>
      <c r="I50" s="418" t="s">
        <v>1266</v>
      </c>
      <c r="J50" s="780" t="s">
        <v>196</v>
      </c>
      <c r="K50" s="418" t="s">
        <v>1265</v>
      </c>
      <c r="L50" s="418" t="s">
        <v>1266</v>
      </c>
    </row>
    <row r="51" spans="1:12" ht="13">
      <c r="A51" s="549"/>
      <c r="B51" s="425" t="s">
        <v>1286</v>
      </c>
      <c r="C51" s="250"/>
      <c r="D51" s="250"/>
      <c r="E51" s="421"/>
      <c r="F51" s="422"/>
      <c r="G51" s="421"/>
      <c r="H51" s="421"/>
      <c r="I51" s="421"/>
      <c r="J51" s="250"/>
      <c r="K51" s="421"/>
      <c r="L51" s="421"/>
    </row>
    <row r="52" spans="1:12" ht="13">
      <c r="A52" s="109">
        <f>A44+1</f>
        <v>35</v>
      </c>
      <c r="B52" s="570" t="s">
        <v>2311</v>
      </c>
      <c r="C52" s="806">
        <f t="shared" ref="C52:C56" si="11">SUM(D52:E52)</f>
        <v>36714424.049999997</v>
      </c>
      <c r="D52" s="950">
        <v>27887902.48</v>
      </c>
      <c r="E52" s="950">
        <v>8826521.5699999984</v>
      </c>
      <c r="F52" s="1043"/>
      <c r="G52" s="803">
        <f t="shared" ref="G52:G56" si="12">SUM(H52:I52)</f>
        <v>0</v>
      </c>
      <c r="H52" s="950"/>
      <c r="I52" s="950"/>
      <c r="J52" s="572">
        <f t="shared" ref="J52:J56" si="13">SUM(K52:L52)</f>
        <v>36714424.049999997</v>
      </c>
      <c r="K52" s="572">
        <f t="shared" ref="K52:L57" si="14">D52+H52</f>
        <v>27887902.48</v>
      </c>
      <c r="L52" s="572">
        <f t="shared" si="14"/>
        <v>8826521.5699999984</v>
      </c>
    </row>
    <row r="53" spans="1:12" ht="13">
      <c r="A53" s="109">
        <f t="shared" ref="A53:A62" si="15">A52+1</f>
        <v>36</v>
      </c>
      <c r="B53" s="570" t="s">
        <v>1287</v>
      </c>
      <c r="C53" s="806">
        <f t="shared" si="11"/>
        <v>1791821.0299999998</v>
      </c>
      <c r="D53" s="950">
        <v>1567559.2999999998</v>
      </c>
      <c r="E53" s="950">
        <v>224261.72999999998</v>
      </c>
      <c r="F53" s="1043"/>
      <c r="G53" s="803">
        <f t="shared" si="12"/>
        <v>0</v>
      </c>
      <c r="H53" s="950"/>
      <c r="I53" s="950"/>
      <c r="J53" s="572">
        <f t="shared" si="13"/>
        <v>1791821.0299999998</v>
      </c>
      <c r="K53" s="572">
        <f t="shared" si="14"/>
        <v>1567559.2999999998</v>
      </c>
      <c r="L53" s="572">
        <f t="shared" si="14"/>
        <v>224261.72999999998</v>
      </c>
    </row>
    <row r="54" spans="1:12" ht="13">
      <c r="A54" s="109">
        <f t="shared" si="15"/>
        <v>37</v>
      </c>
      <c r="B54" s="570" t="s">
        <v>1288</v>
      </c>
      <c r="C54" s="806">
        <f t="shared" si="11"/>
        <v>163471.96999999997</v>
      </c>
      <c r="D54" s="950">
        <v>11165.869999999997</v>
      </c>
      <c r="E54" s="950">
        <v>152306.09999999998</v>
      </c>
      <c r="F54" s="1043"/>
      <c r="G54" s="803">
        <f t="shared" si="12"/>
        <v>0</v>
      </c>
      <c r="H54" s="950"/>
      <c r="I54" s="950"/>
      <c r="J54" s="572">
        <f t="shared" si="13"/>
        <v>163471.96999999997</v>
      </c>
      <c r="K54" s="572">
        <f t="shared" si="14"/>
        <v>11165.869999999997</v>
      </c>
      <c r="L54" s="572">
        <f t="shared" si="14"/>
        <v>152306.09999999998</v>
      </c>
    </row>
    <row r="55" spans="1:12" ht="13">
      <c r="A55" s="109">
        <f t="shared" si="15"/>
        <v>38</v>
      </c>
      <c r="B55" s="570" t="s">
        <v>2312</v>
      </c>
      <c r="C55" s="806">
        <f t="shared" si="11"/>
        <v>8090408.7100000009</v>
      </c>
      <c r="D55" s="950">
        <v>3175600.61</v>
      </c>
      <c r="E55" s="950">
        <v>4914808.1000000006</v>
      </c>
      <c r="F55" s="1043"/>
      <c r="G55" s="803">
        <f t="shared" si="12"/>
        <v>0</v>
      </c>
      <c r="H55" s="950"/>
      <c r="I55" s="950"/>
      <c r="J55" s="572">
        <f t="shared" si="13"/>
        <v>8090408.7100000009</v>
      </c>
      <c r="K55" s="572">
        <f t="shared" si="14"/>
        <v>3175600.61</v>
      </c>
      <c r="L55" s="572">
        <f t="shared" si="14"/>
        <v>4914808.1000000006</v>
      </c>
    </row>
    <row r="56" spans="1:12" ht="13">
      <c r="A56" s="109">
        <f t="shared" si="15"/>
        <v>39</v>
      </c>
      <c r="B56" s="570" t="s">
        <v>1289</v>
      </c>
      <c r="C56" s="806">
        <f t="shared" si="11"/>
        <v>1147681996.7300003</v>
      </c>
      <c r="D56" s="950">
        <v>257696283.06999999</v>
      </c>
      <c r="E56" s="950">
        <v>889985713.66000032</v>
      </c>
      <c r="F56" s="1043" t="s">
        <v>556</v>
      </c>
      <c r="G56" s="877">
        <f t="shared" si="12"/>
        <v>-4117179.1800000006</v>
      </c>
      <c r="H56" s="950">
        <v>-54261.410000000033</v>
      </c>
      <c r="I56" s="950">
        <v>-4062917.7700000005</v>
      </c>
      <c r="J56" s="572">
        <f t="shared" si="13"/>
        <v>1143564817.5500004</v>
      </c>
      <c r="K56" s="572">
        <f t="shared" si="14"/>
        <v>257642021.66</v>
      </c>
      <c r="L56" s="572">
        <f t="shared" si="14"/>
        <v>885922795.89000034</v>
      </c>
    </row>
    <row r="57" spans="1:12" ht="13">
      <c r="A57" s="109">
        <f>A56+1</f>
        <v>40</v>
      </c>
      <c r="B57" s="570" t="s">
        <v>1993</v>
      </c>
      <c r="C57" s="793">
        <v>0</v>
      </c>
      <c r="D57" s="793">
        <v>0</v>
      </c>
      <c r="E57" s="793">
        <v>0</v>
      </c>
      <c r="F57" s="808"/>
      <c r="G57" s="807">
        <f>SUM(H57:I57)</f>
        <v>-6795318.0852845833</v>
      </c>
      <c r="H57" s="808">
        <f>+C64*C145</f>
        <v>-6795318.0852845833</v>
      </c>
      <c r="I57" s="808">
        <v>0</v>
      </c>
      <c r="J57" s="809">
        <f>SUM(K57:L57)</f>
        <v>-6795318.0852845833</v>
      </c>
      <c r="K57" s="809">
        <f t="shared" si="14"/>
        <v>-6795318.0852845833</v>
      </c>
      <c r="L57" s="809">
        <f t="shared" si="14"/>
        <v>0</v>
      </c>
    </row>
    <row r="58" spans="1:12" ht="13">
      <c r="A58" s="109">
        <f t="shared" si="15"/>
        <v>41</v>
      </c>
      <c r="B58" s="424" t="s">
        <v>1290</v>
      </c>
      <c r="C58" s="801">
        <f>SUM(C52:C57)</f>
        <v>1194442122.4900002</v>
      </c>
      <c r="D58" s="801">
        <f>SUM(D52:D57)</f>
        <v>290338511.32999998</v>
      </c>
      <c r="E58" s="801">
        <f>SUM(E52:E57)</f>
        <v>904103611.16000032</v>
      </c>
      <c r="F58" s="802"/>
      <c r="G58" s="805">
        <f t="shared" ref="G58:L58" si="16">SUM(G52:G57)</f>
        <v>-10912497.265284583</v>
      </c>
      <c r="H58" s="801">
        <f t="shared" si="16"/>
        <v>-6849579.4952845834</v>
      </c>
      <c r="I58" s="801">
        <f t="shared" si="16"/>
        <v>-4062917.7700000005</v>
      </c>
      <c r="J58" s="801">
        <f>SUM(J52:J57)</f>
        <v>1183529625.2247159</v>
      </c>
      <c r="K58" s="801">
        <f t="shared" si="16"/>
        <v>283488931.83471543</v>
      </c>
      <c r="L58" s="801">
        <f t="shared" si="16"/>
        <v>900040693.39000034</v>
      </c>
    </row>
    <row r="59" spans="1:12" ht="13">
      <c r="A59" s="109">
        <f t="shared" si="15"/>
        <v>42</v>
      </c>
      <c r="B59" s="800"/>
      <c r="C59" s="806"/>
      <c r="D59" s="801"/>
      <c r="E59" s="801"/>
      <c r="F59" s="810"/>
      <c r="G59" s="803"/>
      <c r="H59" s="804"/>
      <c r="I59" s="804"/>
      <c r="J59" s="572"/>
      <c r="K59" s="572"/>
      <c r="L59" s="572"/>
    </row>
    <row r="60" spans="1:12" ht="13">
      <c r="A60" s="109">
        <f t="shared" si="15"/>
        <v>43</v>
      </c>
      <c r="B60" s="424" t="s">
        <v>1291</v>
      </c>
      <c r="C60" s="806">
        <f>+C43+C58</f>
        <v>1730135838.9800003</v>
      </c>
      <c r="D60" s="806">
        <f>D58+D43</f>
        <v>401076013.90999997</v>
      </c>
      <c r="E60" s="806">
        <f>E58+E43</f>
        <v>1329059825.0700004</v>
      </c>
      <c r="F60" s="811"/>
      <c r="G60" s="803">
        <f>+G43+G58</f>
        <v>-269734526.63252664</v>
      </c>
      <c r="H60" s="572">
        <f>H58+H43</f>
        <v>-10536620.57252669</v>
      </c>
      <c r="I60" s="572">
        <f>I58+I43</f>
        <v>-259197906.06</v>
      </c>
      <c r="J60" s="572">
        <f>J58+J43</f>
        <v>1460401312.3474739</v>
      </c>
      <c r="K60" s="572">
        <f>K58+K43</f>
        <v>390539393.33747327</v>
      </c>
      <c r="L60" s="572">
        <f>L58+L43</f>
        <v>1069861919.0100003</v>
      </c>
    </row>
    <row r="61" spans="1:12" ht="13">
      <c r="A61" s="109">
        <f t="shared" si="15"/>
        <v>44</v>
      </c>
      <c r="B61" s="800"/>
      <c r="C61" s="800"/>
      <c r="D61" s="800"/>
      <c r="E61" s="800"/>
      <c r="F61" s="811"/>
      <c r="G61" s="812"/>
      <c r="H61" s="804"/>
      <c r="I61" s="804"/>
      <c r="J61" s="496"/>
      <c r="K61" s="496"/>
      <c r="L61" s="496"/>
    </row>
    <row r="62" spans="1:12" ht="13">
      <c r="A62" s="109">
        <f t="shared" si="15"/>
        <v>45</v>
      </c>
      <c r="B62" s="570" t="s">
        <v>1292</v>
      </c>
      <c r="C62" s="1042">
        <v>535693716</v>
      </c>
      <c r="D62" s="813" t="s">
        <v>1293</v>
      </c>
      <c r="E62" s="806" t="str">
        <f>"Must equal Line "&amp;A43&amp;", Column 2."</f>
        <v>Must equal Line 33, Column 2.</v>
      </c>
      <c r="F62" s="811"/>
      <c r="G62" s="426"/>
      <c r="H62" s="427"/>
      <c r="I62" s="427"/>
      <c r="J62" s="427"/>
      <c r="K62" s="427"/>
      <c r="L62" s="427"/>
    </row>
    <row r="63" spans="1:12" ht="13">
      <c r="A63" s="109">
        <f>A62+1</f>
        <v>46</v>
      </c>
      <c r="B63" s="570" t="s">
        <v>1294</v>
      </c>
      <c r="C63" s="1042">
        <v>1194442122</v>
      </c>
      <c r="D63" s="813" t="s">
        <v>2424</v>
      </c>
      <c r="E63" s="806" t="str">
        <f>"Must equal Line "&amp;A58&amp;", Column 2."</f>
        <v>Must equal Line 41, Column 2.</v>
      </c>
      <c r="F63" s="811"/>
      <c r="G63" s="803"/>
      <c r="H63" s="572"/>
      <c r="I63" s="572"/>
      <c r="J63" s="572"/>
      <c r="K63" s="572"/>
      <c r="L63" s="572"/>
    </row>
    <row r="64" spans="1:12" ht="13">
      <c r="A64" s="109">
        <f>A63+1</f>
        <v>47</v>
      </c>
      <c r="B64" s="570" t="s">
        <v>1994</v>
      </c>
      <c r="C64" s="814">
        <f>'20-AandG'!E63</f>
        <v>-9387108.4425266907</v>
      </c>
      <c r="D64" s="813" t="str">
        <f>"20-AandG, Note 2, "&amp;'20-AandG'!B63&amp;""</f>
        <v>20-AandG, Note 2, f</v>
      </c>
      <c r="E64" s="806"/>
      <c r="F64" s="109"/>
      <c r="G64" s="803"/>
      <c r="H64" s="572"/>
      <c r="I64" s="572"/>
      <c r="J64" s="572"/>
      <c r="K64" s="572"/>
      <c r="L64" s="572"/>
    </row>
    <row r="65" spans="1:12" ht="13">
      <c r="A65" s="428"/>
      <c r="C65" s="429"/>
      <c r="D65" s="806"/>
      <c r="E65" s="806"/>
      <c r="F65" s="811"/>
      <c r="G65" s="803"/>
      <c r="H65" s="572"/>
      <c r="I65" s="572"/>
      <c r="J65" s="572"/>
      <c r="K65" s="572"/>
      <c r="L65" s="572"/>
    </row>
    <row r="66" spans="1:12" ht="13">
      <c r="A66" s="496"/>
      <c r="B66" s="402" t="s">
        <v>1367</v>
      </c>
      <c r="C66" s="800"/>
      <c r="D66" s="800"/>
      <c r="E66" s="800"/>
      <c r="F66" s="811"/>
      <c r="G66" s="812"/>
      <c r="H66" s="496"/>
      <c r="I66" s="496"/>
      <c r="J66" s="496"/>
      <c r="K66" s="496"/>
      <c r="L66" s="496"/>
    </row>
    <row r="67" spans="1:12">
      <c r="A67" s="496"/>
      <c r="C67" s="800"/>
      <c r="D67" s="800"/>
      <c r="E67" s="800"/>
      <c r="F67" s="811"/>
      <c r="G67" s="812"/>
      <c r="H67" s="496"/>
      <c r="I67" s="496"/>
      <c r="J67" s="496"/>
      <c r="K67" s="496"/>
      <c r="L67" s="496"/>
    </row>
    <row r="68" spans="1:12" ht="13">
      <c r="A68" s="496"/>
      <c r="B68" s="84" t="s">
        <v>358</v>
      </c>
      <c r="C68" s="413" t="s">
        <v>342</v>
      </c>
      <c r="D68" s="413" t="s">
        <v>343</v>
      </c>
      <c r="E68" s="413" t="s">
        <v>344</v>
      </c>
      <c r="F68" s="414" t="s">
        <v>345</v>
      </c>
      <c r="G68" s="413" t="s">
        <v>346</v>
      </c>
      <c r="H68" s="413" t="s">
        <v>347</v>
      </c>
      <c r="I68" s="413" t="s">
        <v>534</v>
      </c>
      <c r="J68" s="878" t="s">
        <v>949</v>
      </c>
      <c r="K68" s="351"/>
      <c r="L68" s="84"/>
    </row>
    <row r="69" spans="1:12">
      <c r="A69" s="496"/>
      <c r="C69" s="800" t="s">
        <v>1295</v>
      </c>
      <c r="D69" s="800" t="s">
        <v>1296</v>
      </c>
      <c r="E69" s="800" t="s">
        <v>1297</v>
      </c>
      <c r="F69" s="1155" t="s">
        <v>1169</v>
      </c>
      <c r="G69" s="1154" t="s">
        <v>1257</v>
      </c>
      <c r="H69" s="1156" t="s">
        <v>1654</v>
      </c>
      <c r="I69" s="1156" t="s">
        <v>1655</v>
      </c>
      <c r="J69" s="474"/>
      <c r="K69" s="800"/>
      <c r="L69" s="496"/>
    </row>
    <row r="70" spans="1:12">
      <c r="C70" s="800"/>
      <c r="D70" s="800"/>
      <c r="E70" s="800"/>
      <c r="F70" s="811"/>
      <c r="G70" s="812"/>
      <c r="H70" s="496"/>
      <c r="I70" s="496"/>
      <c r="J70" s="800"/>
      <c r="K70" s="800"/>
      <c r="L70" s="496"/>
    </row>
    <row r="71" spans="1:12" ht="13">
      <c r="A71" s="416"/>
      <c r="B71" s="1519" t="s">
        <v>1261</v>
      </c>
      <c r="C71" s="1510" t="s">
        <v>1264</v>
      </c>
      <c r="D71" s="1511"/>
      <c r="E71" s="1512"/>
      <c r="F71" s="430" t="s">
        <v>1426</v>
      </c>
      <c r="G71" s="1516" t="s">
        <v>1298</v>
      </c>
      <c r="H71" s="1517"/>
      <c r="I71" s="1518"/>
      <c r="J71" s="879" t="s">
        <v>1721</v>
      </c>
      <c r="K71" s="800"/>
    </row>
    <row r="72" spans="1:12" ht="13">
      <c r="B72" s="1519"/>
      <c r="C72" s="780" t="s">
        <v>196</v>
      </c>
      <c r="D72" s="418" t="s">
        <v>1265</v>
      </c>
      <c r="E72" s="418" t="s">
        <v>1266</v>
      </c>
      <c r="F72" s="430" t="s">
        <v>427</v>
      </c>
      <c r="G72" s="780" t="s">
        <v>196</v>
      </c>
      <c r="H72" s="418" t="s">
        <v>1265</v>
      </c>
      <c r="I72" s="418" t="s">
        <v>1266</v>
      </c>
      <c r="J72" s="835" t="s">
        <v>205</v>
      </c>
      <c r="K72" s="800"/>
      <c r="L72" s="496"/>
    </row>
    <row r="73" spans="1:12" ht="13">
      <c r="A73" s="51" t="s">
        <v>329</v>
      </c>
      <c r="B73" s="420" t="s">
        <v>1267</v>
      </c>
      <c r="C73" s="250"/>
      <c r="D73" s="421"/>
      <c r="E73" s="421"/>
      <c r="F73" s="431"/>
      <c r="G73" s="250"/>
      <c r="H73" s="421"/>
      <c r="I73" s="421"/>
      <c r="J73" s="474"/>
      <c r="K73" s="800"/>
      <c r="L73" s="496"/>
    </row>
    <row r="74" spans="1:12" ht="13">
      <c r="A74" s="109">
        <f>A64+1</f>
        <v>48</v>
      </c>
      <c r="B74" s="478" t="s">
        <v>2313</v>
      </c>
      <c r="C74" s="806">
        <f t="shared" ref="C74:C103" si="17">J11</f>
        <v>8721014.5099999998</v>
      </c>
      <c r="D74" s="806">
        <f t="shared" ref="D74:D103" si="18">K11</f>
        <v>2947582.1800000006</v>
      </c>
      <c r="E74" s="806">
        <f t="shared" ref="E74:E103" si="19">L11</f>
        <v>5773432.3299999991</v>
      </c>
      <c r="F74" s="822">
        <f>'27-Allocators'!$D$48</f>
        <v>0.39050211736237145</v>
      </c>
      <c r="G74" s="815">
        <f>SUM(H74:I74)</f>
        <v>3405574.6317029642</v>
      </c>
      <c r="H74" s="815">
        <f>D74*F74</f>
        <v>1151037.082389595</v>
      </c>
      <c r="I74" s="815">
        <f>E74*F74</f>
        <v>2254537.5493133692</v>
      </c>
      <c r="J74" s="591" t="s">
        <v>2327</v>
      </c>
      <c r="K74" s="800"/>
    </row>
    <row r="75" spans="1:12" ht="13">
      <c r="A75" s="109">
        <f t="shared" ref="A75:A107" si="20">A74+1</f>
        <v>49</v>
      </c>
      <c r="B75" s="478" t="s">
        <v>1268</v>
      </c>
      <c r="C75" s="806">
        <f t="shared" si="17"/>
        <v>251031.09</v>
      </c>
      <c r="D75" s="806">
        <f t="shared" si="18"/>
        <v>0</v>
      </c>
      <c r="E75" s="806">
        <f t="shared" si="19"/>
        <v>251031.09</v>
      </c>
      <c r="F75" s="822">
        <v>1</v>
      </c>
      <c r="G75" s="815">
        <f t="shared" ref="G75:G103" si="21">SUM(H75:I75)</f>
        <v>251031.09</v>
      </c>
      <c r="H75" s="815">
        <f t="shared" ref="H75:H103" si="22">D75*F75</f>
        <v>0</v>
      </c>
      <c r="I75" s="815">
        <f t="shared" ref="I75:I103" si="23">E75*F75</f>
        <v>251031.09</v>
      </c>
      <c r="J75" s="1157" t="s">
        <v>2408</v>
      </c>
      <c r="K75" s="800"/>
    </row>
    <row r="76" spans="1:12" ht="13">
      <c r="A76" s="109">
        <f t="shared" si="20"/>
        <v>50</v>
      </c>
      <c r="B76" s="570" t="s">
        <v>2314</v>
      </c>
      <c r="C76" s="806">
        <f t="shared" si="17"/>
        <v>13229581</v>
      </c>
      <c r="D76" s="806">
        <f t="shared" si="18"/>
        <v>10842257.360000001</v>
      </c>
      <c r="E76" s="806">
        <f t="shared" si="19"/>
        <v>2387323.6399999992</v>
      </c>
      <c r="F76" s="822">
        <f>'27-Allocators'!$D$48</f>
        <v>0.39050211736237145</v>
      </c>
      <c r="G76" s="815">
        <f t="shared" si="21"/>
        <v>5166179.3923169989</v>
      </c>
      <c r="H76" s="815">
        <f t="shared" si="22"/>
        <v>4233924.4560677558</v>
      </c>
      <c r="I76" s="815">
        <f t="shared" si="23"/>
        <v>932254.93624924344</v>
      </c>
      <c r="J76" s="591" t="s">
        <v>2327</v>
      </c>
      <c r="K76" s="800"/>
    </row>
    <row r="77" spans="1:12" ht="13">
      <c r="A77" s="109">
        <f t="shared" si="20"/>
        <v>51</v>
      </c>
      <c r="B77" s="570" t="s">
        <v>1269</v>
      </c>
      <c r="C77" s="806">
        <f t="shared" si="17"/>
        <v>0</v>
      </c>
      <c r="D77" s="806">
        <f t="shared" si="18"/>
        <v>0</v>
      </c>
      <c r="E77" s="806">
        <f t="shared" si="19"/>
        <v>0</v>
      </c>
      <c r="F77" s="822">
        <v>0</v>
      </c>
      <c r="G77" s="815">
        <f t="shared" si="21"/>
        <v>0</v>
      </c>
      <c r="H77" s="815">
        <f t="shared" si="22"/>
        <v>0</v>
      </c>
      <c r="I77" s="815">
        <f t="shared" si="23"/>
        <v>0</v>
      </c>
      <c r="J77" s="1157" t="s">
        <v>2409</v>
      </c>
      <c r="K77" s="800"/>
    </row>
    <row r="78" spans="1:12" ht="13">
      <c r="A78" s="109">
        <f t="shared" si="20"/>
        <v>52</v>
      </c>
      <c r="B78" s="570" t="s">
        <v>2315</v>
      </c>
      <c r="C78" s="806">
        <f t="shared" si="17"/>
        <v>4828525.6500000004</v>
      </c>
      <c r="D78" s="806">
        <f t="shared" si="18"/>
        <v>4235346.790000001</v>
      </c>
      <c r="E78" s="806">
        <f t="shared" si="19"/>
        <v>593178.85999999987</v>
      </c>
      <c r="F78" s="822">
        <v>1</v>
      </c>
      <c r="G78" s="815">
        <f t="shared" si="21"/>
        <v>4828525.6500000004</v>
      </c>
      <c r="H78" s="815">
        <f t="shared" si="22"/>
        <v>4235346.790000001</v>
      </c>
      <c r="I78" s="815">
        <f t="shared" si="23"/>
        <v>593178.85999999987</v>
      </c>
      <c r="J78" s="1157" t="s">
        <v>2408</v>
      </c>
      <c r="K78" s="800"/>
    </row>
    <row r="79" spans="1:12" ht="13">
      <c r="A79" s="109">
        <f t="shared" si="20"/>
        <v>53</v>
      </c>
      <c r="B79" s="570" t="s">
        <v>2316</v>
      </c>
      <c r="C79" s="806">
        <f t="shared" si="17"/>
        <v>32343719.699999999</v>
      </c>
      <c r="D79" s="806">
        <f t="shared" si="18"/>
        <v>26968567.499999996</v>
      </c>
      <c r="E79" s="806">
        <f t="shared" si="19"/>
        <v>5375152.2000000039</v>
      </c>
      <c r="F79" s="822">
        <f>'27-Allocators'!$D$48</f>
        <v>0.39050211736237145</v>
      </c>
      <c r="G79" s="815">
        <f t="shared" si="21"/>
        <v>12630291.026225045</v>
      </c>
      <c r="H79" s="815">
        <f t="shared" si="22"/>
        <v>10531282.710980035</v>
      </c>
      <c r="I79" s="815">
        <f t="shared" si="23"/>
        <v>2099008.3152450104</v>
      </c>
      <c r="J79" s="591" t="s">
        <v>2327</v>
      </c>
      <c r="K79" s="800"/>
    </row>
    <row r="80" spans="1:12" ht="13">
      <c r="A80" s="109">
        <f t="shared" si="20"/>
        <v>54</v>
      </c>
      <c r="B80" s="570" t="s">
        <v>1270</v>
      </c>
      <c r="C80" s="806">
        <f t="shared" si="17"/>
        <v>0</v>
      </c>
      <c r="D80" s="806">
        <f t="shared" si="18"/>
        <v>0</v>
      </c>
      <c r="E80" s="806">
        <f t="shared" si="19"/>
        <v>0</v>
      </c>
      <c r="F80" s="822">
        <v>0</v>
      </c>
      <c r="G80" s="815">
        <f t="shared" si="21"/>
        <v>0</v>
      </c>
      <c r="H80" s="815">
        <f t="shared" si="22"/>
        <v>0</v>
      </c>
      <c r="I80" s="815">
        <f t="shared" si="23"/>
        <v>0</v>
      </c>
      <c r="J80" s="1157" t="s">
        <v>2409</v>
      </c>
      <c r="K80" s="800"/>
    </row>
    <row r="81" spans="1:11" ht="13">
      <c r="A81" s="109">
        <f t="shared" si="20"/>
        <v>55</v>
      </c>
      <c r="B81" s="570" t="s">
        <v>1271</v>
      </c>
      <c r="C81" s="806">
        <f t="shared" si="17"/>
        <v>950815.02</v>
      </c>
      <c r="D81" s="806">
        <f t="shared" si="18"/>
        <v>0</v>
      </c>
      <c r="E81" s="806">
        <f t="shared" si="19"/>
        <v>950815.02</v>
      </c>
      <c r="F81" s="822">
        <v>1</v>
      </c>
      <c r="G81" s="815">
        <f t="shared" si="21"/>
        <v>950815.02</v>
      </c>
      <c r="H81" s="815">
        <f t="shared" si="22"/>
        <v>0</v>
      </c>
      <c r="I81" s="815">
        <f t="shared" si="23"/>
        <v>950815.02</v>
      </c>
      <c r="J81" s="1157" t="s">
        <v>2408</v>
      </c>
      <c r="K81" s="806"/>
    </row>
    <row r="82" spans="1:11" ht="13">
      <c r="A82" s="109">
        <f t="shared" si="20"/>
        <v>56</v>
      </c>
      <c r="B82" s="570" t="s">
        <v>2317</v>
      </c>
      <c r="C82" s="806">
        <f t="shared" si="17"/>
        <v>40209181.039999999</v>
      </c>
      <c r="D82" s="806">
        <f t="shared" si="18"/>
        <v>12092709.940000001</v>
      </c>
      <c r="E82" s="806">
        <f t="shared" si="19"/>
        <v>28116471.099999998</v>
      </c>
      <c r="F82" s="822">
        <f>'27-Allocators'!$D$36</f>
        <v>0.47688983579753791</v>
      </c>
      <c r="G82" s="815">
        <f t="shared" si="21"/>
        <v>19175349.743719071</v>
      </c>
      <c r="H82" s="815">
        <f t="shared" si="22"/>
        <v>5766890.4576338548</v>
      </c>
      <c r="I82" s="815">
        <f t="shared" si="23"/>
        <v>13408459.286085218</v>
      </c>
      <c r="J82" s="591" t="s">
        <v>2328</v>
      </c>
      <c r="K82" s="800"/>
    </row>
    <row r="83" spans="1:11" ht="12.75" customHeight="1">
      <c r="A83" s="109">
        <f t="shared" si="20"/>
        <v>57</v>
      </c>
      <c r="B83" s="570" t="s">
        <v>2318</v>
      </c>
      <c r="C83" s="813">
        <f t="shared" si="17"/>
        <v>2410542.2000000002</v>
      </c>
      <c r="D83" s="813">
        <f t="shared" si="18"/>
        <v>2105995.4700000002</v>
      </c>
      <c r="E83" s="813">
        <f t="shared" si="19"/>
        <v>304546.73</v>
      </c>
      <c r="F83" s="822">
        <f>'27-Allocators'!$D$42</f>
        <v>1.2816716950958474E-2</v>
      </c>
      <c r="G83" s="817">
        <f t="shared" si="21"/>
        <v>30895.237075740733</v>
      </c>
      <c r="H83" s="817">
        <f t="shared" si="22"/>
        <v>26991.94783899076</v>
      </c>
      <c r="I83" s="817">
        <f t="shared" si="23"/>
        <v>3903.2892367499735</v>
      </c>
      <c r="J83" s="591" t="s">
        <v>2329</v>
      </c>
      <c r="K83" s="806"/>
    </row>
    <row r="84" spans="1:11" ht="13">
      <c r="A84" s="109">
        <f t="shared" si="20"/>
        <v>58</v>
      </c>
      <c r="B84" s="570" t="s">
        <v>2319</v>
      </c>
      <c r="C84" s="806">
        <f t="shared" si="17"/>
        <v>0</v>
      </c>
      <c r="D84" s="806">
        <f t="shared" si="18"/>
        <v>0</v>
      </c>
      <c r="E84" s="806">
        <f t="shared" si="19"/>
        <v>0</v>
      </c>
      <c r="F84" s="822">
        <v>1</v>
      </c>
      <c r="G84" s="815">
        <f t="shared" si="21"/>
        <v>0</v>
      </c>
      <c r="H84" s="815">
        <f t="shared" si="22"/>
        <v>0</v>
      </c>
      <c r="I84" s="815">
        <f t="shared" si="23"/>
        <v>0</v>
      </c>
      <c r="J84" s="1157" t="s">
        <v>2408</v>
      </c>
      <c r="K84" s="800"/>
    </row>
    <row r="85" spans="1:11" ht="13">
      <c r="A85" s="109">
        <f t="shared" si="20"/>
        <v>59</v>
      </c>
      <c r="B85" s="570" t="s">
        <v>1273</v>
      </c>
      <c r="C85" s="806">
        <f t="shared" si="17"/>
        <v>0</v>
      </c>
      <c r="D85" s="806">
        <f t="shared" si="18"/>
        <v>0</v>
      </c>
      <c r="E85" s="806">
        <f t="shared" si="19"/>
        <v>0</v>
      </c>
      <c r="F85" s="822">
        <v>0</v>
      </c>
      <c r="G85" s="815">
        <f t="shared" si="21"/>
        <v>0</v>
      </c>
      <c r="H85" s="815">
        <f t="shared" si="22"/>
        <v>0</v>
      </c>
      <c r="I85" s="815">
        <f t="shared" si="23"/>
        <v>0</v>
      </c>
      <c r="J85" s="1157" t="s">
        <v>2409</v>
      </c>
      <c r="K85" s="800"/>
    </row>
    <row r="86" spans="1:11" ht="13">
      <c r="A86" s="109">
        <f t="shared" si="20"/>
        <v>60</v>
      </c>
      <c r="B86" s="570" t="s">
        <v>1274</v>
      </c>
      <c r="C86" s="806">
        <f t="shared" si="17"/>
        <v>371081.75</v>
      </c>
      <c r="D86" s="806">
        <f t="shared" si="18"/>
        <v>0</v>
      </c>
      <c r="E86" s="806">
        <f t="shared" si="19"/>
        <v>371081.75</v>
      </c>
      <c r="F86" s="822">
        <v>0</v>
      </c>
      <c r="G86" s="815">
        <f t="shared" si="21"/>
        <v>0</v>
      </c>
      <c r="H86" s="815">
        <f t="shared" si="22"/>
        <v>0</v>
      </c>
      <c r="I86" s="815">
        <f t="shared" si="23"/>
        <v>0</v>
      </c>
      <c r="J86" s="1157" t="s">
        <v>2409</v>
      </c>
      <c r="K86" s="800"/>
    </row>
    <row r="87" spans="1:11" ht="13">
      <c r="A87" s="109">
        <f t="shared" si="20"/>
        <v>61</v>
      </c>
      <c r="B87" s="570" t="s">
        <v>2320</v>
      </c>
      <c r="C87" s="806">
        <f t="shared" si="17"/>
        <v>51796425.419999987</v>
      </c>
      <c r="D87" s="806">
        <f t="shared" si="18"/>
        <v>29904343.529999986</v>
      </c>
      <c r="E87" s="806">
        <f t="shared" si="19"/>
        <v>21892081.890000001</v>
      </c>
      <c r="F87" s="822">
        <f>'27-Allocators'!$D$48</f>
        <v>0.39050211736237145</v>
      </c>
      <c r="G87" s="815">
        <f t="shared" si="21"/>
        <v>20226613.798312157</v>
      </c>
      <c r="H87" s="815">
        <f t="shared" si="22"/>
        <v>11677709.466796728</v>
      </c>
      <c r="I87" s="815">
        <f t="shared" si="23"/>
        <v>8548904.3315154277</v>
      </c>
      <c r="J87" s="591" t="s">
        <v>2327</v>
      </c>
      <c r="K87" s="806"/>
    </row>
    <row r="88" spans="1:11" ht="13">
      <c r="A88" s="109">
        <f t="shared" si="20"/>
        <v>62</v>
      </c>
      <c r="B88" s="570" t="s">
        <v>1275</v>
      </c>
      <c r="C88" s="806">
        <f t="shared" si="17"/>
        <v>-6.9999963045120239E-2</v>
      </c>
      <c r="D88" s="806">
        <f t="shared" si="18"/>
        <v>0</v>
      </c>
      <c r="E88" s="806">
        <f t="shared" si="19"/>
        <v>-6.9999963045120239E-2</v>
      </c>
      <c r="F88" s="822">
        <v>0</v>
      </c>
      <c r="G88" s="815">
        <f t="shared" si="21"/>
        <v>0</v>
      </c>
      <c r="H88" s="815">
        <f t="shared" si="22"/>
        <v>0</v>
      </c>
      <c r="I88" s="815">
        <f t="shared" si="23"/>
        <v>0</v>
      </c>
      <c r="J88" s="1157" t="s">
        <v>2409</v>
      </c>
      <c r="K88" s="800"/>
    </row>
    <row r="89" spans="1:11" ht="13">
      <c r="A89" s="109">
        <f t="shared" si="20"/>
        <v>63</v>
      </c>
      <c r="B89" s="570" t="s">
        <v>1276</v>
      </c>
      <c r="C89" s="806">
        <f t="shared" si="17"/>
        <v>842622.43</v>
      </c>
      <c r="D89" s="806">
        <f t="shared" si="18"/>
        <v>0</v>
      </c>
      <c r="E89" s="806">
        <f t="shared" si="19"/>
        <v>842622.43</v>
      </c>
      <c r="F89" s="822">
        <v>1</v>
      </c>
      <c r="G89" s="815">
        <f t="shared" si="21"/>
        <v>842622.43</v>
      </c>
      <c r="H89" s="815">
        <f t="shared" si="22"/>
        <v>0</v>
      </c>
      <c r="I89" s="815">
        <f t="shared" si="23"/>
        <v>842622.43</v>
      </c>
      <c r="J89" s="1157" t="s">
        <v>2408</v>
      </c>
      <c r="K89" s="800"/>
    </row>
    <row r="90" spans="1:11" ht="13">
      <c r="A90" s="109">
        <f t="shared" si="20"/>
        <v>64</v>
      </c>
      <c r="B90" s="570" t="s">
        <v>2308</v>
      </c>
      <c r="C90" s="806">
        <f t="shared" si="17"/>
        <v>18516862.59</v>
      </c>
      <c r="D90" s="806">
        <f t="shared" si="18"/>
        <v>68787.360000000015</v>
      </c>
      <c r="E90" s="806">
        <f t="shared" si="19"/>
        <v>18448075.23</v>
      </c>
      <c r="F90" s="822">
        <f>'27-Allocators'!$D$36</f>
        <v>0.47688983579753791</v>
      </c>
      <c r="G90" s="815">
        <f t="shared" si="21"/>
        <v>8830503.5600306727</v>
      </c>
      <c r="H90" s="815">
        <f t="shared" si="22"/>
        <v>32803.992815346137</v>
      </c>
      <c r="I90" s="815">
        <f t="shared" si="23"/>
        <v>8797699.5672153272</v>
      </c>
      <c r="J90" s="591" t="s">
        <v>2328</v>
      </c>
      <c r="K90" s="806"/>
    </row>
    <row r="91" spans="1:11" ht="13">
      <c r="A91" s="109">
        <f t="shared" si="20"/>
        <v>65</v>
      </c>
      <c r="B91" s="570" t="s">
        <v>1277</v>
      </c>
      <c r="C91" s="806">
        <f t="shared" si="17"/>
        <v>-7234.65</v>
      </c>
      <c r="D91" s="806">
        <f t="shared" si="18"/>
        <v>0</v>
      </c>
      <c r="E91" s="806">
        <f t="shared" si="19"/>
        <v>-7234.65</v>
      </c>
      <c r="F91" s="822">
        <v>1</v>
      </c>
      <c r="G91" s="815">
        <f t="shared" si="21"/>
        <v>-7234.65</v>
      </c>
      <c r="H91" s="815">
        <f t="shared" si="22"/>
        <v>0</v>
      </c>
      <c r="I91" s="815">
        <f t="shared" si="23"/>
        <v>-7234.65</v>
      </c>
      <c r="J91" s="1157" t="s">
        <v>2408</v>
      </c>
      <c r="K91" s="474"/>
    </row>
    <row r="92" spans="1:11" ht="13">
      <c r="A92" s="109">
        <f t="shared" si="20"/>
        <v>66</v>
      </c>
      <c r="B92" s="570" t="s">
        <v>1278</v>
      </c>
      <c r="C92" s="806">
        <f t="shared" si="17"/>
        <v>438002.55000000005</v>
      </c>
      <c r="D92" s="806">
        <f t="shared" si="18"/>
        <v>0</v>
      </c>
      <c r="E92" s="806">
        <f t="shared" si="19"/>
        <v>438002.55000000005</v>
      </c>
      <c r="F92" s="822">
        <v>1</v>
      </c>
      <c r="G92" s="815">
        <f t="shared" ref="G92" si="24">SUM(H92:I92)</f>
        <v>438002.55000000005</v>
      </c>
      <c r="H92" s="815">
        <f t="shared" ref="H92" si="25">D92*F92</f>
        <v>0</v>
      </c>
      <c r="I92" s="815">
        <f t="shared" ref="I92" si="26">E92*F92</f>
        <v>438002.55000000005</v>
      </c>
      <c r="J92" s="1157" t="s">
        <v>2408</v>
      </c>
      <c r="K92" s="474"/>
    </row>
    <row r="93" spans="1:11" ht="13">
      <c r="A93" s="109">
        <f t="shared" si="20"/>
        <v>67</v>
      </c>
      <c r="B93" s="570" t="s">
        <v>2321</v>
      </c>
      <c r="C93" s="806">
        <f t="shared" si="17"/>
        <v>1802989.81</v>
      </c>
      <c r="D93" s="806">
        <f t="shared" si="18"/>
        <v>1567136.62</v>
      </c>
      <c r="E93" s="806">
        <f t="shared" si="19"/>
        <v>235853.18999999997</v>
      </c>
      <c r="F93" s="822">
        <f>'27-Allocators'!$D$48</f>
        <v>0.39050211736237145</v>
      </c>
      <c r="G93" s="815">
        <f t="shared" si="21"/>
        <v>704071.33838777989</v>
      </c>
      <c r="H93" s="815">
        <f t="shared" si="22"/>
        <v>611970.16830611019</v>
      </c>
      <c r="I93" s="815">
        <f t="shared" si="23"/>
        <v>92101.170081669683</v>
      </c>
      <c r="J93" s="591" t="s">
        <v>2327</v>
      </c>
      <c r="K93" s="800"/>
    </row>
    <row r="94" spans="1:11" ht="13">
      <c r="A94" s="109">
        <f t="shared" si="20"/>
        <v>68</v>
      </c>
      <c r="B94" s="570" t="s">
        <v>1279</v>
      </c>
      <c r="C94" s="806">
        <f t="shared" si="17"/>
        <v>365991.53</v>
      </c>
      <c r="D94" s="806">
        <f t="shared" si="18"/>
        <v>0</v>
      </c>
      <c r="E94" s="806">
        <f t="shared" si="19"/>
        <v>365991.53</v>
      </c>
      <c r="F94" s="822">
        <v>1</v>
      </c>
      <c r="G94" s="815">
        <f t="shared" si="21"/>
        <v>365991.53</v>
      </c>
      <c r="H94" s="815">
        <f t="shared" si="22"/>
        <v>0</v>
      </c>
      <c r="I94" s="815">
        <f t="shared" si="23"/>
        <v>365991.53</v>
      </c>
      <c r="J94" s="1157" t="s">
        <v>2408</v>
      </c>
      <c r="K94" s="806"/>
    </row>
    <row r="95" spans="1:11" ht="13">
      <c r="A95" s="109">
        <f t="shared" si="20"/>
        <v>69</v>
      </c>
      <c r="B95" s="570" t="s">
        <v>2322</v>
      </c>
      <c r="C95" s="806">
        <f t="shared" si="17"/>
        <v>2403667.5400000019</v>
      </c>
      <c r="D95" s="806">
        <f t="shared" si="18"/>
        <v>7644.800000000002</v>
      </c>
      <c r="E95" s="806">
        <f t="shared" si="19"/>
        <v>2396022.7400000021</v>
      </c>
      <c r="F95" s="822">
        <f>'27-Allocators'!$D$48</f>
        <v>0.39050211736237145</v>
      </c>
      <c r="G95" s="815">
        <f t="shared" si="21"/>
        <v>938637.26380520349</v>
      </c>
      <c r="H95" s="815">
        <f t="shared" si="22"/>
        <v>2985.3105868118582</v>
      </c>
      <c r="I95" s="815">
        <f t="shared" si="23"/>
        <v>935651.95321839163</v>
      </c>
      <c r="J95" s="591" t="s">
        <v>2327</v>
      </c>
      <c r="K95" s="474"/>
    </row>
    <row r="96" spans="1:11" ht="13">
      <c r="A96" s="109">
        <f t="shared" si="20"/>
        <v>70</v>
      </c>
      <c r="B96" s="570" t="s">
        <v>1280</v>
      </c>
      <c r="C96" s="806">
        <f t="shared" si="17"/>
        <v>2440888.5499999998</v>
      </c>
      <c r="D96" s="806">
        <f t="shared" si="18"/>
        <v>0</v>
      </c>
      <c r="E96" s="806">
        <f t="shared" si="19"/>
        <v>2440888.5499999998</v>
      </c>
      <c r="F96" s="822">
        <v>1</v>
      </c>
      <c r="G96" s="815">
        <f t="shared" si="21"/>
        <v>2440888.5499999998</v>
      </c>
      <c r="H96" s="815">
        <f t="shared" si="22"/>
        <v>0</v>
      </c>
      <c r="I96" s="815">
        <f t="shared" si="23"/>
        <v>2440888.5499999998</v>
      </c>
      <c r="J96" s="1157" t="s">
        <v>2408</v>
      </c>
      <c r="K96" s="474"/>
    </row>
    <row r="97" spans="1:12" ht="13">
      <c r="A97" s="109">
        <f t="shared" si="20"/>
        <v>71</v>
      </c>
      <c r="B97" s="570" t="s">
        <v>2323</v>
      </c>
      <c r="C97" s="806">
        <f t="shared" si="17"/>
        <v>8050840.4100000011</v>
      </c>
      <c r="D97" s="806">
        <f t="shared" si="18"/>
        <v>3312956.6800000006</v>
      </c>
      <c r="E97" s="806">
        <f t="shared" si="19"/>
        <v>4737883.7300000004</v>
      </c>
      <c r="F97" s="822">
        <f>'27-Allocators'!$D$48</f>
        <v>0.39050211736237145</v>
      </c>
      <c r="G97" s="815">
        <f t="shared" si="21"/>
        <v>3143870.2266515428</v>
      </c>
      <c r="H97" s="815">
        <f t="shared" si="22"/>
        <v>1293716.5982698128</v>
      </c>
      <c r="I97" s="815">
        <f t="shared" si="23"/>
        <v>1850153.6283817303</v>
      </c>
      <c r="J97" s="591" t="s">
        <v>2327</v>
      </c>
      <c r="K97" s="474"/>
    </row>
    <row r="98" spans="1:12" ht="13">
      <c r="A98" s="109">
        <f t="shared" si="20"/>
        <v>72</v>
      </c>
      <c r="B98" s="570" t="s">
        <v>1281</v>
      </c>
      <c r="C98" s="806">
        <f t="shared" si="17"/>
        <v>1301046.3800000001</v>
      </c>
      <c r="D98" s="806">
        <f t="shared" si="18"/>
        <v>0</v>
      </c>
      <c r="E98" s="806">
        <f t="shared" si="19"/>
        <v>1301046.3800000001</v>
      </c>
      <c r="F98" s="822">
        <v>1</v>
      </c>
      <c r="G98" s="815">
        <f t="shared" si="21"/>
        <v>1301046.3800000001</v>
      </c>
      <c r="H98" s="815">
        <f t="shared" si="22"/>
        <v>0</v>
      </c>
      <c r="I98" s="815">
        <f t="shared" si="23"/>
        <v>1301046.3800000001</v>
      </c>
      <c r="J98" s="1157" t="s">
        <v>2408</v>
      </c>
      <c r="K98" s="474"/>
    </row>
    <row r="99" spans="1:12" ht="13">
      <c r="A99" s="109">
        <f t="shared" si="20"/>
        <v>73</v>
      </c>
      <c r="B99" s="570" t="s">
        <v>2324</v>
      </c>
      <c r="C99" s="806">
        <f t="shared" si="17"/>
        <v>85473722.189999968</v>
      </c>
      <c r="D99" s="806">
        <f t="shared" si="18"/>
        <v>14331008.809999995</v>
      </c>
      <c r="E99" s="806">
        <f t="shared" si="19"/>
        <v>71142713.379999965</v>
      </c>
      <c r="F99" s="822">
        <f>'27-Allocators'!$D$36</f>
        <v>0.47688983579753791</v>
      </c>
      <c r="G99" s="815">
        <f t="shared" si="21"/>
        <v>40761549.34019345</v>
      </c>
      <c r="H99" s="815">
        <f t="shared" si="22"/>
        <v>6834312.4382139668</v>
      </c>
      <c r="I99" s="815">
        <f t="shared" si="23"/>
        <v>33927236.901979484</v>
      </c>
      <c r="J99" s="591" t="s">
        <v>2328</v>
      </c>
      <c r="K99" s="474"/>
    </row>
    <row r="100" spans="1:12" ht="13">
      <c r="A100" s="109">
        <f t="shared" si="20"/>
        <v>74</v>
      </c>
      <c r="B100" s="570" t="s">
        <v>1282</v>
      </c>
      <c r="C100" s="806">
        <f t="shared" si="17"/>
        <v>671146.64</v>
      </c>
      <c r="D100" s="806">
        <f t="shared" si="18"/>
        <v>0</v>
      </c>
      <c r="E100" s="806">
        <f t="shared" si="19"/>
        <v>671146.64</v>
      </c>
      <c r="F100" s="822">
        <v>1</v>
      </c>
      <c r="G100" s="815">
        <f t="shared" si="21"/>
        <v>671146.64</v>
      </c>
      <c r="H100" s="815">
        <f t="shared" si="22"/>
        <v>0</v>
      </c>
      <c r="I100" s="815">
        <f t="shared" si="23"/>
        <v>671146.64</v>
      </c>
      <c r="J100" s="1157" t="s">
        <v>2408</v>
      </c>
      <c r="K100" s="474"/>
    </row>
    <row r="101" spans="1:12" ht="13">
      <c r="A101" s="109">
        <f t="shared" si="20"/>
        <v>75</v>
      </c>
      <c r="B101" s="570" t="s">
        <v>2325</v>
      </c>
      <c r="C101" s="806">
        <f t="shared" si="17"/>
        <v>453295.91000000003</v>
      </c>
      <c r="D101" s="806">
        <f t="shared" si="18"/>
        <v>138453.72</v>
      </c>
      <c r="E101" s="806">
        <f t="shared" si="19"/>
        <v>314842.19</v>
      </c>
      <c r="F101" s="822">
        <f>'27-Allocators'!$D$42</f>
        <v>1.2816716950958474E-2</v>
      </c>
      <c r="G101" s="815">
        <f t="shared" si="21"/>
        <v>5809.7653734971464</v>
      </c>
      <c r="H101" s="815">
        <f t="shared" si="22"/>
        <v>1774.5221400472583</v>
      </c>
      <c r="I101" s="815">
        <f t="shared" si="23"/>
        <v>4035.2432334498885</v>
      </c>
      <c r="J101" s="591" t="s">
        <v>2329</v>
      </c>
      <c r="K101" s="474"/>
    </row>
    <row r="102" spans="1:12" ht="13">
      <c r="A102" s="109">
        <f t="shared" si="20"/>
        <v>76</v>
      </c>
      <c r="B102" s="570" t="s">
        <v>1284</v>
      </c>
      <c r="C102" s="806">
        <f t="shared" si="17"/>
        <v>13727.48</v>
      </c>
      <c r="D102" s="806">
        <f t="shared" si="18"/>
        <v>0</v>
      </c>
      <c r="E102" s="806">
        <f t="shared" si="19"/>
        <v>13727.48</v>
      </c>
      <c r="F102" s="822">
        <v>1</v>
      </c>
      <c r="G102" s="815">
        <f t="shared" si="21"/>
        <v>13727.48</v>
      </c>
      <c r="H102" s="815">
        <f t="shared" si="22"/>
        <v>0</v>
      </c>
      <c r="I102" s="815">
        <f t="shared" si="23"/>
        <v>13727.48</v>
      </c>
      <c r="J102" s="1157" t="s">
        <v>2408</v>
      </c>
      <c r="K102" s="474"/>
    </row>
    <row r="103" spans="1:12" ht="13">
      <c r="A103" s="109">
        <f t="shared" si="20"/>
        <v>77</v>
      </c>
      <c r="B103" s="570" t="s">
        <v>2326</v>
      </c>
      <c r="C103" s="806">
        <f t="shared" si="17"/>
        <v>1583990.81</v>
      </c>
      <c r="D103" s="806">
        <f t="shared" si="18"/>
        <v>1119461.1000000001</v>
      </c>
      <c r="E103" s="806">
        <f t="shared" si="19"/>
        <v>464529.71</v>
      </c>
      <c r="F103" s="822">
        <f>'27-Allocators'!$D$48</f>
        <v>0.39050211736237145</v>
      </c>
      <c r="G103" s="815">
        <f t="shared" si="21"/>
        <v>618551.76518753788</v>
      </c>
      <c r="H103" s="815">
        <f t="shared" si="22"/>
        <v>437151.92985480948</v>
      </c>
      <c r="I103" s="815">
        <f t="shared" si="23"/>
        <v>181399.83533272837</v>
      </c>
      <c r="J103" s="591" t="s">
        <v>2327</v>
      </c>
      <c r="K103" s="474"/>
    </row>
    <row r="104" spans="1:12" ht="13">
      <c r="A104" s="109">
        <f t="shared" si="20"/>
        <v>78</v>
      </c>
      <c r="B104" s="570" t="s">
        <v>504</v>
      </c>
      <c r="C104" s="1158" t="s">
        <v>76</v>
      </c>
      <c r="D104" s="1158" t="s">
        <v>76</v>
      </c>
      <c r="E104" s="1158" t="s">
        <v>76</v>
      </c>
      <c r="F104" s="1158" t="s">
        <v>76</v>
      </c>
      <c r="G104" s="1158" t="s">
        <v>76</v>
      </c>
      <c r="H104" s="1158" t="s">
        <v>76</v>
      </c>
      <c r="I104" s="1158" t="s">
        <v>76</v>
      </c>
      <c r="J104" s="474"/>
      <c r="K104" s="474"/>
    </row>
    <row r="105" spans="1:12" ht="13">
      <c r="A105" s="109">
        <f t="shared" si="20"/>
        <v>79</v>
      </c>
      <c r="B105" s="570" t="s">
        <v>1995</v>
      </c>
      <c r="C105" s="818">
        <f>J42</f>
        <v>-2591790.3572421069</v>
      </c>
      <c r="D105" s="818">
        <f>K42</f>
        <v>-2591790.3572421069</v>
      </c>
      <c r="E105" s="818">
        <f>L42</f>
        <v>0</v>
      </c>
      <c r="F105" s="819"/>
      <c r="G105" s="820">
        <f>SUM(H105:I105)</f>
        <v>-1107182.7694023536</v>
      </c>
      <c r="H105" s="820">
        <f>D105*C149</f>
        <v>-1107182.7694023536</v>
      </c>
      <c r="I105" s="820">
        <v>0</v>
      </c>
      <c r="J105" s="474"/>
      <c r="K105" s="474"/>
    </row>
    <row r="106" spans="1:12" ht="13">
      <c r="A106" s="109">
        <f t="shared" si="20"/>
        <v>80</v>
      </c>
      <c r="B106" s="424" t="s">
        <v>1299</v>
      </c>
      <c r="C106" s="804">
        <f>SUM(C74:C105)</f>
        <v>276871687.12275791</v>
      </c>
      <c r="D106" s="804">
        <f>SUM(D74:D105)</f>
        <v>107050461.50275788</v>
      </c>
      <c r="E106" s="804">
        <f>SUM(E74:E105)</f>
        <v>169821225.61999997</v>
      </c>
      <c r="F106" s="821"/>
      <c r="G106" s="804">
        <f>SUM(G74:G105)</f>
        <v>126627276.98957931</v>
      </c>
      <c r="H106" s="804">
        <f>SUM(H74:H105)</f>
        <v>45730715.102491513</v>
      </c>
      <c r="I106" s="804">
        <f>SUM(I74:I105)</f>
        <v>80896561.887087807</v>
      </c>
      <c r="J106" s="474"/>
      <c r="K106" s="782"/>
      <c r="L106" s="474"/>
    </row>
    <row r="107" spans="1:12" ht="13">
      <c r="A107" s="109">
        <f t="shared" si="20"/>
        <v>81</v>
      </c>
      <c r="B107" s="496"/>
      <c r="C107" s="572"/>
      <c r="D107" s="572"/>
      <c r="E107" s="572"/>
      <c r="F107" s="821"/>
      <c r="G107" s="822"/>
      <c r="H107" s="815"/>
      <c r="I107" s="815"/>
      <c r="J107" s="815"/>
      <c r="K107" s="782"/>
    </row>
    <row r="108" spans="1:12" ht="13">
      <c r="A108" s="109"/>
      <c r="B108" s="424"/>
      <c r="C108" s="432"/>
      <c r="D108" s="432"/>
      <c r="E108" s="432"/>
      <c r="F108" s="433"/>
      <c r="G108" s="434"/>
      <c r="H108" s="432"/>
      <c r="I108" s="432"/>
      <c r="J108" s="432"/>
      <c r="K108" s="474"/>
    </row>
    <row r="109" spans="1:12" ht="13">
      <c r="A109" s="109"/>
      <c r="B109" s="84" t="s">
        <v>358</v>
      </c>
      <c r="C109" s="413" t="s">
        <v>342</v>
      </c>
      <c r="D109" s="413" t="s">
        <v>343</v>
      </c>
      <c r="E109" s="413" t="s">
        <v>344</v>
      </c>
      <c r="F109" s="414" t="s">
        <v>345</v>
      </c>
      <c r="G109" s="413" t="s">
        <v>346</v>
      </c>
      <c r="H109" s="413" t="s">
        <v>347</v>
      </c>
      <c r="I109" s="413" t="s">
        <v>534</v>
      </c>
      <c r="J109" s="878" t="s">
        <v>949</v>
      </c>
      <c r="K109" s="474"/>
    </row>
    <row r="110" spans="1:12" ht="13">
      <c r="A110" s="109"/>
      <c r="C110" s="800" t="s">
        <v>1295</v>
      </c>
      <c r="D110" s="800" t="s">
        <v>1296</v>
      </c>
      <c r="E110" s="800" t="s">
        <v>1297</v>
      </c>
      <c r="F110" s="1155" t="s">
        <v>1169</v>
      </c>
      <c r="G110" s="1154" t="s">
        <v>1257</v>
      </c>
      <c r="H110" s="1156" t="s">
        <v>1654</v>
      </c>
      <c r="I110" s="1156" t="s">
        <v>1655</v>
      </c>
      <c r="J110" s="474"/>
      <c r="K110" s="474"/>
    </row>
    <row r="111" spans="1:12" ht="13">
      <c r="A111" s="109"/>
      <c r="C111" s="800"/>
      <c r="D111" s="800"/>
      <c r="E111" s="800"/>
      <c r="F111" s="811"/>
      <c r="G111" s="812"/>
      <c r="H111" s="496"/>
      <c r="I111" s="496"/>
      <c r="J111" s="800"/>
      <c r="K111" s="474"/>
    </row>
    <row r="112" spans="1:12" ht="13">
      <c r="A112" s="109"/>
      <c r="B112" s="1519" t="s">
        <v>1261</v>
      </c>
      <c r="C112" s="1510" t="s">
        <v>1264</v>
      </c>
      <c r="D112" s="1511"/>
      <c r="E112" s="1512"/>
      <c r="F112" s="430" t="s">
        <v>1426</v>
      </c>
      <c r="G112" s="1516" t="s">
        <v>1298</v>
      </c>
      <c r="H112" s="1517"/>
      <c r="I112" s="1518"/>
      <c r="J112" s="879" t="s">
        <v>1721</v>
      </c>
      <c r="K112" s="474"/>
    </row>
    <row r="113" spans="1:11" ht="13">
      <c r="A113" s="109"/>
      <c r="B113" s="1519"/>
      <c r="C113" s="780" t="s">
        <v>196</v>
      </c>
      <c r="D113" s="418" t="s">
        <v>1265</v>
      </c>
      <c r="E113" s="418" t="s">
        <v>1266</v>
      </c>
      <c r="F113" s="430" t="s">
        <v>427</v>
      </c>
      <c r="G113" s="780" t="s">
        <v>196</v>
      </c>
      <c r="H113" s="418" t="s">
        <v>1265</v>
      </c>
      <c r="I113" s="418" t="s">
        <v>1266</v>
      </c>
      <c r="J113" s="835" t="s">
        <v>205</v>
      </c>
      <c r="K113" s="474"/>
    </row>
    <row r="114" spans="1:11" ht="12.75" customHeight="1">
      <c r="A114" s="109"/>
      <c r="B114" s="425" t="s">
        <v>1286</v>
      </c>
      <c r="C114" s="572"/>
      <c r="D114" s="572"/>
      <c r="E114" s="572"/>
      <c r="F114" s="821"/>
      <c r="G114" s="822"/>
      <c r="H114" s="815"/>
      <c r="I114" s="815"/>
      <c r="J114" s="815"/>
      <c r="K114" s="474"/>
    </row>
    <row r="115" spans="1:11" ht="12.75" customHeight="1">
      <c r="A115" s="109">
        <f>A107+1</f>
        <v>82</v>
      </c>
      <c r="B115" s="570" t="s">
        <v>2311</v>
      </c>
      <c r="C115" s="572">
        <f t="shared" ref="C115:E118" si="27">J52</f>
        <v>36714424.049999997</v>
      </c>
      <c r="D115" s="572">
        <f t="shared" si="27"/>
        <v>27887902.48</v>
      </c>
      <c r="E115" s="572">
        <f t="shared" si="27"/>
        <v>8826521.5699999984</v>
      </c>
      <c r="F115" s="822">
        <f>'27-Allocators'!$D$54</f>
        <v>0</v>
      </c>
      <c r="G115" s="815">
        <f>SUM(H115:I115)</f>
        <v>0</v>
      </c>
      <c r="H115" s="815">
        <f>D115*F115</f>
        <v>0</v>
      </c>
      <c r="I115" s="815">
        <f>E115*F115</f>
        <v>0</v>
      </c>
      <c r="J115" s="591" t="s">
        <v>2330</v>
      </c>
      <c r="K115" s="474"/>
    </row>
    <row r="116" spans="1:11" ht="12.75" customHeight="1">
      <c r="A116" s="109">
        <f t="shared" ref="A116:A125" si="28">A115+1</f>
        <v>83</v>
      </c>
      <c r="B116" s="570" t="s">
        <v>1287</v>
      </c>
      <c r="C116" s="572">
        <f t="shared" si="27"/>
        <v>1791821.0299999998</v>
      </c>
      <c r="D116" s="572">
        <f t="shared" si="27"/>
        <v>1567559.2999999998</v>
      </c>
      <c r="E116" s="572">
        <f t="shared" si="27"/>
        <v>224261.72999999998</v>
      </c>
      <c r="F116" s="822">
        <f>'27-Allocators'!$D$54</f>
        <v>0</v>
      </c>
      <c r="G116" s="815">
        <f>SUM(H116:I116)</f>
        <v>0</v>
      </c>
      <c r="H116" s="815">
        <f t="shared" ref="H116:H119" si="29">D116*F116</f>
        <v>0</v>
      </c>
      <c r="I116" s="815">
        <f t="shared" ref="I116:I119" si="30">E116*F116</f>
        <v>0</v>
      </c>
      <c r="J116" s="591" t="s">
        <v>2330</v>
      </c>
      <c r="K116" s="474"/>
    </row>
    <row r="117" spans="1:11" ht="12.75" customHeight="1">
      <c r="A117" s="109">
        <f t="shared" si="28"/>
        <v>84</v>
      </c>
      <c r="B117" s="570" t="s">
        <v>1288</v>
      </c>
      <c r="C117" s="572">
        <f t="shared" si="27"/>
        <v>163471.96999999997</v>
      </c>
      <c r="D117" s="572">
        <f t="shared" si="27"/>
        <v>11165.869999999997</v>
      </c>
      <c r="E117" s="572">
        <f t="shared" si="27"/>
        <v>152306.09999999998</v>
      </c>
      <c r="F117" s="822">
        <f>'27-Allocators'!$D$54</f>
        <v>0</v>
      </c>
      <c r="G117" s="815">
        <f t="shared" ref="G117:G119" si="31">SUM(H117:I117)</f>
        <v>0</v>
      </c>
      <c r="H117" s="815">
        <f t="shared" si="29"/>
        <v>0</v>
      </c>
      <c r="I117" s="815">
        <f t="shared" si="30"/>
        <v>0</v>
      </c>
      <c r="J117" s="591" t="s">
        <v>2330</v>
      </c>
      <c r="K117" s="474"/>
    </row>
    <row r="118" spans="1:11" ht="12.75" customHeight="1">
      <c r="A118" s="109">
        <f t="shared" si="28"/>
        <v>85</v>
      </c>
      <c r="B118" s="570" t="s">
        <v>2312</v>
      </c>
      <c r="C118" s="572">
        <f t="shared" si="27"/>
        <v>8090408.7100000009</v>
      </c>
      <c r="D118" s="572">
        <f t="shared" si="27"/>
        <v>3175600.61</v>
      </c>
      <c r="E118" s="572">
        <f t="shared" si="27"/>
        <v>4914808.1000000006</v>
      </c>
      <c r="F118" s="822">
        <f>'27-Allocators'!$D$54</f>
        <v>0</v>
      </c>
      <c r="G118" s="815">
        <f t="shared" si="31"/>
        <v>0</v>
      </c>
      <c r="H118" s="815">
        <f t="shared" si="29"/>
        <v>0</v>
      </c>
      <c r="I118" s="815">
        <f t="shared" si="30"/>
        <v>0</v>
      </c>
      <c r="J118" s="591" t="s">
        <v>2330</v>
      </c>
      <c r="K118" s="474"/>
    </row>
    <row r="119" spans="1:11" ht="12.75" customHeight="1">
      <c r="A119" s="1128">
        <f t="shared" si="28"/>
        <v>86</v>
      </c>
      <c r="B119" s="823" t="s">
        <v>1289</v>
      </c>
      <c r="C119" s="824">
        <f t="shared" ref="C119:E120" si="32">J56</f>
        <v>1143564817.5500004</v>
      </c>
      <c r="D119" s="1127">
        <f t="shared" si="32"/>
        <v>257642021.66</v>
      </c>
      <c r="E119" s="1127">
        <f t="shared" si="32"/>
        <v>885922795.89000034</v>
      </c>
      <c r="F119" s="1129">
        <v>0</v>
      </c>
      <c r="G119" s="815">
        <f t="shared" si="31"/>
        <v>0</v>
      </c>
      <c r="H119" s="815">
        <f t="shared" si="29"/>
        <v>0</v>
      </c>
      <c r="I119" s="815">
        <f t="shared" si="30"/>
        <v>0</v>
      </c>
      <c r="J119" s="1159" t="s">
        <v>2409</v>
      </c>
      <c r="K119" s="474"/>
    </row>
    <row r="120" spans="1:11" ht="12.75" customHeight="1">
      <c r="A120" s="109">
        <f t="shared" si="28"/>
        <v>87</v>
      </c>
      <c r="B120" s="570" t="s">
        <v>1996</v>
      </c>
      <c r="C120" s="809">
        <f t="shared" si="32"/>
        <v>-6795318.0852845833</v>
      </c>
      <c r="D120" s="809">
        <f t="shared" si="32"/>
        <v>-6795318.0852845833</v>
      </c>
      <c r="E120" s="809">
        <f t="shared" si="32"/>
        <v>0</v>
      </c>
      <c r="F120" s="1130">
        <v>0</v>
      </c>
      <c r="G120" s="820">
        <f>SUM(H120:I120)</f>
        <v>0</v>
      </c>
      <c r="H120" s="820">
        <f>D120*F120</f>
        <v>0</v>
      </c>
      <c r="I120" s="820">
        <f>E120*F120</f>
        <v>0</v>
      </c>
      <c r="J120" s="880" t="s">
        <v>2409</v>
      </c>
      <c r="K120" s="474"/>
    </row>
    <row r="121" spans="1:11" ht="13">
      <c r="A121" s="109">
        <f t="shared" si="28"/>
        <v>88</v>
      </c>
      <c r="B121" s="424" t="s">
        <v>1300</v>
      </c>
      <c r="C121" s="572">
        <f>SUM(C115:C120)</f>
        <v>1183529625.2247159</v>
      </c>
      <c r="D121" s="572">
        <f>SUM(D115:D120)</f>
        <v>283488931.83471543</v>
      </c>
      <c r="E121" s="572">
        <f>SUM(E115:E120)</f>
        <v>900040693.39000034</v>
      </c>
      <c r="F121" s="433"/>
      <c r="G121" s="804">
        <f>SUM(G115:G120)</f>
        <v>0</v>
      </c>
      <c r="H121" s="804">
        <f>SUM(H115:H120)</f>
        <v>0</v>
      </c>
      <c r="I121" s="804">
        <f>SUM(I115:I120)</f>
        <v>0</v>
      </c>
      <c r="J121" s="474"/>
      <c r="K121" s="474"/>
    </row>
    <row r="122" spans="1:11" ht="13">
      <c r="A122" s="109">
        <f t="shared" si="28"/>
        <v>89</v>
      </c>
      <c r="B122" s="424"/>
      <c r="C122" s="572"/>
      <c r="D122" s="572"/>
      <c r="E122" s="572"/>
      <c r="F122" s="433"/>
      <c r="G122" s="804"/>
      <c r="H122" s="801"/>
      <c r="I122" s="435"/>
      <c r="J122" s="474"/>
      <c r="K122" s="474"/>
    </row>
    <row r="123" spans="1:11" ht="13">
      <c r="A123" s="109">
        <f t="shared" si="28"/>
        <v>90</v>
      </c>
      <c r="B123" s="800"/>
      <c r="C123" s="806"/>
      <c r="D123" s="806"/>
      <c r="E123" s="806"/>
      <c r="F123" s="821"/>
      <c r="G123" s="815"/>
      <c r="H123" s="815"/>
      <c r="I123" s="815"/>
    </row>
    <row r="124" spans="1:11" ht="13">
      <c r="A124" s="109">
        <f t="shared" si="28"/>
        <v>91</v>
      </c>
      <c r="B124" s="424" t="s">
        <v>1657</v>
      </c>
      <c r="C124" s="806">
        <f>+C106+C121</f>
        <v>1460401312.3474739</v>
      </c>
      <c r="D124" s="806">
        <f>+D106+D121</f>
        <v>390539393.33747327</v>
      </c>
      <c r="E124" s="806">
        <f>+E106+E121</f>
        <v>1069861919.0100003</v>
      </c>
      <c r="F124" s="422"/>
      <c r="G124" s="815">
        <f>+G106+G121</f>
        <v>126627276.98957931</v>
      </c>
      <c r="H124" s="806">
        <f>+H106+H121</f>
        <v>45730715.102491513</v>
      </c>
      <c r="I124" s="806">
        <f>+I106+I121</f>
        <v>80896561.887087807</v>
      </c>
    </row>
    <row r="125" spans="1:11" ht="13">
      <c r="A125" s="109">
        <f t="shared" si="28"/>
        <v>92</v>
      </c>
      <c r="B125" s="474" t="str">
        <f>"Line "&amp;A106&amp;" +  Line "&amp;A121&amp;""</f>
        <v>Line 80 +  Line 88</v>
      </c>
    </row>
    <row r="126" spans="1:11">
      <c r="A126" s="474"/>
    </row>
    <row r="127" spans="1:11" ht="13">
      <c r="A127" s="474"/>
      <c r="B127" s="436" t="s">
        <v>230</v>
      </c>
    </row>
    <row r="128" spans="1:11">
      <c r="A128" s="474"/>
      <c r="B128" s="826" t="s">
        <v>1301</v>
      </c>
      <c r="G128" s="827"/>
      <c r="H128" s="828"/>
      <c r="I128" s="828"/>
      <c r="J128" s="474"/>
      <c r="K128" s="474"/>
    </row>
    <row r="129" spans="1:12">
      <c r="A129" s="474"/>
      <c r="B129" s="829" t="s">
        <v>1302</v>
      </c>
      <c r="G129" s="827"/>
      <c r="H129" s="828"/>
      <c r="I129" s="828"/>
      <c r="J129" s="474"/>
      <c r="K129" s="474"/>
    </row>
    <row r="130" spans="1:12">
      <c r="A130" s="474"/>
      <c r="B130" s="830" t="s">
        <v>1303</v>
      </c>
      <c r="G130" s="827"/>
      <c r="H130" s="828"/>
      <c r="I130" s="828"/>
      <c r="J130" s="474"/>
      <c r="K130" s="474"/>
    </row>
    <row r="131" spans="1:12">
      <c r="A131" s="474"/>
      <c r="B131" s="574" t="s">
        <v>1304</v>
      </c>
      <c r="G131" s="827"/>
      <c r="H131" s="828"/>
      <c r="I131" s="828"/>
      <c r="J131" s="474"/>
      <c r="K131" s="474"/>
    </row>
    <row r="132" spans="1:12">
      <c r="A132" s="474"/>
      <c r="B132" s="574" t="s">
        <v>1305</v>
      </c>
      <c r="G132" s="827"/>
      <c r="H132" s="828"/>
      <c r="I132" s="828"/>
      <c r="J132" s="474"/>
      <c r="K132" s="474"/>
    </row>
    <row r="133" spans="1:12">
      <c r="A133" s="474"/>
      <c r="B133" s="574" t="s">
        <v>1306</v>
      </c>
      <c r="G133" s="827"/>
      <c r="H133" s="828"/>
      <c r="I133" s="828"/>
      <c r="J133" s="474"/>
      <c r="K133" s="474"/>
    </row>
    <row r="134" spans="1:12">
      <c r="A134" s="474"/>
      <c r="B134" s="881" t="s">
        <v>2173</v>
      </c>
      <c r="G134" s="827"/>
      <c r="H134" s="828"/>
      <c r="I134" s="828"/>
      <c r="J134" s="474"/>
      <c r="K134" s="474"/>
    </row>
    <row r="135" spans="1:12">
      <c r="A135" s="474"/>
      <c r="B135" s="574" t="s">
        <v>2265</v>
      </c>
      <c r="G135" s="827"/>
      <c r="H135" s="828"/>
      <c r="I135" s="828"/>
      <c r="J135" s="474"/>
      <c r="K135" s="474"/>
    </row>
    <row r="136" spans="1:12">
      <c r="A136" s="474"/>
      <c r="B136" s="574" t="s">
        <v>2266</v>
      </c>
      <c r="G136" s="827"/>
      <c r="H136" s="828"/>
      <c r="I136" s="828"/>
      <c r="J136" s="474"/>
      <c r="K136" s="474"/>
    </row>
    <row r="137" spans="1:12">
      <c r="A137" s="474"/>
      <c r="B137" s="1403"/>
      <c r="C137" s="953"/>
      <c r="D137" s="953"/>
      <c r="E137" s="791"/>
      <c r="F137" s="1404"/>
      <c r="G137" s="1405"/>
      <c r="H137" s="1406"/>
      <c r="I137" s="1406"/>
      <c r="J137" s="791"/>
      <c r="K137" s="474"/>
      <c r="L137" s="474"/>
    </row>
    <row r="138" spans="1:12">
      <c r="A138" s="474"/>
      <c r="B138" s="474" t="s">
        <v>2006</v>
      </c>
      <c r="G138" s="827"/>
      <c r="H138" s="828"/>
      <c r="I138" s="828"/>
      <c r="J138" s="474"/>
      <c r="K138" s="474"/>
    </row>
    <row r="139" spans="1:12">
      <c r="A139" s="474"/>
      <c r="B139" s="474" t="s">
        <v>1997</v>
      </c>
      <c r="G139" s="827"/>
      <c r="H139" s="828"/>
      <c r="I139" s="828"/>
      <c r="J139" s="474"/>
      <c r="K139" s="474"/>
    </row>
    <row r="140" spans="1:12">
      <c r="A140" s="474"/>
      <c r="G140" s="827"/>
      <c r="H140" s="828"/>
      <c r="I140" s="828"/>
      <c r="J140" s="474"/>
      <c r="K140" s="474"/>
    </row>
    <row r="141" spans="1:12">
      <c r="A141" s="474"/>
      <c r="B141" s="882" t="s">
        <v>1998</v>
      </c>
      <c r="C141" s="1493">
        <v>47</v>
      </c>
      <c r="G141" s="827"/>
      <c r="H141" s="828"/>
      <c r="I141" s="828"/>
      <c r="J141" s="474"/>
      <c r="K141" s="474"/>
    </row>
    <row r="142" spans="1:12">
      <c r="A142" s="474"/>
      <c r="G142" s="827"/>
      <c r="H142" s="828"/>
      <c r="I142" s="828"/>
      <c r="J142" s="474"/>
      <c r="K142" s="474"/>
    </row>
    <row r="143" spans="1:12" ht="13">
      <c r="A143" s="474"/>
      <c r="B143" s="831"/>
      <c r="C143" s="455" t="s">
        <v>1427</v>
      </c>
      <c r="D143" s="455" t="s">
        <v>154</v>
      </c>
      <c r="G143" s="827"/>
      <c r="H143" s="828"/>
      <c r="I143" s="828"/>
      <c r="J143" s="474"/>
      <c r="K143" s="474"/>
    </row>
    <row r="144" spans="1:12">
      <c r="A144" s="474"/>
      <c r="B144" s="831" t="s">
        <v>1999</v>
      </c>
      <c r="C144" s="832">
        <f>D43/D60</f>
        <v>0.27610103506426364</v>
      </c>
      <c r="D144" s="831" t="str">
        <f>"Line "&amp;A43&amp;", Col 3 / Line "&amp;A60&amp;", Col 3"</f>
        <v>Line 33, Col 3 / Line 43, Col 3</v>
      </c>
      <c r="G144" s="827"/>
      <c r="H144" s="828"/>
      <c r="I144" s="828"/>
      <c r="J144" s="474"/>
      <c r="K144" s="474"/>
    </row>
    <row r="145" spans="1:11">
      <c r="A145" s="474"/>
      <c r="B145" s="831" t="s">
        <v>2000</v>
      </c>
      <c r="C145" s="832">
        <f>D58/D60</f>
        <v>0.72389896493573636</v>
      </c>
      <c r="D145" s="831" t="str">
        <f>"Line "&amp;A58&amp;", Col 3 / Line "&amp;A60&amp;", Col 3"</f>
        <v>Line 41, Col 3 / Line 43, Col 3</v>
      </c>
      <c r="G145" s="827"/>
      <c r="H145" s="828"/>
      <c r="I145" s="828"/>
      <c r="J145" s="474"/>
      <c r="K145" s="474"/>
    </row>
    <row r="146" spans="1:11">
      <c r="A146" s="474"/>
      <c r="G146" s="827"/>
      <c r="H146" s="828"/>
      <c r="I146" s="828"/>
      <c r="J146" s="474"/>
      <c r="K146" s="474"/>
    </row>
    <row r="147" spans="1:11">
      <c r="A147" s="474"/>
      <c r="B147" s="474" t="s">
        <v>2001</v>
      </c>
      <c r="G147" s="827"/>
      <c r="H147" s="828"/>
      <c r="I147" s="828"/>
      <c r="J147" s="474"/>
      <c r="K147" s="474"/>
    </row>
    <row r="148" spans="1:11">
      <c r="A148" s="474"/>
      <c r="B148" s="474" t="s">
        <v>2002</v>
      </c>
      <c r="G148" s="827"/>
      <c r="H148" s="828"/>
      <c r="I148" s="828"/>
      <c r="J148" s="474"/>
      <c r="K148" s="474"/>
    </row>
    <row r="149" spans="1:11">
      <c r="A149" s="474"/>
      <c r="B149" s="474" t="s">
        <v>1720</v>
      </c>
      <c r="C149" s="883">
        <f>(SUM(H74:H103)/SUM(D74:D103))</f>
        <v>0.42718839751394611</v>
      </c>
      <c r="G149" s="827"/>
      <c r="H149" s="828"/>
      <c r="I149" s="828"/>
      <c r="J149" s="474"/>
      <c r="K149" s="474"/>
    </row>
    <row r="150" spans="1:11">
      <c r="A150" s="474"/>
      <c r="B150" s="474" t="s">
        <v>1656</v>
      </c>
      <c r="G150" s="827"/>
      <c r="H150" s="828"/>
      <c r="I150" s="828"/>
      <c r="J150" s="474"/>
      <c r="K150" s="474"/>
    </row>
    <row r="151" spans="1:11">
      <c r="A151" s="474"/>
      <c r="B151" s="474" t="s">
        <v>2410</v>
      </c>
      <c r="G151" s="827"/>
      <c r="H151" s="828"/>
      <c r="I151" s="828"/>
      <c r="J151" s="474"/>
      <c r="K151" s="474"/>
    </row>
    <row r="152" spans="1:11">
      <c r="A152" s="474"/>
      <c r="B152" s="474" t="s">
        <v>1804</v>
      </c>
      <c r="G152" s="827"/>
      <c r="H152" s="828"/>
      <c r="I152" s="828"/>
      <c r="J152" s="474"/>
      <c r="K152" s="474"/>
    </row>
    <row r="153" spans="1:11">
      <c r="A153" s="474"/>
      <c r="B153" s="474"/>
      <c r="G153" s="827"/>
      <c r="H153" s="828"/>
      <c r="I153" s="828"/>
      <c r="J153" s="474"/>
      <c r="K153" s="474"/>
    </row>
    <row r="154" spans="1:11">
      <c r="A154" s="474"/>
    </row>
    <row r="155" spans="1:11">
      <c r="A155" s="474"/>
    </row>
  </sheetData>
  <mergeCells count="14">
    <mergeCell ref="G112:I112"/>
    <mergeCell ref="G71:I71"/>
    <mergeCell ref="B8:B9"/>
    <mergeCell ref="C8:E8"/>
    <mergeCell ref="G8:I8"/>
    <mergeCell ref="B71:B72"/>
    <mergeCell ref="C71:E71"/>
    <mergeCell ref="B112:B113"/>
    <mergeCell ref="C112:E112"/>
    <mergeCell ref="J8:L8"/>
    <mergeCell ref="B49:B50"/>
    <mergeCell ref="C49:E49"/>
    <mergeCell ref="G49:I49"/>
    <mergeCell ref="J49:L49"/>
  </mergeCells>
  <pageMargins left="0.7" right="0.7" top="0.75" bottom="0.75" header="0.3" footer="0.3"/>
  <pageSetup scale="60" orientation="landscape" cellComments="asDisplayed" r:id="rId1"/>
  <headerFooter>
    <oddHeader>&amp;CSchedule 19
Operations and Maintenance
&amp;RTO2022 Draft Annual Update 
Attachment 1</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10"/>
  <sheetViews>
    <sheetView zoomScaleNormal="100" zoomScalePageLayoutView="80" workbookViewId="0"/>
  </sheetViews>
  <sheetFormatPr defaultRowHeight="12.5"/>
  <cols>
    <col min="1" max="1" width="4.54296875" customWidth="1"/>
    <col min="2" max="2" width="2.54296875" customWidth="1"/>
    <col min="3" max="3" width="8.54296875" customWidth="1"/>
    <col min="4" max="4" width="32.54296875" customWidth="1"/>
    <col min="5" max="5" width="14.54296875" customWidth="1"/>
    <col min="6" max="6" width="15.54296875" customWidth="1"/>
    <col min="7" max="8" width="14.54296875" customWidth="1"/>
    <col min="9" max="9" width="20" customWidth="1"/>
    <col min="10" max="10" width="15.54296875" customWidth="1"/>
    <col min="11" max="11" width="11" bestFit="1" customWidth="1"/>
  </cols>
  <sheetData>
    <row r="1" spans="1:24" ht="13">
      <c r="A1" s="1" t="s">
        <v>280</v>
      </c>
      <c r="F1" s="43" t="s">
        <v>17</v>
      </c>
      <c r="G1" s="96"/>
      <c r="H1" s="61"/>
      <c r="I1" s="61"/>
    </row>
    <row r="2" spans="1:24" ht="13">
      <c r="E2" s="84" t="s">
        <v>358</v>
      </c>
      <c r="F2" s="84" t="s">
        <v>342</v>
      </c>
      <c r="G2" s="84" t="s">
        <v>343</v>
      </c>
      <c r="H2" s="84" t="s">
        <v>344</v>
      </c>
      <c r="I2" s="61"/>
    </row>
    <row r="3" spans="1:24">
      <c r="G3" s="61" t="s">
        <v>212</v>
      </c>
    </row>
    <row r="4" spans="1:24" ht="13">
      <c r="E4" s="2" t="s">
        <v>476</v>
      </c>
      <c r="F4" s="26" t="s">
        <v>194</v>
      </c>
      <c r="G4" s="2" t="s">
        <v>1366</v>
      </c>
      <c r="I4" s="2"/>
    </row>
    <row r="5" spans="1:24" ht="13">
      <c r="A5" s="53" t="s">
        <v>319</v>
      </c>
      <c r="B5" s="3"/>
      <c r="C5" s="3" t="s">
        <v>115</v>
      </c>
      <c r="D5" s="3" t="s">
        <v>100</v>
      </c>
      <c r="E5" s="3" t="s">
        <v>175</v>
      </c>
      <c r="F5" s="25" t="s">
        <v>179</v>
      </c>
      <c r="G5" s="3" t="s">
        <v>116</v>
      </c>
      <c r="H5" s="3" t="s">
        <v>264</v>
      </c>
      <c r="I5" s="3" t="s">
        <v>168</v>
      </c>
      <c r="K5" s="3"/>
      <c r="L5" s="3"/>
      <c r="M5" s="3"/>
      <c r="N5" s="3"/>
      <c r="O5" s="3"/>
      <c r="P5" s="3"/>
      <c r="Q5" s="3"/>
      <c r="R5" s="3"/>
      <c r="S5" s="3"/>
      <c r="T5" s="3"/>
      <c r="U5" s="3"/>
      <c r="V5" s="3"/>
      <c r="W5" s="3"/>
      <c r="X5" s="3"/>
    </row>
    <row r="6" spans="1:24" ht="13">
      <c r="A6" s="2">
        <v>1</v>
      </c>
      <c r="C6" s="61">
        <v>920</v>
      </c>
      <c r="D6" t="s">
        <v>102</v>
      </c>
      <c r="E6" s="80">
        <v>512818190</v>
      </c>
      <c r="F6" s="61" t="s">
        <v>117</v>
      </c>
      <c r="G6" s="63">
        <f>D37</f>
        <v>261100362.7999272</v>
      </c>
      <c r="H6" s="7">
        <f t="shared" ref="H6:H19" si="0">E6-G6</f>
        <v>251717827.2000728</v>
      </c>
      <c r="J6" s="463"/>
    </row>
    <row r="7" spans="1:24" ht="13">
      <c r="A7" s="2">
        <f>A6+1</f>
        <v>2</v>
      </c>
      <c r="C7" s="61">
        <v>921</v>
      </c>
      <c r="D7" t="s">
        <v>103</v>
      </c>
      <c r="E7" s="80">
        <v>259355778</v>
      </c>
      <c r="F7" s="61" t="s">
        <v>118</v>
      </c>
      <c r="G7" s="63">
        <f t="shared" ref="G7:G19" si="1">D38</f>
        <v>274498.94</v>
      </c>
      <c r="H7" s="7">
        <f t="shared" si="0"/>
        <v>259081279.06</v>
      </c>
      <c r="J7" s="463"/>
    </row>
    <row r="8" spans="1:24" ht="13">
      <c r="A8" s="2">
        <f>A7+1</f>
        <v>3</v>
      </c>
      <c r="C8" s="61">
        <v>922</v>
      </c>
      <c r="D8" t="s">
        <v>104</v>
      </c>
      <c r="E8" s="80">
        <v>-223403958</v>
      </c>
      <c r="F8" s="61" t="s">
        <v>119</v>
      </c>
      <c r="G8" s="63">
        <f t="shared" si="1"/>
        <v>-110501926.69585</v>
      </c>
      <c r="H8" s="7">
        <f t="shared" si="0"/>
        <v>-112902031.30415</v>
      </c>
      <c r="I8" s="838" t="s">
        <v>1744</v>
      </c>
      <c r="J8" s="463"/>
    </row>
    <row r="9" spans="1:24" ht="13">
      <c r="A9" s="2">
        <f t="shared" ref="A9:A20" si="2">A8+1</f>
        <v>4</v>
      </c>
      <c r="B9" s="2"/>
      <c r="C9" s="61">
        <v>923</v>
      </c>
      <c r="D9" t="s">
        <v>105</v>
      </c>
      <c r="E9" s="80">
        <v>49255741</v>
      </c>
      <c r="F9" s="61" t="s">
        <v>120</v>
      </c>
      <c r="G9" s="63">
        <f t="shared" si="1"/>
        <v>9473549.4899999984</v>
      </c>
      <c r="H9" s="63">
        <f t="shared" si="0"/>
        <v>39782191.510000005</v>
      </c>
      <c r="I9" s="14"/>
      <c r="J9" s="463"/>
    </row>
    <row r="10" spans="1:24" ht="13">
      <c r="A10" s="2">
        <f t="shared" si="2"/>
        <v>5</v>
      </c>
      <c r="B10" s="2"/>
      <c r="C10" s="61">
        <v>924</v>
      </c>
      <c r="D10" t="s">
        <v>106</v>
      </c>
      <c r="E10" s="80">
        <v>20441370</v>
      </c>
      <c r="F10" s="61" t="s">
        <v>121</v>
      </c>
      <c r="G10" s="63">
        <f t="shared" si="1"/>
        <v>0</v>
      </c>
      <c r="H10" s="63">
        <f t="shared" si="0"/>
        <v>20441370</v>
      </c>
      <c r="I10" s="14"/>
      <c r="J10" s="463"/>
    </row>
    <row r="11" spans="1:24" ht="13">
      <c r="A11" s="2">
        <f t="shared" si="2"/>
        <v>6</v>
      </c>
      <c r="B11" s="2"/>
      <c r="C11" s="61">
        <v>925</v>
      </c>
      <c r="D11" t="s">
        <v>107</v>
      </c>
      <c r="E11" s="80">
        <v>2255479067</v>
      </c>
      <c r="F11" s="61" t="s">
        <v>122</v>
      </c>
      <c r="G11" s="63">
        <f t="shared" si="1"/>
        <v>363535050.13</v>
      </c>
      <c r="H11" s="63">
        <f t="shared" si="0"/>
        <v>1891944016.8699999</v>
      </c>
      <c r="I11" s="14"/>
      <c r="J11" s="463"/>
    </row>
    <row r="12" spans="1:24" ht="13">
      <c r="A12" s="2">
        <f t="shared" si="2"/>
        <v>7</v>
      </c>
      <c r="B12" s="2"/>
      <c r="C12" s="61">
        <v>926</v>
      </c>
      <c r="D12" t="s">
        <v>108</v>
      </c>
      <c r="E12" s="80">
        <v>78787907</v>
      </c>
      <c r="F12" s="61" t="s">
        <v>123</v>
      </c>
      <c r="G12" s="63">
        <f t="shared" si="1"/>
        <v>9601026.1758500002</v>
      </c>
      <c r="H12" s="63">
        <f t="shared" si="0"/>
        <v>69186880.824149996</v>
      </c>
      <c r="I12" s="14"/>
      <c r="J12" s="463"/>
    </row>
    <row r="13" spans="1:24" ht="13">
      <c r="A13" s="2">
        <f t="shared" si="2"/>
        <v>8</v>
      </c>
      <c r="B13" s="2"/>
      <c r="C13" s="61">
        <v>927</v>
      </c>
      <c r="D13" t="s">
        <v>109</v>
      </c>
      <c r="E13" s="80">
        <v>113495974</v>
      </c>
      <c r="F13" s="61" t="s">
        <v>124</v>
      </c>
      <c r="G13" s="63">
        <f t="shared" si="1"/>
        <v>113495974</v>
      </c>
      <c r="H13" s="63">
        <f t="shared" si="0"/>
        <v>0</v>
      </c>
      <c r="I13" s="14"/>
      <c r="J13" s="463"/>
    </row>
    <row r="14" spans="1:24" ht="13">
      <c r="A14" s="2">
        <f t="shared" si="2"/>
        <v>9</v>
      </c>
      <c r="B14" s="2"/>
      <c r="C14" s="61">
        <v>928</v>
      </c>
      <c r="D14" s="12" t="s">
        <v>110</v>
      </c>
      <c r="E14" s="80">
        <v>11842729</v>
      </c>
      <c r="F14" s="61" t="s">
        <v>125</v>
      </c>
      <c r="G14" s="63">
        <f t="shared" si="1"/>
        <v>10887496.710000001</v>
      </c>
      <c r="H14" s="63">
        <f t="shared" si="0"/>
        <v>955232.28999999911</v>
      </c>
      <c r="I14" s="14"/>
      <c r="J14" s="463"/>
    </row>
    <row r="15" spans="1:24" ht="13">
      <c r="A15" s="2">
        <f t="shared" si="2"/>
        <v>10</v>
      </c>
      <c r="B15" s="2"/>
      <c r="C15" s="61">
        <v>929</v>
      </c>
      <c r="D15" t="s">
        <v>111</v>
      </c>
      <c r="E15" s="80">
        <v>0</v>
      </c>
      <c r="F15" s="61" t="s">
        <v>126</v>
      </c>
      <c r="G15" s="63">
        <f t="shared" si="1"/>
        <v>0</v>
      </c>
      <c r="H15" s="63">
        <f t="shared" si="0"/>
        <v>0</v>
      </c>
      <c r="I15" s="14"/>
      <c r="J15" s="463"/>
    </row>
    <row r="16" spans="1:24" ht="13">
      <c r="A16" s="2">
        <f t="shared" si="2"/>
        <v>11</v>
      </c>
      <c r="B16" s="2"/>
      <c r="C16" s="61">
        <v>930.1</v>
      </c>
      <c r="D16" t="s">
        <v>112</v>
      </c>
      <c r="E16" s="80">
        <v>14923247</v>
      </c>
      <c r="F16" s="61" t="s">
        <v>127</v>
      </c>
      <c r="G16" s="63">
        <f t="shared" si="1"/>
        <v>7813090.2100000009</v>
      </c>
      <c r="H16" s="63">
        <f t="shared" si="0"/>
        <v>7110156.7899999991</v>
      </c>
      <c r="I16" s="14"/>
      <c r="J16" s="463"/>
    </row>
    <row r="17" spans="1:11" ht="13">
      <c r="A17" s="2">
        <f t="shared" si="2"/>
        <v>12</v>
      </c>
      <c r="B17" s="2"/>
      <c r="C17" s="61">
        <v>930.2</v>
      </c>
      <c r="D17" t="s">
        <v>88</v>
      </c>
      <c r="E17" s="80">
        <v>38904934</v>
      </c>
      <c r="F17" s="61" t="s">
        <v>128</v>
      </c>
      <c r="G17" s="63">
        <f t="shared" si="1"/>
        <v>36338171.140000001</v>
      </c>
      <c r="H17" s="63">
        <f t="shared" si="0"/>
        <v>2566762.8599999994</v>
      </c>
      <c r="I17" s="14"/>
      <c r="J17" s="463"/>
    </row>
    <row r="18" spans="1:11" ht="13">
      <c r="A18" s="2">
        <f t="shared" si="2"/>
        <v>13</v>
      </c>
      <c r="B18" s="2"/>
      <c r="C18" s="61">
        <v>931</v>
      </c>
      <c r="D18" t="s">
        <v>113</v>
      </c>
      <c r="E18" s="80">
        <v>9432312</v>
      </c>
      <c r="F18" s="61" t="s">
        <v>129</v>
      </c>
      <c r="G18" s="63">
        <f t="shared" si="1"/>
        <v>0</v>
      </c>
      <c r="H18" s="63">
        <f t="shared" si="0"/>
        <v>9432312</v>
      </c>
      <c r="I18" s="14"/>
      <c r="J18" s="463"/>
    </row>
    <row r="19" spans="1:11" ht="13">
      <c r="A19" s="2">
        <f t="shared" si="2"/>
        <v>14</v>
      </c>
      <c r="B19" s="2"/>
      <c r="C19" s="61">
        <v>935</v>
      </c>
      <c r="D19" t="s">
        <v>114</v>
      </c>
      <c r="E19" s="1048">
        <v>22574402</v>
      </c>
      <c r="F19" s="61" t="s">
        <v>130</v>
      </c>
      <c r="G19" s="63">
        <f t="shared" si="1"/>
        <v>1049723.18</v>
      </c>
      <c r="H19" s="110">
        <f t="shared" si="0"/>
        <v>21524678.82</v>
      </c>
      <c r="I19" s="14"/>
      <c r="J19" s="463"/>
    </row>
    <row r="20" spans="1:11" ht="13">
      <c r="A20" s="2">
        <f t="shared" si="2"/>
        <v>15</v>
      </c>
      <c r="E20" s="7">
        <f>SUM(E6:E19)</f>
        <v>3163907693</v>
      </c>
      <c r="G20" s="79" t="s">
        <v>131</v>
      </c>
      <c r="H20" s="47">
        <f>SUM(H6:H19)</f>
        <v>2460840676.920073</v>
      </c>
      <c r="I20" s="14"/>
    </row>
    <row r="22" spans="1:11" ht="13">
      <c r="F22" s="3" t="s">
        <v>175</v>
      </c>
      <c r="G22" s="3" t="s">
        <v>179</v>
      </c>
    </row>
    <row r="23" spans="1:11" ht="13">
      <c r="A23" s="2">
        <f>A20+1</f>
        <v>16</v>
      </c>
      <c r="E23" s="842" t="s">
        <v>1982</v>
      </c>
      <c r="F23" s="63">
        <f>H20</f>
        <v>2460840676.920073</v>
      </c>
      <c r="G23" s="46" t="str">
        <f>"Line "&amp;A20&amp;""</f>
        <v>Line 15</v>
      </c>
      <c r="H23" s="14"/>
      <c r="I23" s="14"/>
      <c r="J23" s="14"/>
      <c r="K23" s="14"/>
    </row>
    <row r="24" spans="1:11" ht="13">
      <c r="A24" s="2">
        <f t="shared" ref="A24:A30" si="3">A23+1</f>
        <v>17</v>
      </c>
      <c r="E24" s="356" t="s">
        <v>292</v>
      </c>
      <c r="F24" s="110">
        <f>E10</f>
        <v>20441370</v>
      </c>
      <c r="G24" s="46" t="str">
        <f>"Line "&amp;A10&amp;""</f>
        <v>Line 5</v>
      </c>
      <c r="H24" s="14"/>
      <c r="I24" s="14"/>
      <c r="J24" s="14"/>
      <c r="K24" s="14"/>
    </row>
    <row r="25" spans="1:11" ht="13">
      <c r="A25" s="2">
        <f t="shared" si="3"/>
        <v>18</v>
      </c>
      <c r="E25" s="356" t="s">
        <v>1361</v>
      </c>
      <c r="F25" s="63">
        <f>F23-F24</f>
        <v>2440399306.920073</v>
      </c>
      <c r="G25" s="46" t="str">
        <f>"Line "&amp;A23&amp;" - Line "&amp;A24&amp;""</f>
        <v>Line 16 - Line 17</v>
      </c>
      <c r="H25" s="14"/>
      <c r="I25" s="14"/>
      <c r="J25" s="14"/>
      <c r="K25" s="14"/>
    </row>
    <row r="26" spans="1:11" ht="13">
      <c r="A26" s="2">
        <f t="shared" si="3"/>
        <v>19</v>
      </c>
      <c r="E26" s="79" t="s">
        <v>132</v>
      </c>
      <c r="F26" s="884">
        <f>'27-Allocators'!G15</f>
        <v>6.9804259326257695E-2</v>
      </c>
      <c r="G26" s="46" t="str">
        <f>"27-Allocators, Line "&amp;'27-Allocators'!A15&amp;""</f>
        <v>27-Allocators, Line 9</v>
      </c>
      <c r="H26" s="14"/>
      <c r="I26" s="14"/>
      <c r="J26" s="14"/>
      <c r="K26" s="14"/>
    </row>
    <row r="27" spans="1:11" ht="13">
      <c r="A27" s="2">
        <f t="shared" si="3"/>
        <v>20</v>
      </c>
      <c r="E27" s="356" t="s">
        <v>1362</v>
      </c>
      <c r="F27" s="63">
        <f>F25*F26</f>
        <v>170350266.07986832</v>
      </c>
      <c r="G27" s="46" t="str">
        <f>"Line "&amp;A25&amp;" * Line "&amp;A26&amp;""</f>
        <v>Line 18 * Line 19</v>
      </c>
      <c r="H27" s="14"/>
      <c r="I27" s="14"/>
      <c r="J27" s="14"/>
      <c r="K27" s="14"/>
    </row>
    <row r="28" spans="1:11" ht="13">
      <c r="A28" s="2">
        <f t="shared" si="3"/>
        <v>21</v>
      </c>
      <c r="E28" s="356" t="s">
        <v>94</v>
      </c>
      <c r="F28" s="67">
        <f>'27-Allocators'!G28</f>
        <v>0.18354771144232984</v>
      </c>
      <c r="G28" s="112" t="str">
        <f>"27-Allocators, Line "&amp;'27-Allocators'!A28&amp;""</f>
        <v>27-Allocators, Line 22</v>
      </c>
      <c r="H28" s="14"/>
      <c r="I28" s="14"/>
      <c r="J28" s="14"/>
      <c r="K28" s="14"/>
    </row>
    <row r="29" spans="1:11" ht="13">
      <c r="A29" s="2">
        <f t="shared" si="3"/>
        <v>22</v>
      </c>
      <c r="E29" s="356" t="s">
        <v>293</v>
      </c>
      <c r="F29" s="110">
        <f>H10*F28</f>
        <v>3751966.6822458981</v>
      </c>
      <c r="G29" s="46" t="str">
        <f>"Line "&amp;A10&amp;" Col 4 * Line "&amp;A28&amp;""</f>
        <v>Line 5 Col 4 * Line 21</v>
      </c>
      <c r="H29" s="14"/>
      <c r="I29" s="14"/>
      <c r="J29" s="14"/>
      <c r="K29" s="14"/>
    </row>
    <row r="30" spans="1:11" ht="13">
      <c r="A30" s="2">
        <f t="shared" si="3"/>
        <v>23</v>
      </c>
      <c r="E30" s="356" t="s">
        <v>294</v>
      </c>
      <c r="F30" s="477">
        <f>F27+F29</f>
        <v>174102232.76211423</v>
      </c>
      <c r="G30" s="46" t="str">
        <f>"Line "&amp;A27&amp;" + Line "&amp;A29&amp;""</f>
        <v>Line 20 + Line 22</v>
      </c>
      <c r="H30" s="14"/>
      <c r="I30" s="14"/>
      <c r="J30" s="14"/>
      <c r="K30" s="14"/>
    </row>
    <row r="31" spans="1:11">
      <c r="E31" s="14"/>
      <c r="F31" s="14"/>
      <c r="G31" s="14"/>
      <c r="H31" s="14"/>
      <c r="I31" s="14"/>
      <c r="J31" s="14"/>
      <c r="K31" s="14"/>
    </row>
    <row r="32" spans="1:11" ht="13">
      <c r="B32" s="1" t="s">
        <v>483</v>
      </c>
      <c r="E32" s="351" t="s">
        <v>358</v>
      </c>
      <c r="F32" s="351" t="s">
        <v>342</v>
      </c>
      <c r="G32" s="351" t="s">
        <v>343</v>
      </c>
      <c r="H32" s="351" t="s">
        <v>344</v>
      </c>
      <c r="I32" s="14"/>
      <c r="J32" s="14"/>
      <c r="K32" s="14"/>
    </row>
    <row r="33" spans="1:11" ht="13">
      <c r="B33" s="1"/>
      <c r="C33" s="68" t="s">
        <v>2531</v>
      </c>
      <c r="D33" s="1488" t="s">
        <v>2905</v>
      </c>
      <c r="E33" s="109" t="s">
        <v>478</v>
      </c>
      <c r="F33" s="351"/>
      <c r="G33" s="351"/>
      <c r="H33" s="351"/>
      <c r="I33" s="14"/>
      <c r="J33" s="14"/>
      <c r="K33" s="14"/>
    </row>
    <row r="34" spans="1:11" ht="13">
      <c r="C34" s="1231"/>
      <c r="E34" s="109" t="s">
        <v>542</v>
      </c>
      <c r="F34" s="14"/>
      <c r="G34" s="14"/>
      <c r="H34" s="14"/>
      <c r="I34" s="14"/>
      <c r="J34" s="14"/>
      <c r="K34" s="14"/>
    </row>
    <row r="35" spans="1:11" ht="13">
      <c r="D35" s="2" t="s">
        <v>477</v>
      </c>
      <c r="E35" s="109" t="s">
        <v>541</v>
      </c>
      <c r="F35" s="109" t="s">
        <v>479</v>
      </c>
      <c r="G35" s="109"/>
      <c r="H35" s="109"/>
      <c r="I35" s="14"/>
      <c r="J35" s="14"/>
      <c r="K35" s="14"/>
    </row>
    <row r="36" spans="1:11" ht="13">
      <c r="C36" s="3" t="s">
        <v>115</v>
      </c>
      <c r="D36" s="351" t="s">
        <v>1096</v>
      </c>
      <c r="E36" s="122" t="s">
        <v>1263</v>
      </c>
      <c r="F36" s="122" t="s">
        <v>480</v>
      </c>
      <c r="G36" s="122" t="s">
        <v>1983</v>
      </c>
      <c r="H36" s="122" t="s">
        <v>481</v>
      </c>
      <c r="I36" s="122" t="s">
        <v>168</v>
      </c>
      <c r="J36" s="14"/>
      <c r="K36" s="14"/>
    </row>
    <row r="37" spans="1:11" ht="13">
      <c r="A37" s="2">
        <f>A30+1</f>
        <v>24</v>
      </c>
      <c r="C37" s="61">
        <v>920</v>
      </c>
      <c r="D37" s="139">
        <f>SUM(E37:H37)</f>
        <v>261100362.7999272</v>
      </c>
      <c r="E37" s="493">
        <v>39064038.400000006</v>
      </c>
      <c r="F37" s="106"/>
      <c r="G37" s="63">
        <f>G58</f>
        <v>222036324.3999272</v>
      </c>
      <c r="H37" s="106"/>
      <c r="I37" s="462" t="s">
        <v>1754</v>
      </c>
      <c r="J37" s="14"/>
    </row>
    <row r="38" spans="1:11" ht="13">
      <c r="A38" s="2">
        <f>A37+1</f>
        <v>25</v>
      </c>
      <c r="C38" s="61">
        <v>921</v>
      </c>
      <c r="D38" s="139">
        <f t="shared" ref="D38:D50" si="4">SUM(E38:H38)</f>
        <v>274498.94</v>
      </c>
      <c r="E38" s="493">
        <v>274498.94</v>
      </c>
      <c r="F38" s="106"/>
      <c r="G38" s="977">
        <v>0</v>
      </c>
      <c r="H38" s="106"/>
      <c r="I38" s="112"/>
      <c r="J38" s="14"/>
    </row>
    <row r="39" spans="1:11" ht="13">
      <c r="A39" s="2">
        <f t="shared" ref="A39:A50" si="5">A38+1</f>
        <v>26</v>
      </c>
      <c r="C39" s="61">
        <v>922</v>
      </c>
      <c r="D39" s="139">
        <f t="shared" si="4"/>
        <v>-110501926.69585</v>
      </c>
      <c r="E39" s="493">
        <v>-11947057.69585</v>
      </c>
      <c r="F39" s="493"/>
      <c r="G39" s="493">
        <v>-98554869</v>
      </c>
      <c r="H39" s="106"/>
      <c r="I39" s="112"/>
      <c r="J39" s="14"/>
    </row>
    <row r="40" spans="1:11" ht="13">
      <c r="A40" s="2">
        <f t="shared" si="5"/>
        <v>27</v>
      </c>
      <c r="C40" s="61">
        <v>923</v>
      </c>
      <c r="D40" s="1431">
        <f t="shared" si="4"/>
        <v>9473549.4899999984</v>
      </c>
      <c r="E40" s="980">
        <v>9473549.4899999984</v>
      </c>
      <c r="F40" s="106"/>
      <c r="G40" s="977">
        <v>0</v>
      </c>
      <c r="H40" s="106"/>
      <c r="I40" s="112"/>
      <c r="J40" s="122"/>
      <c r="K40" s="3"/>
    </row>
    <row r="41" spans="1:11" ht="13">
      <c r="A41" s="2">
        <f t="shared" si="5"/>
        <v>28</v>
      </c>
      <c r="C41" s="61">
        <v>924</v>
      </c>
      <c r="D41" s="139">
        <f t="shared" si="4"/>
        <v>0</v>
      </c>
      <c r="E41" s="493">
        <v>0</v>
      </c>
      <c r="F41" s="106"/>
      <c r="G41" s="977">
        <v>0</v>
      </c>
      <c r="H41" s="106"/>
      <c r="I41" s="112"/>
      <c r="J41" s="14"/>
      <c r="K41" s="7"/>
    </row>
    <row r="42" spans="1:11" ht="13">
      <c r="A42" s="2">
        <f t="shared" si="5"/>
        <v>29</v>
      </c>
      <c r="C42" s="61">
        <v>925</v>
      </c>
      <c r="D42" s="139">
        <f t="shared" si="4"/>
        <v>363535050.13</v>
      </c>
      <c r="E42" s="493">
        <v>363535050.13</v>
      </c>
      <c r="F42" s="106"/>
      <c r="G42" s="977">
        <v>0</v>
      </c>
      <c r="H42" s="106"/>
      <c r="I42" s="462" t="s">
        <v>2539</v>
      </c>
      <c r="J42" s="14"/>
      <c r="K42" s="7"/>
    </row>
    <row r="43" spans="1:11" ht="13">
      <c r="A43" s="2">
        <f t="shared" si="5"/>
        <v>30</v>
      </c>
      <c r="C43" s="61">
        <v>926</v>
      </c>
      <c r="D43" s="139">
        <f t="shared" si="4"/>
        <v>9601026.1758500002</v>
      </c>
      <c r="E43" s="493">
        <v>15930026.17585</v>
      </c>
      <c r="F43" s="106"/>
      <c r="G43" s="977">
        <v>0</v>
      </c>
      <c r="H43" s="63">
        <f>E71</f>
        <v>-6329000</v>
      </c>
      <c r="I43" s="46" t="s">
        <v>281</v>
      </c>
      <c r="J43" s="14"/>
      <c r="K43" s="7"/>
    </row>
    <row r="44" spans="1:11" ht="13">
      <c r="A44" s="2">
        <f t="shared" si="5"/>
        <v>31</v>
      </c>
      <c r="C44" s="61">
        <v>927</v>
      </c>
      <c r="D44" s="139">
        <f t="shared" si="4"/>
        <v>113495974</v>
      </c>
      <c r="E44" s="63">
        <v>0</v>
      </c>
      <c r="F44" s="458">
        <f>E13</f>
        <v>113495974</v>
      </c>
      <c r="G44" s="63">
        <v>0</v>
      </c>
      <c r="H44" s="63">
        <v>0</v>
      </c>
      <c r="I44" s="112" t="s">
        <v>951</v>
      </c>
      <c r="J44" s="14"/>
      <c r="K44" s="7"/>
    </row>
    <row r="45" spans="1:11" ht="13">
      <c r="A45" s="2">
        <f t="shared" si="5"/>
        <v>32</v>
      </c>
      <c r="C45" s="61">
        <v>928</v>
      </c>
      <c r="D45" s="139">
        <f t="shared" si="4"/>
        <v>10887496.710000001</v>
      </c>
      <c r="E45" s="980">
        <v>10887496.710000001</v>
      </c>
      <c r="F45" s="977"/>
      <c r="G45" s="977">
        <v>0</v>
      </c>
      <c r="H45" s="977"/>
      <c r="I45" s="112"/>
      <c r="J45" s="14"/>
      <c r="K45" s="7"/>
    </row>
    <row r="46" spans="1:11" ht="13">
      <c r="A46" s="2">
        <f t="shared" si="5"/>
        <v>33</v>
      </c>
      <c r="C46" s="61">
        <v>929</v>
      </c>
      <c r="D46" s="139">
        <f t="shared" si="4"/>
        <v>0</v>
      </c>
      <c r="E46" s="493">
        <v>0</v>
      </c>
      <c r="F46" s="977"/>
      <c r="G46" s="977">
        <v>0</v>
      </c>
      <c r="H46" s="977"/>
      <c r="I46" s="16"/>
      <c r="K46" s="7"/>
    </row>
    <row r="47" spans="1:11" ht="13">
      <c r="A47" s="2">
        <f t="shared" si="5"/>
        <v>34</v>
      </c>
      <c r="C47" s="61">
        <v>930.1</v>
      </c>
      <c r="D47" s="139">
        <f t="shared" si="4"/>
        <v>7813090.2100000009</v>
      </c>
      <c r="E47" s="493">
        <v>7813090.2100000009</v>
      </c>
      <c r="F47" s="977"/>
      <c r="G47" s="977">
        <v>0</v>
      </c>
      <c r="H47" s="977"/>
      <c r="I47" s="16"/>
      <c r="K47" s="7"/>
    </row>
    <row r="48" spans="1:11" ht="13">
      <c r="A48" s="2">
        <f t="shared" si="5"/>
        <v>35</v>
      </c>
      <c r="C48" s="61">
        <v>930.2</v>
      </c>
      <c r="D48" s="139">
        <f t="shared" si="4"/>
        <v>36338171.140000001</v>
      </c>
      <c r="E48" s="493">
        <v>36338171.140000001</v>
      </c>
      <c r="F48" s="977"/>
      <c r="G48" s="977">
        <v>0</v>
      </c>
      <c r="H48" s="977"/>
      <c r="I48" s="16"/>
      <c r="J48" s="470"/>
    </row>
    <row r="49" spans="1:10" ht="13">
      <c r="A49" s="2">
        <f t="shared" si="5"/>
        <v>36</v>
      </c>
      <c r="C49" s="61">
        <v>931</v>
      </c>
      <c r="D49" s="139">
        <f t="shared" si="4"/>
        <v>0</v>
      </c>
      <c r="E49" s="493">
        <v>0</v>
      </c>
      <c r="F49" s="977"/>
      <c r="G49" s="977">
        <v>0</v>
      </c>
      <c r="H49" s="977"/>
      <c r="I49" s="16"/>
      <c r="J49" s="7"/>
    </row>
    <row r="50" spans="1:10" ht="13">
      <c r="A50" s="2">
        <f t="shared" si="5"/>
        <v>37</v>
      </c>
      <c r="C50" s="61">
        <v>935</v>
      </c>
      <c r="D50" s="139">
        <f t="shared" si="4"/>
        <v>1049723.18</v>
      </c>
      <c r="E50" s="493">
        <v>1049723.18</v>
      </c>
      <c r="F50" s="977"/>
      <c r="G50" s="977">
        <v>0</v>
      </c>
      <c r="H50" s="977"/>
      <c r="I50" s="16"/>
    </row>
    <row r="51" spans="1:10" s="955" customFormat="1" ht="13">
      <c r="A51" s="549"/>
      <c r="C51" s="1391"/>
      <c r="D51" s="139"/>
      <c r="E51" s="477"/>
      <c r="F51" s="63"/>
      <c r="G51" s="63"/>
      <c r="H51" s="63"/>
      <c r="I51" s="16"/>
    </row>
    <row r="52" spans="1:10" ht="13">
      <c r="B52" s="44" t="s">
        <v>1984</v>
      </c>
      <c r="C52" s="14"/>
      <c r="D52" s="14"/>
      <c r="E52" s="14"/>
      <c r="F52" s="14"/>
      <c r="G52" s="14"/>
      <c r="H52" s="14"/>
    </row>
    <row r="53" spans="1:10" ht="13">
      <c r="B53" s="44"/>
      <c r="C53" s="465" t="s">
        <v>1985</v>
      </c>
      <c r="D53" s="14"/>
      <c r="E53" s="14"/>
      <c r="F53" s="14"/>
      <c r="G53" s="109"/>
      <c r="H53" s="109"/>
    </row>
    <row r="54" spans="1:10" ht="13">
      <c r="B54" s="44"/>
      <c r="C54" s="591" t="s">
        <v>2146</v>
      </c>
      <c r="D54" s="575"/>
      <c r="E54" s="575"/>
      <c r="F54" s="14"/>
      <c r="G54" s="109"/>
      <c r="H54" s="109"/>
    </row>
    <row r="55" spans="1:10" ht="13">
      <c r="B55" s="44"/>
      <c r="C55" s="1250" t="s">
        <v>2531</v>
      </c>
      <c r="D55" s="1488" t="s">
        <v>2905</v>
      </c>
      <c r="E55" s="14"/>
      <c r="F55" s="14"/>
      <c r="G55" s="122" t="s">
        <v>175</v>
      </c>
      <c r="H55" s="122" t="s">
        <v>179</v>
      </c>
    </row>
    <row r="56" spans="1:10" ht="13">
      <c r="A56" s="2"/>
      <c r="B56" s="549" t="s">
        <v>1667</v>
      </c>
      <c r="C56" s="1227"/>
      <c r="E56" s="14"/>
      <c r="F56" s="842" t="s">
        <v>1986</v>
      </c>
      <c r="G56" s="493">
        <v>216604107.38</v>
      </c>
      <c r="H56" s="462" t="s">
        <v>33</v>
      </c>
    </row>
    <row r="57" spans="1:10" ht="13">
      <c r="A57" s="2"/>
      <c r="B57" s="549" t="s">
        <v>1668</v>
      </c>
      <c r="C57" s="12"/>
      <c r="E57" s="14"/>
      <c r="F57" s="842" t="s">
        <v>1987</v>
      </c>
      <c r="G57" s="101">
        <f>E61</f>
        <v>-5432217.0199272111</v>
      </c>
      <c r="H57" s="467" t="str">
        <f>"Note 2, "&amp;B61&amp;""</f>
        <v>Note 2, d</v>
      </c>
    </row>
    <row r="58" spans="1:10" ht="13">
      <c r="A58" s="2"/>
      <c r="B58" s="549" t="s">
        <v>1669</v>
      </c>
      <c r="F58" s="461" t="s">
        <v>1673</v>
      </c>
      <c r="G58" s="7">
        <f>G56-G57</f>
        <v>222036324.3999272</v>
      </c>
    </row>
    <row r="59" spans="1:10" ht="13">
      <c r="A59" s="2"/>
      <c r="C59" s="591" t="s">
        <v>2145</v>
      </c>
      <c r="D59" s="575"/>
      <c r="E59" s="575"/>
      <c r="G59" s="7"/>
    </row>
    <row r="60" spans="1:10" ht="13">
      <c r="A60" s="2"/>
      <c r="D60" s="51" t="s">
        <v>1363</v>
      </c>
      <c r="E60" s="3" t="s">
        <v>175</v>
      </c>
      <c r="F60" s="62" t="s">
        <v>179</v>
      </c>
      <c r="G60" s="7"/>
    </row>
    <row r="61" spans="1:10" ht="13">
      <c r="A61" s="2"/>
      <c r="B61" s="549" t="s">
        <v>1670</v>
      </c>
      <c r="D61" t="s">
        <v>1364</v>
      </c>
      <c r="E61" s="954">
        <v>-5432217.0199272111</v>
      </c>
      <c r="F61" s="462" t="s">
        <v>1981</v>
      </c>
      <c r="G61" s="63"/>
      <c r="I61" s="14"/>
    </row>
    <row r="62" spans="1:10" ht="13">
      <c r="A62" s="2"/>
      <c r="B62" s="109" t="s">
        <v>1671</v>
      </c>
      <c r="C62" s="14"/>
      <c r="D62" s="465" t="s">
        <v>356</v>
      </c>
      <c r="E62" s="954">
        <v>-2576693.537546102</v>
      </c>
      <c r="F62" s="462" t="s">
        <v>1981</v>
      </c>
      <c r="G62" s="63"/>
      <c r="I62" s="579"/>
    </row>
    <row r="63" spans="1:10" ht="13">
      <c r="A63" s="2"/>
      <c r="B63" s="109" t="s">
        <v>1672</v>
      </c>
      <c r="C63" s="14"/>
      <c r="D63" s="465" t="s">
        <v>1365</v>
      </c>
      <c r="E63" s="1371">
        <v>-9387108.4425266907</v>
      </c>
      <c r="F63" s="462" t="s">
        <v>1981</v>
      </c>
      <c r="G63" s="63"/>
      <c r="I63" s="63"/>
    </row>
    <row r="64" spans="1:10" ht="13">
      <c r="A64" s="2"/>
      <c r="B64" s="109" t="s">
        <v>1674</v>
      </c>
      <c r="C64" s="14"/>
      <c r="D64" s="356" t="s">
        <v>4</v>
      </c>
      <c r="E64" s="7">
        <f>SUM(E61:E63)</f>
        <v>-17396019.000000004</v>
      </c>
      <c r="F64" s="46" t="str">
        <f>"Sum of "&amp;B61&amp;" to "&amp;B63&amp;""</f>
        <v>Sum of d to f</v>
      </c>
      <c r="G64" s="63"/>
      <c r="I64" s="14"/>
    </row>
    <row r="65" spans="1:10">
      <c r="F65" s="14"/>
      <c r="G65" s="14"/>
    </row>
    <row r="66" spans="1:10" ht="13">
      <c r="B66" s="984" t="s">
        <v>485</v>
      </c>
      <c r="C66" s="60"/>
      <c r="D66" s="60"/>
      <c r="E66" s="60"/>
      <c r="F66" s="516"/>
      <c r="G66" s="516"/>
    </row>
    <row r="67" spans="1:10" ht="13">
      <c r="B67" s="60"/>
      <c r="C67" s="60"/>
      <c r="D67" s="60"/>
      <c r="E67" s="62" t="s">
        <v>175</v>
      </c>
      <c r="F67" s="981" t="s">
        <v>236</v>
      </c>
      <c r="G67" s="516"/>
    </row>
    <row r="68" spans="1:10" ht="13">
      <c r="A68" s="2"/>
      <c r="B68" s="189" t="s">
        <v>1667</v>
      </c>
      <c r="C68" s="60"/>
      <c r="D68" s="987" t="s">
        <v>1952</v>
      </c>
      <c r="E68" s="995">
        <v>0</v>
      </c>
      <c r="F68" s="5" t="s">
        <v>487</v>
      </c>
      <c r="G68" s="516"/>
    </row>
    <row r="69" spans="1:10" s="955" customFormat="1" ht="13">
      <c r="A69" s="549"/>
      <c r="B69" s="189" t="s">
        <v>1668</v>
      </c>
      <c r="C69" s="60"/>
      <c r="D69" s="987" t="s">
        <v>2403</v>
      </c>
      <c r="E69" s="1083">
        <v>6329000</v>
      </c>
      <c r="F69" s="985" t="s">
        <v>2404</v>
      </c>
      <c r="G69" s="516"/>
    </row>
    <row r="70" spans="1:10" ht="13">
      <c r="A70" s="2"/>
      <c r="B70" s="189" t="s">
        <v>1669</v>
      </c>
      <c r="C70" s="60"/>
      <c r="D70" s="987" t="s">
        <v>482</v>
      </c>
      <c r="E70" s="983">
        <v>0</v>
      </c>
      <c r="F70" s="867" t="s">
        <v>33</v>
      </c>
      <c r="G70" s="516"/>
    </row>
    <row r="71" spans="1:10" ht="13">
      <c r="A71" s="2"/>
      <c r="B71" s="189" t="s">
        <v>1670</v>
      </c>
      <c r="C71" s="60"/>
      <c r="D71" s="982" t="s">
        <v>484</v>
      </c>
      <c r="E71" s="1389">
        <f>E70-E69</f>
        <v>-6329000</v>
      </c>
      <c r="F71" s="5" t="str">
        <f>""&amp;B70&amp;" - "&amp;B69&amp;""</f>
        <v>c - b</v>
      </c>
      <c r="G71" s="60"/>
    </row>
    <row r="72" spans="1:10" ht="13">
      <c r="A72" s="457"/>
      <c r="B72" s="1" t="s">
        <v>1438</v>
      </c>
      <c r="D72" s="93"/>
      <c r="E72" s="140"/>
      <c r="F72" s="13"/>
    </row>
    <row r="73" spans="1:10" ht="13">
      <c r="A73" s="457"/>
      <c r="B73" s="1"/>
      <c r="C73" t="str">
        <f>"Amount in Line "&amp;A44&amp;", column 2 equals amount in Line "&amp;A13&amp;", column 1 because all Franchise Requirements Expenses are excluded"</f>
        <v>Amount in Line 31, column 2 equals amount in Line 8, column 1 because all Franchise Requirements Expenses are excluded</v>
      </c>
      <c r="D73" s="93"/>
      <c r="E73" s="140"/>
      <c r="F73" s="13"/>
    </row>
    <row r="74" spans="1:10" ht="13">
      <c r="A74" s="457"/>
      <c r="B74" s="1"/>
      <c r="C74" s="12" t="s">
        <v>1439</v>
      </c>
      <c r="D74" s="93"/>
      <c r="E74" s="140"/>
      <c r="F74" s="13"/>
    </row>
    <row r="76" spans="1:10" ht="13">
      <c r="B76" s="1" t="s">
        <v>377</v>
      </c>
    </row>
    <row r="77" spans="1:10">
      <c r="C77" s="15" t="str">
        <f>"1) Enter amounts of A&amp;G expenses from FERC Form 1 in Lines "&amp;A6&amp;" to "&amp;A19&amp;"."</f>
        <v>1) Enter amounts of A&amp;G expenses from FERC Form 1 in Lines 1 to 14.</v>
      </c>
      <c r="D77" s="14"/>
      <c r="E77" s="14"/>
      <c r="F77" s="14"/>
      <c r="G77" s="14"/>
      <c r="H77" s="14"/>
      <c r="I77" s="14"/>
      <c r="J77" s="14"/>
    </row>
    <row r="78" spans="1:10">
      <c r="C78" s="465" t="s">
        <v>1988</v>
      </c>
      <c r="D78" s="14"/>
      <c r="E78" s="14"/>
      <c r="F78" s="14"/>
      <c r="G78" s="14" t="str">
        <f>"Column 3, Line "&amp;A37&amp;""</f>
        <v>Column 3, Line 24</v>
      </c>
      <c r="H78" s="14"/>
      <c r="I78" s="14"/>
      <c r="J78" s="14"/>
    </row>
    <row r="79" spans="1:10">
      <c r="C79" s="462" t="str">
        <f>"is calculated in Note 2.  The PBOPs exclusion in Column 4, Line "&amp;A43&amp;" is calculated in Note 3."</f>
        <v>is calculated in Note 2.  The PBOPs exclusion in Column 4, Line 30 is calculated in Note 3.</v>
      </c>
      <c r="D79" s="14"/>
      <c r="E79" s="14"/>
      <c r="F79" s="14"/>
      <c r="G79" s="15"/>
      <c r="H79" s="14"/>
      <c r="I79" s="14"/>
      <c r="J79" s="14"/>
    </row>
    <row r="80" spans="1:10">
      <c r="C80" s="462" t="s">
        <v>1658</v>
      </c>
      <c r="D80" s="14"/>
      <c r="E80" s="14"/>
      <c r="F80" s="14"/>
      <c r="G80" s="14"/>
      <c r="H80" s="14"/>
      <c r="I80" s="14"/>
      <c r="J80" s="14"/>
    </row>
    <row r="81" spans="3:10">
      <c r="C81" s="462" t="s">
        <v>1742</v>
      </c>
      <c r="D81" s="356"/>
      <c r="E81" s="458"/>
      <c r="F81" s="46"/>
      <c r="G81" s="14"/>
      <c r="H81" s="14"/>
      <c r="I81" s="14"/>
      <c r="J81" s="14"/>
    </row>
    <row r="82" spans="3:10">
      <c r="C82" s="462" t="s">
        <v>1738</v>
      </c>
      <c r="D82" s="356"/>
      <c r="E82" s="458"/>
      <c r="F82" s="46"/>
      <c r="G82" s="14"/>
      <c r="H82" s="14"/>
      <c r="I82" s="14"/>
      <c r="J82" s="14"/>
    </row>
    <row r="83" spans="3:10">
      <c r="C83" s="462" t="s">
        <v>1739</v>
      </c>
      <c r="D83" s="14"/>
      <c r="E83" s="14"/>
      <c r="F83" s="14"/>
      <c r="G83" s="14"/>
      <c r="H83" s="14"/>
      <c r="I83" s="14"/>
      <c r="J83" s="14"/>
    </row>
    <row r="84" spans="3:10">
      <c r="C84" s="46" t="s">
        <v>486</v>
      </c>
      <c r="D84" s="14"/>
      <c r="E84" s="14"/>
      <c r="F84" s="14"/>
      <c r="G84" s="14"/>
      <c r="H84" s="14"/>
      <c r="I84" s="14"/>
      <c r="J84" s="14"/>
    </row>
    <row r="85" spans="3:10">
      <c r="C85" s="462" t="s">
        <v>1740</v>
      </c>
      <c r="D85" s="14"/>
      <c r="E85" s="14"/>
      <c r="F85" s="14"/>
      <c r="G85" s="14"/>
      <c r="H85" s="14"/>
      <c r="I85" s="14"/>
      <c r="J85" s="14"/>
    </row>
    <row r="86" spans="3:10">
      <c r="C86" s="462" t="s">
        <v>1447</v>
      </c>
      <c r="D86" s="14"/>
      <c r="E86" s="14"/>
      <c r="F86" s="14"/>
      <c r="G86" s="14"/>
      <c r="H86" s="14"/>
      <c r="I86" s="14"/>
      <c r="J86" s="14"/>
    </row>
    <row r="87" spans="3:10">
      <c r="C87" s="462" t="s">
        <v>1741</v>
      </c>
      <c r="D87" s="14"/>
      <c r="E87" s="14"/>
      <c r="F87" s="14"/>
      <c r="G87" s="14"/>
      <c r="H87" s="14"/>
      <c r="I87" s="14"/>
      <c r="J87" s="14"/>
    </row>
    <row r="88" spans="3:10">
      <c r="C88" s="462" t="s">
        <v>1762</v>
      </c>
      <c r="D88" s="465"/>
      <c r="E88" s="885"/>
      <c r="F88" s="885"/>
      <c r="G88" s="885"/>
      <c r="H88" s="14"/>
      <c r="I88" s="14"/>
      <c r="J88" s="14"/>
    </row>
    <row r="89" spans="3:10">
      <c r="C89" s="845" t="s">
        <v>1760</v>
      </c>
      <c r="D89" s="465"/>
      <c r="E89" s="885"/>
      <c r="F89" s="885"/>
      <c r="G89" s="885"/>
      <c r="H89" s="14"/>
      <c r="I89" s="14"/>
      <c r="J89" s="14"/>
    </row>
    <row r="90" spans="3:10">
      <c r="C90" s="845" t="s">
        <v>1761</v>
      </c>
      <c r="D90" s="465"/>
      <c r="E90" s="885"/>
      <c r="F90" s="885"/>
      <c r="G90" s="885"/>
      <c r="H90" s="14"/>
      <c r="I90" s="14"/>
      <c r="J90" s="14"/>
    </row>
    <row r="91" spans="3:10">
      <c r="C91" s="845" t="s">
        <v>1763</v>
      </c>
      <c r="D91" s="465"/>
      <c r="E91" s="885"/>
      <c r="F91" s="885"/>
      <c r="G91" s="885"/>
      <c r="H91" s="14"/>
      <c r="I91" s="14"/>
      <c r="J91" s="14"/>
    </row>
    <row r="92" spans="3:10">
      <c r="C92" s="462" t="s">
        <v>1839</v>
      </c>
      <c r="D92" s="465"/>
      <c r="E92" s="885"/>
      <c r="F92" s="885"/>
      <c r="G92" s="885"/>
      <c r="H92" s="14"/>
      <c r="I92" s="14"/>
      <c r="J92" s="14"/>
    </row>
    <row r="93" spans="3:10">
      <c r="C93" s="845" t="s">
        <v>1837</v>
      </c>
      <c r="D93" s="465"/>
      <c r="E93" s="885"/>
      <c r="F93" s="885"/>
      <c r="G93" s="885"/>
      <c r="H93" s="14"/>
      <c r="I93" s="14"/>
      <c r="J93" s="14"/>
    </row>
    <row r="94" spans="3:10">
      <c r="C94" s="845" t="s">
        <v>1838</v>
      </c>
      <c r="D94" s="465"/>
      <c r="E94" s="885"/>
      <c r="F94" s="885"/>
      <c r="G94" s="885"/>
      <c r="H94" s="14"/>
      <c r="I94" s="14"/>
      <c r="J94" s="14"/>
    </row>
    <row r="95" spans="3:10">
      <c r="C95" s="845" t="s">
        <v>2340</v>
      </c>
      <c r="D95" s="465"/>
      <c r="E95" s="885"/>
      <c r="F95" s="885"/>
      <c r="G95" s="885"/>
      <c r="H95" s="14"/>
      <c r="I95" s="14"/>
      <c r="J95" s="14"/>
    </row>
    <row r="96" spans="3:10">
      <c r="C96" s="845" t="s">
        <v>1840</v>
      </c>
      <c r="D96" s="465"/>
      <c r="E96" s="885"/>
      <c r="F96" s="885"/>
      <c r="G96" s="885"/>
      <c r="H96" s="14"/>
      <c r="I96" s="14"/>
      <c r="J96" s="14"/>
    </row>
    <row r="97" spans="3:10" ht="13">
      <c r="C97" s="886" t="s">
        <v>1989</v>
      </c>
      <c r="D97" s="575"/>
      <c r="E97" s="575"/>
      <c r="F97" s="575"/>
      <c r="G97" s="575"/>
      <c r="H97" s="575"/>
      <c r="I97" s="575"/>
      <c r="J97" s="575"/>
    </row>
    <row r="98" spans="3:10">
      <c r="C98" s="465" t="s">
        <v>1990</v>
      </c>
      <c r="D98" s="14"/>
      <c r="E98" s="14"/>
      <c r="F98" s="14"/>
      <c r="G98" s="14"/>
      <c r="H98" s="14"/>
      <c r="I98" s="14"/>
      <c r="J98" s="14"/>
    </row>
    <row r="99" spans="3:10">
      <c r="C99" s="886" t="s">
        <v>1991</v>
      </c>
      <c r="D99" s="591"/>
      <c r="E99" s="591"/>
      <c r="F99" s="591"/>
      <c r="G99" s="591"/>
      <c r="H99" s="591"/>
      <c r="I99" s="591"/>
      <c r="J99" s="14"/>
    </row>
    <row r="100" spans="3:10">
      <c r="C100" s="15" t="str">
        <f>"4) Determine the PBOPs exclusion.  The authorized amount of PBOPs expense (line "&amp;B68&amp;") may only be revised"</f>
        <v>4) Determine the PBOPs exclusion.  The authorized amount of PBOPs expense (line a) may only be revised</v>
      </c>
      <c r="D100" s="14"/>
      <c r="E100" s="14"/>
      <c r="F100" s="14"/>
      <c r="G100" s="14"/>
      <c r="H100" s="14"/>
      <c r="I100" s="14"/>
      <c r="J100" s="14"/>
    </row>
    <row r="101" spans="3:10">
      <c r="C101" s="15" t="s">
        <v>1095</v>
      </c>
      <c r="D101" s="14"/>
      <c r="E101" s="14"/>
      <c r="F101" s="14"/>
      <c r="G101" s="14"/>
      <c r="H101" s="14"/>
      <c r="I101" s="14"/>
      <c r="J101" s="14"/>
    </row>
    <row r="102" spans="3:10">
      <c r="C102" s="465" t="s">
        <v>2405</v>
      </c>
      <c r="D102" s="14"/>
      <c r="E102" s="14"/>
      <c r="F102" s="14"/>
      <c r="G102" s="14"/>
      <c r="H102" s="14"/>
      <c r="I102" s="14"/>
      <c r="J102" s="14"/>
    </row>
    <row r="103" spans="3:10">
      <c r="C103" s="465" t="s">
        <v>2406</v>
      </c>
      <c r="D103" s="14"/>
      <c r="E103" s="14"/>
      <c r="F103" s="14"/>
      <c r="G103" s="14"/>
      <c r="H103" s="14"/>
      <c r="I103" s="961" t="s">
        <v>2823</v>
      </c>
      <c r="J103" s="986"/>
    </row>
    <row r="104" spans="3:10">
      <c r="C104" s="465" t="s">
        <v>1805</v>
      </c>
      <c r="D104" s="14"/>
      <c r="E104" s="14"/>
      <c r="F104" s="14"/>
      <c r="G104" s="14"/>
      <c r="H104" s="14"/>
      <c r="I104" s="14"/>
    </row>
    <row r="105" spans="3:10">
      <c r="C105" s="14" t="s">
        <v>2537</v>
      </c>
      <c r="D105" s="14"/>
      <c r="E105" s="14"/>
      <c r="F105" s="14"/>
      <c r="G105" s="14"/>
      <c r="H105" s="14"/>
      <c r="I105" s="14"/>
      <c r="J105" s="14"/>
    </row>
    <row r="106" spans="3:10">
      <c r="C106" s="14" t="s">
        <v>2538</v>
      </c>
      <c r="D106" s="14"/>
      <c r="E106" s="14"/>
      <c r="F106" s="14"/>
      <c r="G106" s="14"/>
      <c r="H106" s="14"/>
      <c r="I106" s="14"/>
      <c r="J106" s="14"/>
    </row>
    <row r="107" spans="3:10">
      <c r="C107" s="14" t="s">
        <v>2541</v>
      </c>
      <c r="D107" s="14"/>
      <c r="E107" s="14"/>
      <c r="F107" s="14"/>
      <c r="G107" s="14"/>
      <c r="H107" s="14"/>
      <c r="I107" s="14"/>
      <c r="J107" s="14"/>
    </row>
    <row r="108" spans="3:10">
      <c r="C108" s="14" t="s">
        <v>2542</v>
      </c>
      <c r="D108" s="14"/>
      <c r="E108" s="14"/>
      <c r="F108" s="14"/>
      <c r="G108" s="14"/>
      <c r="H108" s="14"/>
      <c r="I108" s="14"/>
      <c r="J108" s="14"/>
    </row>
    <row r="109" spans="3:10">
      <c r="C109" s="14" t="s">
        <v>2543</v>
      </c>
      <c r="D109" s="14"/>
      <c r="E109" s="14"/>
      <c r="F109" s="14"/>
      <c r="G109" s="14"/>
      <c r="H109" s="14"/>
      <c r="I109" s="14"/>
      <c r="J109" s="14"/>
    </row>
    <row r="110" spans="3:10">
      <c r="C110" s="1238"/>
    </row>
  </sheetData>
  <phoneticPr fontId="23" type="noConversion"/>
  <pageMargins left="0.75" right="0.75" top="1" bottom="1" header="0.5" footer="0.5"/>
  <pageSetup scale="68" orientation="landscape" cellComments="asDisplayed" r:id="rId1"/>
  <headerFooter alignWithMargins="0">
    <oddHeader>&amp;CSchedule 20
Administrative and General Expenses
&amp;RTO2022 Draft Annual Update 
Attachment 1</oddHeader>
    <oddFooter>&amp;R&amp;A</oddFooter>
  </headerFooter>
  <rowBreaks count="2" manualBreakCount="2">
    <brk id="51" max="9" man="1"/>
    <brk id="7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275"/>
  <sheetViews>
    <sheetView zoomScaleNormal="100" zoomScalePageLayoutView="60" workbookViewId="0">
      <selection activeCell="A3" sqref="A3"/>
    </sheetView>
  </sheetViews>
  <sheetFormatPr defaultRowHeight="12.5"/>
  <cols>
    <col min="1" max="1" width="6.453125" style="220" customWidth="1"/>
    <col min="2" max="2" width="8.54296875" style="41" customWidth="1"/>
    <col min="3" max="3" width="9.54296875" style="220" customWidth="1"/>
    <col min="4" max="4" width="51.54296875" style="41" customWidth="1"/>
    <col min="5" max="6" width="16.453125" style="350" customWidth="1"/>
    <col min="7" max="7" width="18.453125" style="350" bestFit="1" customWidth="1"/>
    <col min="8" max="8" width="15.54296875" style="218" bestFit="1" customWidth="1"/>
    <col min="9" max="9" width="16.54296875" style="218" bestFit="1" customWidth="1"/>
    <col min="10" max="10" width="15.54296875" style="350" customWidth="1"/>
    <col min="11" max="11" width="6.54296875" style="308" customWidth="1"/>
    <col min="12" max="12" width="16.453125" style="295" customWidth="1"/>
    <col min="13" max="13" width="17.453125" style="210" bestFit="1" customWidth="1"/>
    <col min="14" max="14" width="18.453125" style="350" bestFit="1" customWidth="1"/>
    <col min="15" max="15" width="8.54296875" style="210" customWidth="1"/>
  </cols>
  <sheetData>
    <row r="1" spans="1:15" ht="13">
      <c r="A1" s="329"/>
      <c r="B1" s="190" t="s">
        <v>551</v>
      </c>
      <c r="C1" s="191" t="s">
        <v>552</v>
      </c>
      <c r="D1" s="190" t="s">
        <v>553</v>
      </c>
      <c r="E1" s="191" t="s">
        <v>554</v>
      </c>
      <c r="F1" s="190" t="s">
        <v>555</v>
      </c>
      <c r="G1" s="191" t="s">
        <v>556</v>
      </c>
      <c r="H1" s="190" t="s">
        <v>557</v>
      </c>
      <c r="I1" s="191" t="s">
        <v>558</v>
      </c>
      <c r="J1" s="190" t="s">
        <v>559</v>
      </c>
      <c r="K1" s="191" t="s">
        <v>560</v>
      </c>
      <c r="L1" s="190" t="s">
        <v>561</v>
      </c>
      <c r="M1" s="191" t="s">
        <v>562</v>
      </c>
      <c r="N1" s="190" t="s">
        <v>563</v>
      </c>
      <c r="O1" s="191" t="s">
        <v>564</v>
      </c>
    </row>
    <row r="2" spans="1:15">
      <c r="A2" s="326"/>
      <c r="B2" s="327"/>
      <c r="C2" s="327"/>
      <c r="D2" s="327"/>
      <c r="E2" s="328"/>
      <c r="F2" s="328"/>
      <c r="G2" s="1540" t="s">
        <v>565</v>
      </c>
      <c r="H2" s="1541"/>
      <c r="I2" s="1542"/>
      <c r="J2" s="1540" t="s">
        <v>566</v>
      </c>
      <c r="K2" s="1541"/>
      <c r="L2" s="1541"/>
      <c r="M2" s="1542"/>
      <c r="N2" s="311" t="s">
        <v>567</v>
      </c>
      <c r="O2" s="326"/>
    </row>
    <row r="3" spans="1:15" ht="26.25" customHeight="1">
      <c r="A3" s="192" t="s">
        <v>329</v>
      </c>
      <c r="B3" s="193" t="s">
        <v>568</v>
      </c>
      <c r="C3" s="194" t="s">
        <v>569</v>
      </c>
      <c r="D3" s="193" t="s">
        <v>570</v>
      </c>
      <c r="E3" s="286" t="s">
        <v>571</v>
      </c>
      <c r="F3" s="287" t="s">
        <v>572</v>
      </c>
      <c r="G3" s="287" t="s">
        <v>196</v>
      </c>
      <c r="H3" s="195" t="s">
        <v>427</v>
      </c>
      <c r="I3" s="195" t="s">
        <v>573</v>
      </c>
      <c r="J3" s="286" t="s">
        <v>196</v>
      </c>
      <c r="K3" s="307" t="s">
        <v>574</v>
      </c>
      <c r="L3" s="289" t="s">
        <v>575</v>
      </c>
      <c r="M3" s="196" t="s">
        <v>296</v>
      </c>
      <c r="N3" s="286" t="s">
        <v>196</v>
      </c>
      <c r="O3" s="196" t="s">
        <v>168</v>
      </c>
    </row>
    <row r="4" spans="1:15">
      <c r="A4" s="197" t="s">
        <v>576</v>
      </c>
      <c r="B4" s="198">
        <v>450</v>
      </c>
      <c r="C4" s="198" t="s">
        <v>577</v>
      </c>
      <c r="D4" s="199" t="s">
        <v>1190</v>
      </c>
      <c r="E4" s="974">
        <v>3190630</v>
      </c>
      <c r="F4" s="1034" t="s">
        <v>565</v>
      </c>
      <c r="G4" s="293">
        <f>IF(F4=$G$2,E4,0)</f>
        <v>3190630</v>
      </c>
      <c r="H4" s="200">
        <v>0</v>
      </c>
      <c r="I4" s="201">
        <f>G4-H4</f>
        <v>3190630</v>
      </c>
      <c r="J4" s="293">
        <f>IF(F4=$J$2,E4,0)</f>
        <v>0</v>
      </c>
      <c r="K4" s="288"/>
      <c r="L4" s="297"/>
      <c r="M4" s="201">
        <f>J4-L4</f>
        <v>0</v>
      </c>
      <c r="N4" s="293">
        <f>IF(F4=$N$2,E4,0)</f>
        <v>0</v>
      </c>
      <c r="O4" s="200">
        <v>1</v>
      </c>
    </row>
    <row r="5" spans="1:15">
      <c r="A5" s="202" t="s">
        <v>578</v>
      </c>
      <c r="B5" s="198">
        <v>450</v>
      </c>
      <c r="C5" s="203" t="s">
        <v>579</v>
      </c>
      <c r="D5" s="199" t="s">
        <v>580</v>
      </c>
      <c r="E5" s="974">
        <v>2855717.81</v>
      </c>
      <c r="F5" s="1034" t="s">
        <v>565</v>
      </c>
      <c r="G5" s="293">
        <f>IF(F5=$G$2,E5,0)</f>
        <v>2855717.81</v>
      </c>
      <c r="H5" s="200">
        <v>0</v>
      </c>
      <c r="I5" s="201">
        <f>G5-H5</f>
        <v>2855717.81</v>
      </c>
      <c r="J5" s="293">
        <f>IF(F5=$J$2,E5,0)</f>
        <v>0</v>
      </c>
      <c r="K5" s="288"/>
      <c r="L5" s="297"/>
      <c r="M5" s="201">
        <f>J5-L5</f>
        <v>0</v>
      </c>
      <c r="N5" s="293">
        <f>IF(F5=$N$2,E5,0)</f>
        <v>0</v>
      </c>
      <c r="O5" s="200">
        <v>1</v>
      </c>
    </row>
    <row r="6" spans="1:15">
      <c r="A6" s="325"/>
      <c r="B6" s="322"/>
      <c r="C6" s="321"/>
      <c r="D6" s="323"/>
      <c r="E6" s="302"/>
      <c r="F6" s="302"/>
      <c r="G6" s="297"/>
      <c r="H6" s="298"/>
      <c r="I6" s="299"/>
      <c r="J6" s="297"/>
      <c r="K6" s="301"/>
      <c r="L6" s="297"/>
      <c r="M6" s="299"/>
      <c r="N6" s="297"/>
      <c r="O6" s="298"/>
    </row>
    <row r="7" spans="1:15">
      <c r="A7" s="325"/>
      <c r="B7" s="322"/>
      <c r="C7" s="321"/>
      <c r="D7" s="323"/>
      <c r="E7" s="302"/>
      <c r="F7" s="302"/>
      <c r="G7" s="297"/>
      <c r="H7" s="298"/>
      <c r="I7" s="299"/>
      <c r="J7" s="297"/>
      <c r="K7" s="301"/>
      <c r="L7" s="297"/>
      <c r="M7" s="299"/>
      <c r="N7" s="297"/>
      <c r="O7" s="298"/>
    </row>
    <row r="8" spans="1:15" ht="13">
      <c r="A8" s="202">
        <v>2</v>
      </c>
      <c r="B8" s="1523" t="s">
        <v>582</v>
      </c>
      <c r="C8" s="1524"/>
      <c r="D8" s="1525"/>
      <c r="E8" s="305">
        <f>SUM(E4:E7)</f>
        <v>6046347.8100000005</v>
      </c>
      <c r="F8" s="314"/>
      <c r="G8" s="305">
        <f>SUM(G4:G7)</f>
        <v>6046347.8100000005</v>
      </c>
      <c r="H8" s="191">
        <f>SUM(H4:H7)</f>
        <v>0</v>
      </c>
      <c r="I8" s="305">
        <f>SUM(I4:I7)</f>
        <v>6046347.8100000005</v>
      </c>
      <c r="J8" s="305">
        <f>SUM(J4:J7)</f>
        <v>0</v>
      </c>
      <c r="K8" s="314"/>
      <c r="L8" s="305">
        <f>SUM(L4:L7)</f>
        <v>0</v>
      </c>
      <c r="M8" s="305">
        <f>SUM(M4:M7)</f>
        <v>0</v>
      </c>
      <c r="N8" s="305">
        <f>SUM(N4:N7)</f>
        <v>0</v>
      </c>
      <c r="O8" s="200"/>
    </row>
    <row r="9" spans="1:15" ht="12.75" customHeight="1">
      <c r="A9" s="202">
        <v>3</v>
      </c>
      <c r="B9" s="1543" t="s">
        <v>1222</v>
      </c>
      <c r="C9" s="1544"/>
      <c r="D9" s="1545"/>
      <c r="E9" s="1073">
        <v>6046348</v>
      </c>
      <c r="F9" s="304"/>
      <c r="G9" s="292"/>
      <c r="H9" s="304"/>
      <c r="I9" s="304"/>
      <c r="J9" s="292"/>
      <c r="K9" s="304"/>
      <c r="L9" s="292"/>
      <c r="M9" s="292"/>
      <c r="N9" s="292"/>
      <c r="O9" s="189"/>
    </row>
    <row r="10" spans="1:15" ht="13">
      <c r="A10" s="205"/>
      <c r="B10" s="206"/>
      <c r="C10" s="207"/>
      <c r="D10" s="208"/>
      <c r="E10" s="292"/>
      <c r="F10" s="292"/>
      <c r="G10" s="292"/>
      <c r="H10" s="304"/>
      <c r="I10" s="304"/>
      <c r="J10" s="292"/>
      <c r="K10" s="304"/>
      <c r="L10" s="292"/>
      <c r="M10" s="292"/>
      <c r="N10" s="292"/>
      <c r="O10" s="189"/>
    </row>
    <row r="11" spans="1:15">
      <c r="A11" s="202" t="s">
        <v>583</v>
      </c>
      <c r="B11" s="198">
        <v>451</v>
      </c>
      <c r="C11" s="203" t="s">
        <v>584</v>
      </c>
      <c r="D11" s="199" t="s">
        <v>585</v>
      </c>
      <c r="E11" s="974">
        <v>85685.69</v>
      </c>
      <c r="F11" s="1034" t="s">
        <v>565</v>
      </c>
      <c r="G11" s="1375">
        <f t="shared" ref="G11:G20" si="0">IF(F11=$G$2,E11,0)</f>
        <v>85685.69</v>
      </c>
      <c r="H11" s="1376">
        <v>0</v>
      </c>
      <c r="I11" s="1376">
        <f>G11-H11</f>
        <v>85685.69</v>
      </c>
      <c r="J11" s="1375">
        <f t="shared" ref="J11:J20" si="1">IF(F11=$J$2,E11,0)</f>
        <v>0</v>
      </c>
      <c r="K11" s="1375"/>
      <c r="L11" s="1377"/>
      <c r="M11" s="1376">
        <f t="shared" ref="M11:M17" si="2">J11-L11</f>
        <v>0</v>
      </c>
      <c r="N11" s="1375">
        <f t="shared" ref="N11:N18" si="3">IF(F11=$N$2,E11,0)</f>
        <v>0</v>
      </c>
      <c r="O11" s="1376">
        <v>1</v>
      </c>
    </row>
    <row r="12" spans="1:15">
      <c r="A12" s="202" t="s">
        <v>586</v>
      </c>
      <c r="B12" s="198">
        <v>451</v>
      </c>
      <c r="C12" s="203" t="s">
        <v>587</v>
      </c>
      <c r="D12" s="889" t="s">
        <v>588</v>
      </c>
      <c r="E12" s="974">
        <v>421826.67</v>
      </c>
      <c r="F12" s="1034" t="s">
        <v>565</v>
      </c>
      <c r="G12" s="1375">
        <f>IF(F12=$G$2,E12,0)</f>
        <v>421826.67</v>
      </c>
      <c r="H12" s="1376">
        <v>0</v>
      </c>
      <c r="I12" s="1376">
        <f t="shared" ref="I12:I20" si="4">G12-H12</f>
        <v>421826.67</v>
      </c>
      <c r="J12" s="1375">
        <f t="shared" si="1"/>
        <v>0</v>
      </c>
      <c r="K12" s="1375"/>
      <c r="L12" s="1377"/>
      <c r="M12" s="1376">
        <f t="shared" si="2"/>
        <v>0</v>
      </c>
      <c r="N12" s="1375">
        <f t="shared" si="3"/>
        <v>0</v>
      </c>
      <c r="O12" s="1376">
        <v>1</v>
      </c>
    </row>
    <row r="13" spans="1:15">
      <c r="A13" s="202" t="s">
        <v>589</v>
      </c>
      <c r="B13" s="198">
        <v>451</v>
      </c>
      <c r="C13" s="203" t="s">
        <v>590</v>
      </c>
      <c r="D13" s="199" t="s">
        <v>591</v>
      </c>
      <c r="E13" s="974"/>
      <c r="F13" s="1034" t="s">
        <v>565</v>
      </c>
      <c r="G13" s="1375">
        <f t="shared" si="0"/>
        <v>0</v>
      </c>
      <c r="H13" s="1376">
        <v>0</v>
      </c>
      <c r="I13" s="1376">
        <f t="shared" si="4"/>
        <v>0</v>
      </c>
      <c r="J13" s="1375">
        <f t="shared" si="1"/>
        <v>0</v>
      </c>
      <c r="K13" s="1375"/>
      <c r="L13" s="1377"/>
      <c r="M13" s="1376">
        <f t="shared" si="2"/>
        <v>0</v>
      </c>
      <c r="N13" s="1375">
        <f t="shared" si="3"/>
        <v>0</v>
      </c>
      <c r="O13" s="1376">
        <v>1</v>
      </c>
    </row>
    <row r="14" spans="1:15">
      <c r="A14" s="202" t="s">
        <v>592</v>
      </c>
      <c r="B14" s="198">
        <v>451</v>
      </c>
      <c r="C14" s="203" t="s">
        <v>593</v>
      </c>
      <c r="D14" s="199" t="s">
        <v>594</v>
      </c>
      <c r="E14" s="974">
        <v>1213295.6299999999</v>
      </c>
      <c r="F14" s="1034" t="s">
        <v>565</v>
      </c>
      <c r="G14" s="1375">
        <f t="shared" si="0"/>
        <v>1213295.6299999999</v>
      </c>
      <c r="H14" s="1376">
        <v>0</v>
      </c>
      <c r="I14" s="1376">
        <f t="shared" si="4"/>
        <v>1213295.6299999999</v>
      </c>
      <c r="J14" s="1375">
        <f t="shared" si="1"/>
        <v>0</v>
      </c>
      <c r="K14" s="1375"/>
      <c r="L14" s="1377"/>
      <c r="M14" s="1376">
        <f t="shared" si="2"/>
        <v>0</v>
      </c>
      <c r="N14" s="1375">
        <f t="shared" si="3"/>
        <v>0</v>
      </c>
      <c r="O14" s="1376">
        <v>1</v>
      </c>
    </row>
    <row r="15" spans="1:15">
      <c r="A15" s="202" t="s">
        <v>595</v>
      </c>
      <c r="B15" s="198">
        <v>451</v>
      </c>
      <c r="C15" s="203" t="s">
        <v>596</v>
      </c>
      <c r="D15" s="199" t="s">
        <v>597</v>
      </c>
      <c r="E15" s="974">
        <v>1988</v>
      </c>
      <c r="F15" s="1034" t="s">
        <v>565</v>
      </c>
      <c r="G15" s="1375">
        <f t="shared" si="0"/>
        <v>1988</v>
      </c>
      <c r="H15" s="1376">
        <v>0</v>
      </c>
      <c r="I15" s="1376">
        <f t="shared" si="4"/>
        <v>1988</v>
      </c>
      <c r="J15" s="1375">
        <f t="shared" si="1"/>
        <v>0</v>
      </c>
      <c r="K15" s="1375"/>
      <c r="L15" s="1377"/>
      <c r="M15" s="1376">
        <f t="shared" si="2"/>
        <v>0</v>
      </c>
      <c r="N15" s="1375">
        <f t="shared" si="3"/>
        <v>0</v>
      </c>
      <c r="O15" s="1376">
        <v>1</v>
      </c>
    </row>
    <row r="16" spans="1:15">
      <c r="A16" s="202" t="s">
        <v>598</v>
      </c>
      <c r="B16" s="198">
        <v>451</v>
      </c>
      <c r="C16" s="203" t="s">
        <v>599</v>
      </c>
      <c r="D16" s="199" t="s">
        <v>600</v>
      </c>
      <c r="E16" s="1373">
        <v>1265.72</v>
      </c>
      <c r="F16" s="1034" t="s">
        <v>565</v>
      </c>
      <c r="G16" s="1375">
        <f t="shared" si="0"/>
        <v>1265.72</v>
      </c>
      <c r="H16" s="1376">
        <v>0</v>
      </c>
      <c r="I16" s="1376">
        <f t="shared" si="4"/>
        <v>1265.72</v>
      </c>
      <c r="J16" s="1375">
        <f t="shared" si="1"/>
        <v>0</v>
      </c>
      <c r="K16" s="1375"/>
      <c r="L16" s="1377"/>
      <c r="M16" s="1376">
        <f t="shared" si="2"/>
        <v>0</v>
      </c>
      <c r="N16" s="1375">
        <f t="shared" si="3"/>
        <v>0</v>
      </c>
      <c r="O16" s="1376">
        <v>1</v>
      </c>
    </row>
    <row r="17" spans="1:15">
      <c r="A17" s="202" t="s">
        <v>601</v>
      </c>
      <c r="B17" s="198">
        <v>451</v>
      </c>
      <c r="C17" s="203" t="s">
        <v>602</v>
      </c>
      <c r="D17" s="199" t="s">
        <v>603</v>
      </c>
      <c r="E17" s="974"/>
      <c r="F17" s="1034" t="s">
        <v>565</v>
      </c>
      <c r="G17" s="1375">
        <f t="shared" si="0"/>
        <v>0</v>
      </c>
      <c r="H17" s="1376">
        <v>0</v>
      </c>
      <c r="I17" s="1376">
        <f t="shared" si="4"/>
        <v>0</v>
      </c>
      <c r="J17" s="1375">
        <f t="shared" si="1"/>
        <v>0</v>
      </c>
      <c r="K17" s="1375"/>
      <c r="L17" s="1377"/>
      <c r="M17" s="1376">
        <f t="shared" si="2"/>
        <v>0</v>
      </c>
      <c r="N17" s="1375">
        <f t="shared" si="3"/>
        <v>0</v>
      </c>
      <c r="O17" s="1376">
        <v>1</v>
      </c>
    </row>
    <row r="18" spans="1:15">
      <c r="A18" s="202" t="s">
        <v>604</v>
      </c>
      <c r="B18" s="198">
        <v>451</v>
      </c>
      <c r="C18" s="203" t="s">
        <v>605</v>
      </c>
      <c r="D18" s="199" t="s">
        <v>606</v>
      </c>
      <c r="E18" s="1373">
        <v>-35</v>
      </c>
      <c r="F18" s="1034" t="s">
        <v>566</v>
      </c>
      <c r="G18" s="1375">
        <f t="shared" si="0"/>
        <v>0</v>
      </c>
      <c r="H18" s="1376">
        <v>0</v>
      </c>
      <c r="I18" s="1376">
        <f t="shared" si="4"/>
        <v>0</v>
      </c>
      <c r="J18" s="1375">
        <f>IF(F18=$J$2,E18,0)</f>
        <v>-35</v>
      </c>
      <c r="K18" s="1378" t="s">
        <v>607</v>
      </c>
      <c r="L18" s="1377"/>
      <c r="M18" s="1376">
        <f t="shared" ref="M18:M26" si="5">J18-L18</f>
        <v>-35</v>
      </c>
      <c r="N18" s="1375">
        <f t="shared" si="3"/>
        <v>0</v>
      </c>
      <c r="O18" s="1376">
        <v>2</v>
      </c>
    </row>
    <row r="19" spans="1:15">
      <c r="A19" s="202" t="s">
        <v>608</v>
      </c>
      <c r="B19" s="198">
        <v>451</v>
      </c>
      <c r="C19" s="203" t="s">
        <v>609</v>
      </c>
      <c r="D19" s="199" t="s">
        <v>610</v>
      </c>
      <c r="E19" s="974">
        <v>655977.21</v>
      </c>
      <c r="F19" s="1034" t="s">
        <v>567</v>
      </c>
      <c r="G19" s="1375">
        <f>IF(F19=$G$2,E19,0)</f>
        <v>0</v>
      </c>
      <c r="H19" s="1376">
        <v>0</v>
      </c>
      <c r="I19" s="1376">
        <f t="shared" si="4"/>
        <v>0</v>
      </c>
      <c r="J19" s="1375">
        <f>IF(F19=$J$2,E19,0)</f>
        <v>0</v>
      </c>
      <c r="K19" s="1375"/>
      <c r="L19" s="1377"/>
      <c r="M19" s="1376">
        <f t="shared" si="5"/>
        <v>0</v>
      </c>
      <c r="N19" s="1375">
        <f t="shared" ref="N19:N27" si="6">IF(F19=$N$2,E19,0)</f>
        <v>655977.21</v>
      </c>
      <c r="O19" s="1376">
        <v>6</v>
      </c>
    </row>
    <row r="20" spans="1:15">
      <c r="A20" s="197" t="s">
        <v>2040</v>
      </c>
      <c r="B20" s="198">
        <v>451</v>
      </c>
      <c r="C20" s="198">
        <v>4182120</v>
      </c>
      <c r="D20" s="215" t="s">
        <v>2041</v>
      </c>
      <c r="E20" s="974"/>
      <c r="F20" s="297" t="s">
        <v>565</v>
      </c>
      <c r="G20" s="1375">
        <f t="shared" si="0"/>
        <v>0</v>
      </c>
      <c r="H20" s="1376">
        <v>0</v>
      </c>
      <c r="I20" s="1376">
        <f t="shared" si="4"/>
        <v>0</v>
      </c>
      <c r="J20" s="1375">
        <f t="shared" si="1"/>
        <v>0</v>
      </c>
      <c r="K20" s="1375"/>
      <c r="L20" s="1377"/>
      <c r="M20" s="1376">
        <f t="shared" si="5"/>
        <v>0</v>
      </c>
      <c r="N20" s="1375">
        <f t="shared" si="6"/>
        <v>0</v>
      </c>
      <c r="O20" s="1376">
        <v>1</v>
      </c>
    </row>
    <row r="21" spans="1:15">
      <c r="A21" s="197" t="s">
        <v>2042</v>
      </c>
      <c r="B21" s="198">
        <v>451</v>
      </c>
      <c r="C21" s="198">
        <v>4192152</v>
      </c>
      <c r="D21" s="215" t="s">
        <v>2043</v>
      </c>
      <c r="E21" s="974">
        <v>1580</v>
      </c>
      <c r="F21" s="1034" t="s">
        <v>567</v>
      </c>
      <c r="G21" s="1375">
        <f t="shared" ref="G21:G26" si="7">IF(F21=$G$2,E21,0)</f>
        <v>0</v>
      </c>
      <c r="H21" s="1376">
        <v>0</v>
      </c>
      <c r="I21" s="1376">
        <f t="shared" ref="I21:I27" si="8">G21-H21</f>
        <v>0</v>
      </c>
      <c r="J21" s="1375">
        <f t="shared" ref="J21:J27" si="9">IF(F21=$J$2,E21,0)</f>
        <v>0</v>
      </c>
      <c r="K21" s="1375"/>
      <c r="L21" s="1377"/>
      <c r="M21" s="1376">
        <f t="shared" si="5"/>
        <v>0</v>
      </c>
      <c r="N21" s="1375">
        <f t="shared" si="6"/>
        <v>1580</v>
      </c>
      <c r="O21" s="1376">
        <v>1</v>
      </c>
    </row>
    <row r="22" spans="1:15">
      <c r="A22" s="197" t="s">
        <v>2044</v>
      </c>
      <c r="B22" s="198">
        <v>451</v>
      </c>
      <c r="C22" s="198">
        <v>4192155</v>
      </c>
      <c r="D22" s="215" t="s">
        <v>2045</v>
      </c>
      <c r="E22" s="974">
        <v>36120</v>
      </c>
      <c r="F22" s="1034" t="s">
        <v>567</v>
      </c>
      <c r="G22" s="1375">
        <f t="shared" si="7"/>
        <v>0</v>
      </c>
      <c r="H22" s="1376">
        <v>0</v>
      </c>
      <c r="I22" s="1376">
        <f t="shared" si="8"/>
        <v>0</v>
      </c>
      <c r="J22" s="1375">
        <f t="shared" si="9"/>
        <v>0</v>
      </c>
      <c r="K22" s="1375"/>
      <c r="L22" s="1377"/>
      <c r="M22" s="1376">
        <f t="shared" si="5"/>
        <v>0</v>
      </c>
      <c r="N22" s="1375">
        <f t="shared" si="6"/>
        <v>36120</v>
      </c>
      <c r="O22" s="1376">
        <v>1</v>
      </c>
    </row>
    <row r="23" spans="1:15">
      <c r="A23" s="197" t="s">
        <v>2046</v>
      </c>
      <c r="B23" s="198">
        <v>451</v>
      </c>
      <c r="C23" s="198">
        <v>4192158</v>
      </c>
      <c r="D23" s="215" t="s">
        <v>2047</v>
      </c>
      <c r="E23" s="974">
        <v>37275</v>
      </c>
      <c r="F23" s="1034" t="s">
        <v>567</v>
      </c>
      <c r="G23" s="1375">
        <f t="shared" si="7"/>
        <v>0</v>
      </c>
      <c r="H23" s="1376">
        <v>0</v>
      </c>
      <c r="I23" s="1376">
        <f t="shared" si="8"/>
        <v>0</v>
      </c>
      <c r="J23" s="1375">
        <f t="shared" si="9"/>
        <v>0</v>
      </c>
      <c r="K23" s="1375"/>
      <c r="L23" s="1377"/>
      <c r="M23" s="1376">
        <f t="shared" si="5"/>
        <v>0</v>
      </c>
      <c r="N23" s="1375">
        <f t="shared" si="6"/>
        <v>37275</v>
      </c>
      <c r="O23" s="1376">
        <v>1</v>
      </c>
    </row>
    <row r="24" spans="1:15">
      <c r="A24" s="197" t="s">
        <v>2048</v>
      </c>
      <c r="B24" s="198">
        <v>451</v>
      </c>
      <c r="C24" s="198">
        <v>4192160</v>
      </c>
      <c r="D24" s="215" t="s">
        <v>2049</v>
      </c>
      <c r="E24" s="974">
        <v>197880</v>
      </c>
      <c r="F24" s="1034" t="s">
        <v>567</v>
      </c>
      <c r="G24" s="1375">
        <f t="shared" si="7"/>
        <v>0</v>
      </c>
      <c r="H24" s="1376">
        <v>0</v>
      </c>
      <c r="I24" s="1376">
        <f t="shared" si="8"/>
        <v>0</v>
      </c>
      <c r="J24" s="1375">
        <f t="shared" si="9"/>
        <v>0</v>
      </c>
      <c r="K24" s="1375"/>
      <c r="L24" s="1377"/>
      <c r="M24" s="1376">
        <f t="shared" si="5"/>
        <v>0</v>
      </c>
      <c r="N24" s="1375">
        <f t="shared" si="6"/>
        <v>197880</v>
      </c>
      <c r="O24" s="1376">
        <v>1</v>
      </c>
    </row>
    <row r="25" spans="1:15" s="955" customFormat="1">
      <c r="A25" s="197" t="s">
        <v>2165</v>
      </c>
      <c r="B25" s="198">
        <v>451</v>
      </c>
      <c r="C25" s="198">
        <v>4192135</v>
      </c>
      <c r="D25" s="1255" t="s">
        <v>2166</v>
      </c>
      <c r="E25" s="974">
        <v>4053694.14</v>
      </c>
      <c r="F25" s="1034" t="s">
        <v>565</v>
      </c>
      <c r="G25" s="1375">
        <f t="shared" si="7"/>
        <v>4053694.14</v>
      </c>
      <c r="H25" s="1376">
        <v>0</v>
      </c>
      <c r="I25" s="1376">
        <f t="shared" si="8"/>
        <v>4053694.14</v>
      </c>
      <c r="J25" s="1375">
        <f t="shared" si="9"/>
        <v>0</v>
      </c>
      <c r="K25" s="1375"/>
      <c r="L25" s="1377"/>
      <c r="M25" s="1376">
        <f t="shared" si="5"/>
        <v>0</v>
      </c>
      <c r="N25" s="1375">
        <f t="shared" si="6"/>
        <v>0</v>
      </c>
      <c r="O25" s="1376">
        <v>1</v>
      </c>
    </row>
    <row r="26" spans="1:15" s="955" customFormat="1">
      <c r="A26" s="197" t="s">
        <v>2167</v>
      </c>
      <c r="B26" s="198">
        <v>451</v>
      </c>
      <c r="C26" s="198">
        <v>4192145</v>
      </c>
      <c r="D26" s="973" t="s">
        <v>2168</v>
      </c>
      <c r="E26" s="974">
        <v>1833461.87</v>
      </c>
      <c r="F26" s="1034" t="s">
        <v>565</v>
      </c>
      <c r="G26" s="1375">
        <f t="shared" si="7"/>
        <v>1833461.87</v>
      </c>
      <c r="H26" s="1376">
        <v>0</v>
      </c>
      <c r="I26" s="1376">
        <f t="shared" si="8"/>
        <v>1833461.87</v>
      </c>
      <c r="J26" s="1375">
        <f t="shared" si="9"/>
        <v>0</v>
      </c>
      <c r="K26" s="1375"/>
      <c r="L26" s="1377"/>
      <c r="M26" s="1376">
        <f t="shared" si="5"/>
        <v>0</v>
      </c>
      <c r="N26" s="1375">
        <f t="shared" si="6"/>
        <v>0</v>
      </c>
      <c r="O26" s="1376">
        <v>1</v>
      </c>
    </row>
    <row r="27" spans="1:15" s="955" customFormat="1">
      <c r="A27" s="197" t="s">
        <v>2169</v>
      </c>
      <c r="B27" s="198">
        <v>451</v>
      </c>
      <c r="C27" s="198">
        <v>4192150</v>
      </c>
      <c r="D27" s="973" t="s">
        <v>2170</v>
      </c>
      <c r="E27" s="974">
        <v>13661</v>
      </c>
      <c r="F27" s="1034" t="s">
        <v>565</v>
      </c>
      <c r="G27" s="1375">
        <f>IF(F27=$G$2,E27,0)</f>
        <v>13661</v>
      </c>
      <c r="H27" s="1376">
        <v>0</v>
      </c>
      <c r="I27" s="1376">
        <f t="shared" si="8"/>
        <v>13661</v>
      </c>
      <c r="J27" s="1375">
        <f t="shared" si="9"/>
        <v>0</v>
      </c>
      <c r="K27" s="1375"/>
      <c r="L27" s="1377"/>
      <c r="M27" s="1376">
        <f>J27-L27</f>
        <v>0</v>
      </c>
      <c r="N27" s="1375">
        <f t="shared" si="6"/>
        <v>0</v>
      </c>
      <c r="O27" s="1376">
        <v>1</v>
      </c>
    </row>
    <row r="28" spans="1:15" s="14" customFormat="1">
      <c r="A28" s="890" t="s">
        <v>2683</v>
      </c>
      <c r="B28" s="198">
        <v>451</v>
      </c>
      <c r="C28" s="198" t="s">
        <v>2685</v>
      </c>
      <c r="D28" s="1255" t="s">
        <v>2474</v>
      </c>
      <c r="E28" s="297">
        <v>3946075</v>
      </c>
      <c r="F28" s="1034" t="s">
        <v>565</v>
      </c>
      <c r="G28" s="1375">
        <f t="shared" ref="G28:G29" si="10">IF(F28=$G$2,E28,0)</f>
        <v>3946075</v>
      </c>
      <c r="H28" s="1376">
        <v>0</v>
      </c>
      <c r="I28" s="1376">
        <f t="shared" ref="I28:I29" si="11">G28-H28</f>
        <v>3946075</v>
      </c>
      <c r="J28" s="1375">
        <f t="shared" ref="J28:J29" si="12">IF(F28=$J$2,E28,0)</f>
        <v>0</v>
      </c>
      <c r="K28" s="1375"/>
      <c r="L28" s="1379"/>
      <c r="M28" s="1376">
        <f t="shared" ref="M28:M29" si="13">J28-L28</f>
        <v>0</v>
      </c>
      <c r="N28" s="1375">
        <f t="shared" ref="N28:N29" si="14">IF(F28=$N$2,E28,0)</f>
        <v>0</v>
      </c>
      <c r="O28" s="1376">
        <v>1</v>
      </c>
    </row>
    <row r="29" spans="1:15" s="14" customFormat="1">
      <c r="A29" s="890" t="s">
        <v>2684</v>
      </c>
      <c r="B29" s="198">
        <v>451</v>
      </c>
      <c r="C29" s="198" t="s">
        <v>2686</v>
      </c>
      <c r="D29" s="1255" t="s">
        <v>2687</v>
      </c>
      <c r="E29" s="1374">
        <v>-562410</v>
      </c>
      <c r="F29" s="1034" t="s">
        <v>565</v>
      </c>
      <c r="G29" s="1375">
        <f t="shared" si="10"/>
        <v>-562410</v>
      </c>
      <c r="H29" s="1376">
        <v>0</v>
      </c>
      <c r="I29" s="1376">
        <f t="shared" si="11"/>
        <v>-562410</v>
      </c>
      <c r="J29" s="1375">
        <f t="shared" si="12"/>
        <v>0</v>
      </c>
      <c r="K29" s="1375"/>
      <c r="L29" s="1379"/>
      <c r="M29" s="1376">
        <f t="shared" si="13"/>
        <v>0</v>
      </c>
      <c r="N29" s="1375">
        <f t="shared" si="14"/>
        <v>0</v>
      </c>
      <c r="O29" s="1376">
        <v>1</v>
      </c>
    </row>
    <row r="30" spans="1:15" s="463" customFormat="1">
      <c r="A30" s="1343" t="s">
        <v>2777</v>
      </c>
      <c r="B30" s="1465">
        <v>451</v>
      </c>
      <c r="C30" s="1465" t="s">
        <v>2778</v>
      </c>
      <c r="D30" s="1466" t="s">
        <v>2779</v>
      </c>
      <c r="E30" s="1034">
        <v>84800</v>
      </c>
      <c r="F30" s="1034" t="s">
        <v>565</v>
      </c>
      <c r="G30" s="1384">
        <f t="shared" ref="G30:G34" si="15">IF(F30=$G$2,E30,0)</f>
        <v>84800</v>
      </c>
      <c r="H30" s="1385">
        <v>0</v>
      </c>
      <c r="I30" s="1385">
        <f t="shared" ref="I30:I34" si="16">G30-H30</f>
        <v>84800</v>
      </c>
      <c r="J30" s="1384">
        <f t="shared" ref="J30:J34" si="17">IF(F30=$J$2,E30,0)</f>
        <v>0</v>
      </c>
      <c r="K30" s="1384"/>
      <c r="L30" s="1377"/>
      <c r="M30" s="1385">
        <f t="shared" ref="M30:M34" si="18">J30-L30</f>
        <v>0</v>
      </c>
      <c r="N30" s="1384">
        <f t="shared" ref="N30:N34" si="19">IF(F30=$N$2,E30,0)</f>
        <v>0</v>
      </c>
      <c r="O30" s="1385">
        <v>1</v>
      </c>
    </row>
    <row r="31" spans="1:15" s="463" customFormat="1">
      <c r="A31" s="1445" t="s">
        <v>2886</v>
      </c>
      <c r="B31" s="1446">
        <v>451</v>
      </c>
      <c r="C31" s="1446">
        <v>4184531</v>
      </c>
      <c r="D31" s="1447" t="s">
        <v>2887</v>
      </c>
      <c r="E31" s="1034">
        <v>9300</v>
      </c>
      <c r="F31" s="974" t="s">
        <v>565</v>
      </c>
      <c r="G31" s="1373">
        <f t="shared" si="15"/>
        <v>9300</v>
      </c>
      <c r="H31" s="1377">
        <v>0</v>
      </c>
      <c r="I31" s="1377">
        <f t="shared" si="16"/>
        <v>9300</v>
      </c>
      <c r="J31" s="1373">
        <f t="shared" si="17"/>
        <v>0</v>
      </c>
      <c r="K31" s="1373"/>
      <c r="L31" s="1377"/>
      <c r="M31" s="1377">
        <f t="shared" si="18"/>
        <v>0</v>
      </c>
      <c r="N31" s="1373">
        <f t="shared" si="19"/>
        <v>0</v>
      </c>
      <c r="O31" s="1377">
        <v>1</v>
      </c>
    </row>
    <row r="32" spans="1:15" s="463" customFormat="1">
      <c r="A32" s="1445" t="s">
        <v>2888</v>
      </c>
      <c r="B32" s="1446">
        <v>451</v>
      </c>
      <c r="C32" s="1446">
        <v>4184532</v>
      </c>
      <c r="D32" s="1447" t="s">
        <v>2889</v>
      </c>
      <c r="E32" s="1034">
        <v>13150</v>
      </c>
      <c r="F32" s="974" t="s">
        <v>565</v>
      </c>
      <c r="G32" s="1373">
        <f t="shared" si="15"/>
        <v>13150</v>
      </c>
      <c r="H32" s="1377">
        <v>0</v>
      </c>
      <c r="I32" s="1377">
        <f t="shared" si="16"/>
        <v>13150</v>
      </c>
      <c r="J32" s="1373">
        <f t="shared" si="17"/>
        <v>0</v>
      </c>
      <c r="K32" s="1373"/>
      <c r="L32" s="1377"/>
      <c r="M32" s="1377">
        <f t="shared" si="18"/>
        <v>0</v>
      </c>
      <c r="N32" s="1373">
        <f t="shared" si="19"/>
        <v>0</v>
      </c>
      <c r="O32" s="1377">
        <v>1</v>
      </c>
    </row>
    <row r="33" spans="1:15" s="463" customFormat="1">
      <c r="A33" s="1445" t="s">
        <v>2890</v>
      </c>
      <c r="B33" s="1446">
        <v>451</v>
      </c>
      <c r="C33" s="1446">
        <v>4184534</v>
      </c>
      <c r="D33" s="1447" t="s">
        <v>2891</v>
      </c>
      <c r="E33" s="1034">
        <v>9000</v>
      </c>
      <c r="F33" s="974" t="s">
        <v>565</v>
      </c>
      <c r="G33" s="1373">
        <f t="shared" si="15"/>
        <v>9000</v>
      </c>
      <c r="H33" s="1377">
        <v>0</v>
      </c>
      <c r="I33" s="1377">
        <f t="shared" si="16"/>
        <v>9000</v>
      </c>
      <c r="J33" s="1373">
        <f t="shared" si="17"/>
        <v>0</v>
      </c>
      <c r="K33" s="1373"/>
      <c r="L33" s="1377"/>
      <c r="M33" s="1377">
        <f t="shared" si="18"/>
        <v>0</v>
      </c>
      <c r="N33" s="1373">
        <f t="shared" si="19"/>
        <v>0</v>
      </c>
      <c r="O33" s="1377">
        <v>1</v>
      </c>
    </row>
    <row r="34" spans="1:15" s="463" customFormat="1">
      <c r="A34" s="1445" t="s">
        <v>2892</v>
      </c>
      <c r="B34" s="1446">
        <v>451</v>
      </c>
      <c r="C34" s="1446">
        <v>4184535</v>
      </c>
      <c r="D34" s="1447" t="s">
        <v>2893</v>
      </c>
      <c r="E34" s="1034">
        <v>45000</v>
      </c>
      <c r="F34" s="974" t="s">
        <v>565</v>
      </c>
      <c r="G34" s="1373">
        <f t="shared" si="15"/>
        <v>45000</v>
      </c>
      <c r="H34" s="1377">
        <v>0</v>
      </c>
      <c r="I34" s="1377">
        <f t="shared" si="16"/>
        <v>45000</v>
      </c>
      <c r="J34" s="1373">
        <f t="shared" si="17"/>
        <v>0</v>
      </c>
      <c r="K34" s="1373"/>
      <c r="L34" s="1377"/>
      <c r="M34" s="1377">
        <f t="shared" si="18"/>
        <v>0</v>
      </c>
      <c r="N34" s="1373">
        <f t="shared" si="19"/>
        <v>0</v>
      </c>
      <c r="O34" s="1377">
        <v>1</v>
      </c>
    </row>
    <row r="35" spans="1:15" s="463" customFormat="1">
      <c r="A35" s="1445"/>
      <c r="B35" s="1446"/>
      <c r="C35" s="1446"/>
      <c r="D35" s="1447"/>
      <c r="E35" s="1034"/>
      <c r="F35" s="1034"/>
      <c r="G35" s="1467"/>
      <c r="H35" s="1468"/>
      <c r="I35" s="1468"/>
      <c r="J35" s="1467"/>
      <c r="K35" s="1383"/>
      <c r="L35" s="1377"/>
      <c r="M35" s="1468"/>
      <c r="N35" s="1467"/>
      <c r="O35" s="1468"/>
    </row>
    <row r="36" spans="1:15">
      <c r="A36" s="325"/>
      <c r="B36" s="322"/>
      <c r="C36" s="321"/>
      <c r="D36" s="704"/>
      <c r="E36" s="297"/>
      <c r="F36" s="297"/>
      <c r="G36" s="1374"/>
      <c r="H36" s="1379"/>
      <c r="I36" s="1379"/>
      <c r="J36" s="1374"/>
      <c r="K36" s="1374"/>
      <c r="L36" s="1379"/>
      <c r="M36" s="1379"/>
      <c r="N36" s="1374"/>
      <c r="O36" s="1379"/>
    </row>
    <row r="37" spans="1:15" ht="13">
      <c r="A37" s="202">
        <v>5</v>
      </c>
      <c r="B37" s="1523" t="s">
        <v>611</v>
      </c>
      <c r="C37" s="1524"/>
      <c r="D37" s="1525"/>
      <c r="E37" s="305">
        <f>SUM(E11:E36)</f>
        <v>12098590.93</v>
      </c>
      <c r="F37" s="314"/>
      <c r="G37" s="1380">
        <f>SUM(G11:G36)</f>
        <v>11169793.719999999</v>
      </c>
      <c r="H37" s="1381">
        <f>SUM(H11:H36)</f>
        <v>0</v>
      </c>
      <c r="I37" s="1380">
        <f>SUM(I11:I36)</f>
        <v>11169793.719999999</v>
      </c>
      <c r="J37" s="1380">
        <f>SUM(J11:J36)</f>
        <v>-35</v>
      </c>
      <c r="K37" s="1382"/>
      <c r="L37" s="1380">
        <f>SUM(L11:L36)</f>
        <v>0</v>
      </c>
      <c r="M37" s="1380">
        <f>SUM(M11:M36)</f>
        <v>-35</v>
      </c>
      <c r="N37" s="1380">
        <f>SUM(N11:N36)</f>
        <v>928832.21</v>
      </c>
      <c r="O37" s="1376"/>
    </row>
    <row r="38" spans="1:15" ht="25.5" customHeight="1">
      <c r="A38" s="202">
        <v>6</v>
      </c>
      <c r="B38" s="1543" t="s">
        <v>1223</v>
      </c>
      <c r="C38" s="1544"/>
      <c r="D38" s="1545"/>
      <c r="E38" s="1073">
        <v>12098591</v>
      </c>
      <c r="F38" s="304"/>
      <c r="G38" s="292"/>
      <c r="H38" s="209"/>
      <c r="I38" s="209"/>
      <c r="J38" s="292"/>
      <c r="K38" s="304"/>
      <c r="L38" s="292"/>
      <c r="M38" s="292"/>
      <c r="N38" s="304"/>
    </row>
    <row r="39" spans="1:15" ht="13">
      <c r="A39" s="211"/>
      <c r="B39" s="206"/>
      <c r="C39" s="207"/>
      <c r="D39" s="208"/>
      <c r="E39" s="292"/>
      <c r="F39" s="292"/>
      <c r="G39" s="292"/>
      <c r="H39" s="209"/>
      <c r="I39" s="209"/>
      <c r="J39" s="292"/>
      <c r="K39" s="304"/>
      <c r="L39" s="292"/>
      <c r="M39" s="292"/>
      <c r="N39" s="292"/>
    </row>
    <row r="40" spans="1:15">
      <c r="A40" s="1074" t="s">
        <v>2903</v>
      </c>
      <c r="B40" s="322">
        <v>453</v>
      </c>
      <c r="C40" s="321">
        <v>4183120</v>
      </c>
      <c r="D40" s="323" t="s">
        <v>2894</v>
      </c>
      <c r="E40" s="297">
        <v>566609.81000000006</v>
      </c>
      <c r="F40" s="297" t="s">
        <v>566</v>
      </c>
      <c r="G40" s="974">
        <f t="shared" ref="G40:G41" si="20">IF(F40=$G$2,E40,0)</f>
        <v>0</v>
      </c>
      <c r="H40" s="705">
        <v>0</v>
      </c>
      <c r="I40" s="705">
        <f>G40-H40</f>
        <v>0</v>
      </c>
      <c r="J40" s="974">
        <f t="shared" ref="J40:J41" si="21">IF(F40=$J$2,E40,0)</f>
        <v>566609.81000000006</v>
      </c>
      <c r="K40" s="975" t="s">
        <v>607</v>
      </c>
      <c r="L40" s="975">
        <v>0</v>
      </c>
      <c r="M40" s="705">
        <f>J40-L40</f>
        <v>566609.81000000006</v>
      </c>
      <c r="N40" s="974">
        <f>IF(F40=$N$2,E40,0)</f>
        <v>0</v>
      </c>
      <c r="O40" s="1076">
        <v>2</v>
      </c>
    </row>
    <row r="41" spans="1:15" s="955" customFormat="1">
      <c r="A41" s="1074" t="s">
        <v>2904</v>
      </c>
      <c r="B41" s="322">
        <v>453</v>
      </c>
      <c r="C41" s="321">
        <v>4183110</v>
      </c>
      <c r="D41" s="323" t="s">
        <v>2895</v>
      </c>
      <c r="E41" s="297">
        <v>1041628.67</v>
      </c>
      <c r="F41" s="297" t="s">
        <v>565</v>
      </c>
      <c r="G41" s="1373">
        <f t="shared" si="20"/>
        <v>1041628.67</v>
      </c>
      <c r="H41" s="1377">
        <v>0</v>
      </c>
      <c r="I41" s="1377">
        <f t="shared" ref="I41" si="22">G41-H41</f>
        <v>1041628.67</v>
      </c>
      <c r="J41" s="1373">
        <f t="shared" si="21"/>
        <v>0</v>
      </c>
      <c r="K41" s="974"/>
      <c r="L41" s="705"/>
      <c r="M41" s="1377">
        <f t="shared" ref="M41" si="23">J41-L41</f>
        <v>0</v>
      </c>
      <c r="N41" s="1373">
        <f t="shared" ref="N41" si="24">IF(F41=$N$2,E41,0)</f>
        <v>0</v>
      </c>
      <c r="O41" s="1076">
        <v>1</v>
      </c>
    </row>
    <row r="42" spans="1:15" s="955" customFormat="1">
      <c r="A42" s="325"/>
      <c r="B42" s="322"/>
      <c r="C42" s="321"/>
      <c r="D42" s="323"/>
      <c r="E42" s="297"/>
      <c r="F42" s="297"/>
      <c r="G42" s="301"/>
      <c r="H42" s="298"/>
      <c r="I42" s="299"/>
      <c r="J42" s="297"/>
      <c r="K42" s="297"/>
      <c r="L42" s="299"/>
      <c r="M42" s="299"/>
      <c r="N42" s="297"/>
      <c r="O42" s="298"/>
    </row>
    <row r="43" spans="1:15">
      <c r="A43" s="325"/>
      <c r="B43" s="322"/>
      <c r="C43" s="321"/>
      <c r="D43" s="323"/>
      <c r="E43" s="297"/>
      <c r="F43" s="297"/>
      <c r="G43" s="301"/>
      <c r="H43" s="298"/>
      <c r="I43" s="299"/>
      <c r="J43" s="297"/>
      <c r="K43" s="297"/>
      <c r="L43" s="299"/>
      <c r="M43" s="299"/>
      <c r="N43" s="297"/>
      <c r="O43" s="298"/>
    </row>
    <row r="44" spans="1:15" ht="13">
      <c r="A44" s="202">
        <v>8</v>
      </c>
      <c r="B44" s="1523" t="s">
        <v>612</v>
      </c>
      <c r="C44" s="1524"/>
      <c r="D44" s="1525"/>
      <c r="E44" s="305">
        <f>SUM(E40:E43)</f>
        <v>1608238.48</v>
      </c>
      <c r="F44" s="314"/>
      <c r="G44" s="305">
        <f>SUM(G40:G43)</f>
        <v>1041628.67</v>
      </c>
      <c r="H44" s="191">
        <f>SUM(H40:H43)</f>
        <v>0</v>
      </c>
      <c r="I44" s="305">
        <f>SUM(I40:I43)</f>
        <v>1041628.67</v>
      </c>
      <c r="J44" s="305">
        <f>SUM(J40:J43)</f>
        <v>566609.81000000006</v>
      </c>
      <c r="K44" s="314"/>
      <c r="L44" s="305">
        <f>SUM(L40:L43)</f>
        <v>0</v>
      </c>
      <c r="M44" s="305">
        <f>SUM(M40:M43)</f>
        <v>566609.81000000006</v>
      </c>
      <c r="N44" s="305">
        <f>SUM(N40:N43)</f>
        <v>0</v>
      </c>
      <c r="O44" s="191"/>
    </row>
    <row r="45" spans="1:15" ht="25.5" customHeight="1">
      <c r="A45" s="202">
        <v>9</v>
      </c>
      <c r="B45" s="1546" t="s">
        <v>1224</v>
      </c>
      <c r="C45" s="1539"/>
      <c r="D45" s="1539"/>
      <c r="E45" s="317">
        <v>1608238</v>
      </c>
      <c r="F45" s="304"/>
      <c r="G45" s="292"/>
      <c r="H45" s="209"/>
      <c r="I45" s="213"/>
      <c r="J45" s="292"/>
      <c r="K45" s="304"/>
      <c r="L45" s="292"/>
      <c r="M45" s="292"/>
      <c r="N45" s="292"/>
      <c r="O45" s="189"/>
    </row>
    <row r="46" spans="1:15" ht="13">
      <c r="A46" s="205"/>
      <c r="B46" s="206"/>
      <c r="C46" s="207"/>
      <c r="D46" s="208"/>
      <c r="E46" s="292"/>
      <c r="F46" s="292"/>
      <c r="G46" s="292"/>
      <c r="H46" s="209"/>
      <c r="I46" s="213"/>
      <c r="J46" s="292"/>
      <c r="K46" s="304"/>
      <c r="L46" s="292"/>
      <c r="M46" s="292"/>
      <c r="N46" s="292"/>
      <c r="O46" s="189"/>
    </row>
    <row r="47" spans="1:15">
      <c r="A47" s="202" t="s">
        <v>613</v>
      </c>
      <c r="B47" s="198">
        <v>454</v>
      </c>
      <c r="C47" s="199" t="s">
        <v>617</v>
      </c>
      <c r="D47" s="199" t="s">
        <v>618</v>
      </c>
      <c r="E47" s="974">
        <v>806917.25</v>
      </c>
      <c r="F47" s="974" t="s">
        <v>565</v>
      </c>
      <c r="G47" s="293">
        <f>IF(F47=$G$2,E47,0)</f>
        <v>806917.25</v>
      </c>
      <c r="H47" s="201">
        <v>0</v>
      </c>
      <c r="I47" s="201">
        <f>G47-H47</f>
        <v>806917.25</v>
      </c>
      <c r="J47" s="293">
        <f>IF(F47=$J$2,E47,0)</f>
        <v>0</v>
      </c>
      <c r="K47" s="293"/>
      <c r="L47" s="705"/>
      <c r="M47" s="201">
        <f>J47-L47</f>
        <v>0</v>
      </c>
      <c r="N47" s="293">
        <f>IF(F47=$N$2,E47,0)</f>
        <v>0</v>
      </c>
      <c r="O47" s="200">
        <v>4</v>
      </c>
    </row>
    <row r="48" spans="1:15">
      <c r="A48" s="202" t="s">
        <v>614</v>
      </c>
      <c r="B48" s="198">
        <v>454</v>
      </c>
      <c r="C48" s="203" t="s">
        <v>620</v>
      </c>
      <c r="D48" s="199" t="s">
        <v>621</v>
      </c>
      <c r="E48" s="974">
        <v>6509735.54</v>
      </c>
      <c r="F48" s="974" t="s">
        <v>565</v>
      </c>
      <c r="G48" s="293">
        <f>IF(F48=$G$2,E48,0)</f>
        <v>6509735.54</v>
      </c>
      <c r="H48" s="201">
        <v>0</v>
      </c>
      <c r="I48" s="201">
        <f>G48-H48</f>
        <v>6509735.54</v>
      </c>
      <c r="J48" s="293">
        <f t="shared" ref="J48:J59" si="25">IF(F48=$J$2,E48,0)</f>
        <v>0</v>
      </c>
      <c r="K48" s="293"/>
      <c r="L48" s="705"/>
      <c r="M48" s="201">
        <f t="shared" ref="M48:M50" si="26">J48-L48</f>
        <v>0</v>
      </c>
      <c r="N48" s="293">
        <f>IF(F48=$N$2,E48,0)</f>
        <v>0</v>
      </c>
      <c r="O48" s="200">
        <v>4</v>
      </c>
    </row>
    <row r="49" spans="1:15">
      <c r="A49" s="202" t="s">
        <v>615</v>
      </c>
      <c r="B49" s="198">
        <v>454</v>
      </c>
      <c r="C49" s="203" t="s">
        <v>623</v>
      </c>
      <c r="D49" s="199" t="s">
        <v>624</v>
      </c>
      <c r="E49" s="974">
        <v>1293119.76</v>
      </c>
      <c r="F49" s="974" t="s">
        <v>565</v>
      </c>
      <c r="G49" s="293">
        <f>IF(F49=$G$2,E49,0)</f>
        <v>1293119.76</v>
      </c>
      <c r="H49" s="201">
        <v>0</v>
      </c>
      <c r="I49" s="201">
        <f>G49-H49</f>
        <v>1293119.76</v>
      </c>
      <c r="J49" s="293">
        <f t="shared" si="25"/>
        <v>0</v>
      </c>
      <c r="K49" s="293"/>
      <c r="L49" s="705"/>
      <c r="M49" s="201">
        <f t="shared" si="26"/>
        <v>0</v>
      </c>
      <c r="N49" s="293">
        <f>IF(F49=$N$2,E49,0)</f>
        <v>0</v>
      </c>
      <c r="O49" s="200">
        <v>4</v>
      </c>
    </row>
    <row r="50" spans="1:15">
      <c r="A50" s="1087" t="s">
        <v>616</v>
      </c>
      <c r="B50" s="198">
        <v>454</v>
      </c>
      <c r="C50" s="214">
        <v>4184120</v>
      </c>
      <c r="D50" s="199" t="s">
        <v>1368</v>
      </c>
      <c r="E50" s="974">
        <v>1763500</v>
      </c>
      <c r="F50" s="974" t="s">
        <v>565</v>
      </c>
      <c r="G50" s="293">
        <f>IF(F50=$G$2,E50,0)</f>
        <v>1763500</v>
      </c>
      <c r="H50" s="201">
        <v>0</v>
      </c>
      <c r="I50" s="201">
        <f>G50-H50</f>
        <v>1763500</v>
      </c>
      <c r="J50" s="293">
        <f t="shared" si="25"/>
        <v>0</v>
      </c>
      <c r="K50" s="293"/>
      <c r="L50" s="705"/>
      <c r="M50" s="201">
        <f t="shared" si="26"/>
        <v>0</v>
      </c>
      <c r="N50" s="293">
        <f>IF(F50=$N$2,E50,0)</f>
        <v>0</v>
      </c>
      <c r="O50" s="200">
        <v>4</v>
      </c>
    </row>
    <row r="51" spans="1:15">
      <c r="A51" s="1086" t="s">
        <v>619</v>
      </c>
      <c r="B51" s="198">
        <v>454</v>
      </c>
      <c r="C51" s="203" t="s">
        <v>628</v>
      </c>
      <c r="D51" s="199" t="s">
        <v>629</v>
      </c>
      <c r="E51" s="974">
        <v>282235.03999999998</v>
      </c>
      <c r="F51" s="974" t="s">
        <v>566</v>
      </c>
      <c r="G51" s="293">
        <f t="shared" ref="G51:G57" si="27">IF(F51=$G$2,E51,0)</f>
        <v>0</v>
      </c>
      <c r="H51" s="201">
        <v>0</v>
      </c>
      <c r="I51" s="201">
        <f>G51-H51</f>
        <v>0</v>
      </c>
      <c r="J51" s="293">
        <f t="shared" si="25"/>
        <v>282235.03999999998</v>
      </c>
      <c r="K51" s="330" t="s">
        <v>607</v>
      </c>
      <c r="L51" s="975">
        <v>59680.321338987102</v>
      </c>
      <c r="M51" s="201">
        <f>J51-L51</f>
        <v>222554.71866101288</v>
      </c>
      <c r="N51" s="293">
        <f>IF(F51=$N$2,E51,0)</f>
        <v>0</v>
      </c>
      <c r="O51" s="200">
        <v>2</v>
      </c>
    </row>
    <row r="52" spans="1:15">
      <c r="A52" s="202" t="s">
        <v>622</v>
      </c>
      <c r="B52" s="198">
        <v>454</v>
      </c>
      <c r="C52" s="203" t="s">
        <v>631</v>
      </c>
      <c r="D52" s="199" t="s">
        <v>632</v>
      </c>
      <c r="E52" s="974">
        <v>44613.36</v>
      </c>
      <c r="F52" s="974" t="s">
        <v>566</v>
      </c>
      <c r="G52" s="293">
        <f t="shared" si="27"/>
        <v>0</v>
      </c>
      <c r="H52" s="201">
        <v>0</v>
      </c>
      <c r="I52" s="201">
        <f t="shared" ref="I52:I54" si="28">G52-H52</f>
        <v>0</v>
      </c>
      <c r="J52" s="293">
        <f t="shared" si="25"/>
        <v>44613.36</v>
      </c>
      <c r="K52" s="330" t="s">
        <v>607</v>
      </c>
      <c r="L52" s="975">
        <v>14554.870138128401</v>
      </c>
      <c r="M52" s="201">
        <f>J52-L52</f>
        <v>30058.4898618716</v>
      </c>
      <c r="N52" s="293">
        <f t="shared" ref="N52:N57" si="29">IF(F52=$N$2,E52,0)</f>
        <v>0</v>
      </c>
      <c r="O52" s="200">
        <v>2</v>
      </c>
    </row>
    <row r="53" spans="1:15">
      <c r="A53" s="202" t="s">
        <v>625</v>
      </c>
      <c r="B53" s="198">
        <v>454</v>
      </c>
      <c r="C53" s="203" t="s">
        <v>634</v>
      </c>
      <c r="D53" s="199" t="s">
        <v>635</v>
      </c>
      <c r="E53" s="974"/>
      <c r="F53" s="974" t="s">
        <v>566</v>
      </c>
      <c r="G53" s="293">
        <f t="shared" si="27"/>
        <v>0</v>
      </c>
      <c r="H53" s="201">
        <v>0</v>
      </c>
      <c r="I53" s="201">
        <f t="shared" si="28"/>
        <v>0</v>
      </c>
      <c r="J53" s="293">
        <f t="shared" si="25"/>
        <v>0</v>
      </c>
      <c r="K53" s="330" t="s">
        <v>607</v>
      </c>
      <c r="L53" s="975"/>
      <c r="M53" s="201">
        <f>J53-L53</f>
        <v>0</v>
      </c>
      <c r="N53" s="293">
        <f t="shared" si="29"/>
        <v>0</v>
      </c>
      <c r="O53" s="200">
        <v>2</v>
      </c>
    </row>
    <row r="54" spans="1:15">
      <c r="A54" s="202" t="s">
        <v>626</v>
      </c>
      <c r="B54" s="198">
        <v>454</v>
      </c>
      <c r="C54" s="214" t="s">
        <v>637</v>
      </c>
      <c r="D54" s="199" t="s">
        <v>638</v>
      </c>
      <c r="E54" s="974">
        <v>8328.32</v>
      </c>
      <c r="F54" s="974" t="s">
        <v>566</v>
      </c>
      <c r="G54" s="293">
        <f t="shared" si="27"/>
        <v>0</v>
      </c>
      <c r="H54" s="201">
        <v>0</v>
      </c>
      <c r="I54" s="201">
        <f t="shared" si="28"/>
        <v>0</v>
      </c>
      <c r="J54" s="293">
        <f t="shared" si="25"/>
        <v>8328.32</v>
      </c>
      <c r="K54" s="330" t="s">
        <v>607</v>
      </c>
      <c r="L54" s="1254">
        <v>2288.5917887616001</v>
      </c>
      <c r="M54" s="201">
        <f t="shared" ref="M54:M72" si="30">J54-L54</f>
        <v>6039.7282112384</v>
      </c>
      <c r="N54" s="293">
        <f t="shared" si="29"/>
        <v>0</v>
      </c>
      <c r="O54" s="200">
        <v>2</v>
      </c>
    </row>
    <row r="55" spans="1:15">
      <c r="A55" s="202" t="s">
        <v>627</v>
      </c>
      <c r="B55" s="198">
        <v>454</v>
      </c>
      <c r="C55" s="199" t="s">
        <v>640</v>
      </c>
      <c r="D55" s="199" t="s">
        <v>1220</v>
      </c>
      <c r="E55" s="1373">
        <v>-480842.67</v>
      </c>
      <c r="F55" s="974" t="s">
        <v>565</v>
      </c>
      <c r="G55" s="293">
        <f>IF(F55=$G$2,E55,0)</f>
        <v>-480842.67</v>
      </c>
      <c r="H55" s="201">
        <v>0</v>
      </c>
      <c r="I55" s="201">
        <f>G55-H55</f>
        <v>-480842.67</v>
      </c>
      <c r="J55" s="293">
        <f>IF(F55=$J$2,E55,0)</f>
        <v>0</v>
      </c>
      <c r="K55" s="293"/>
      <c r="L55" s="705"/>
      <c r="M55" s="201">
        <f t="shared" si="30"/>
        <v>0</v>
      </c>
      <c r="N55" s="293">
        <f t="shared" si="29"/>
        <v>0</v>
      </c>
      <c r="O55" s="200">
        <v>4</v>
      </c>
    </row>
    <row r="56" spans="1:15">
      <c r="A56" s="202" t="s">
        <v>630</v>
      </c>
      <c r="B56" s="198">
        <v>454</v>
      </c>
      <c r="C56" s="203" t="s">
        <v>642</v>
      </c>
      <c r="D56" s="199" t="s">
        <v>643</v>
      </c>
      <c r="E56" s="974">
        <v>47504.65</v>
      </c>
      <c r="F56" s="974" t="s">
        <v>567</v>
      </c>
      <c r="G56" s="293">
        <f>I56+H56</f>
        <v>2893.0331850000002</v>
      </c>
      <c r="H56" s="201">
        <f>E56*$D$267</f>
        <v>2893.0331850000002</v>
      </c>
      <c r="I56" s="201">
        <v>0</v>
      </c>
      <c r="J56" s="293">
        <f t="shared" si="25"/>
        <v>0</v>
      </c>
      <c r="K56" s="293"/>
      <c r="L56" s="705"/>
      <c r="M56" s="201">
        <f>J56-L56</f>
        <v>0</v>
      </c>
      <c r="N56" s="293">
        <f>IF(F56=$N$2,E56-H56,0)</f>
        <v>44611.616815000001</v>
      </c>
      <c r="O56" s="200" t="s">
        <v>644</v>
      </c>
    </row>
    <row r="57" spans="1:15">
      <c r="A57" s="202" t="s">
        <v>633</v>
      </c>
      <c r="B57" s="198">
        <v>454</v>
      </c>
      <c r="C57" s="203" t="s">
        <v>646</v>
      </c>
      <c r="D57" s="199" t="s">
        <v>647</v>
      </c>
      <c r="E57" s="974"/>
      <c r="F57" s="974" t="s">
        <v>565</v>
      </c>
      <c r="G57" s="293">
        <f t="shared" si="27"/>
        <v>0</v>
      </c>
      <c r="H57" s="201">
        <f>E57*$D$267</f>
        <v>0</v>
      </c>
      <c r="I57" s="201">
        <f>G57-H57</f>
        <v>0</v>
      </c>
      <c r="J57" s="293">
        <f t="shared" si="25"/>
        <v>0</v>
      </c>
      <c r="K57" s="293"/>
      <c r="L57" s="705"/>
      <c r="M57" s="201">
        <f t="shared" si="30"/>
        <v>0</v>
      </c>
      <c r="N57" s="293">
        <f t="shared" si="29"/>
        <v>0</v>
      </c>
      <c r="O57" s="200">
        <v>7</v>
      </c>
    </row>
    <row r="58" spans="1:15">
      <c r="A58" s="202" t="s">
        <v>636</v>
      </c>
      <c r="B58" s="198">
        <v>454</v>
      </c>
      <c r="C58" s="199" t="s">
        <v>649</v>
      </c>
      <c r="D58" s="199" t="s">
        <v>650</v>
      </c>
      <c r="E58" s="974">
        <v>1340461.1599999999</v>
      </c>
      <c r="F58" s="974" t="s">
        <v>567</v>
      </c>
      <c r="G58" s="293">
        <f>I58+H58</f>
        <v>81634.084644000002</v>
      </c>
      <c r="H58" s="201">
        <f>E58*$D$267</f>
        <v>81634.084644000002</v>
      </c>
      <c r="I58" s="201">
        <v>0</v>
      </c>
      <c r="J58" s="293">
        <f>IF(F58=$J$2,E58,0)</f>
        <v>0</v>
      </c>
      <c r="K58" s="293"/>
      <c r="L58" s="705"/>
      <c r="M58" s="201">
        <f>J58-L58</f>
        <v>0</v>
      </c>
      <c r="N58" s="293">
        <f>IF(F58=$N$2,E58-H58,0)</f>
        <v>1258827.0753559999</v>
      </c>
      <c r="O58" s="200" t="s">
        <v>644</v>
      </c>
    </row>
    <row r="59" spans="1:15">
      <c r="A59" s="202" t="s">
        <v>639</v>
      </c>
      <c r="B59" s="198">
        <v>454</v>
      </c>
      <c r="C59" s="203" t="s">
        <v>652</v>
      </c>
      <c r="D59" s="199" t="s">
        <v>653</v>
      </c>
      <c r="E59" s="974"/>
      <c r="F59" s="974" t="s">
        <v>565</v>
      </c>
      <c r="G59" s="293">
        <f>I59+H59</f>
        <v>0</v>
      </c>
      <c r="H59" s="201">
        <f>E59*$D$261</f>
        <v>0</v>
      </c>
      <c r="I59" s="201">
        <v>0</v>
      </c>
      <c r="J59" s="293">
        <f t="shared" si="25"/>
        <v>0</v>
      </c>
      <c r="K59" s="293"/>
      <c r="L59" s="705"/>
      <c r="M59" s="201">
        <f t="shared" si="30"/>
        <v>0</v>
      </c>
      <c r="N59" s="293">
        <f t="shared" ref="N59:N70" si="31">IF(F59=$N$2,E59,0)</f>
        <v>0</v>
      </c>
      <c r="O59" s="200">
        <v>7</v>
      </c>
    </row>
    <row r="60" spans="1:15">
      <c r="A60" s="202" t="s">
        <v>641</v>
      </c>
      <c r="B60" s="198">
        <v>454</v>
      </c>
      <c r="C60" s="203" t="s">
        <v>655</v>
      </c>
      <c r="D60" s="199" t="s">
        <v>656</v>
      </c>
      <c r="E60" s="974"/>
      <c r="F60" s="974" t="s">
        <v>565</v>
      </c>
      <c r="G60" s="293">
        <f t="shared" ref="G60:G70" si="32">IF(F60=$G$2,E60,0)</f>
        <v>0</v>
      </c>
      <c r="H60" s="201">
        <v>0</v>
      </c>
      <c r="I60" s="201">
        <f t="shared" ref="I60:I65" si="33">G60-H60</f>
        <v>0</v>
      </c>
      <c r="J60" s="293">
        <f t="shared" ref="J60:J71" si="34">IF(F60=$J$2,E60,0)</f>
        <v>0</v>
      </c>
      <c r="K60" s="293"/>
      <c r="L60" s="705"/>
      <c r="M60" s="201">
        <f t="shared" si="30"/>
        <v>0</v>
      </c>
      <c r="N60" s="293">
        <f t="shared" si="31"/>
        <v>0</v>
      </c>
      <c r="O60" s="200">
        <v>1</v>
      </c>
    </row>
    <row r="61" spans="1:15">
      <c r="A61" s="202" t="s">
        <v>645</v>
      </c>
      <c r="B61" s="198">
        <v>454</v>
      </c>
      <c r="C61" s="203" t="s">
        <v>658</v>
      </c>
      <c r="D61" s="199" t="s">
        <v>659</v>
      </c>
      <c r="E61" s="974">
        <v>11396044.6</v>
      </c>
      <c r="F61" s="974" t="s">
        <v>565</v>
      </c>
      <c r="G61" s="293">
        <f t="shared" si="32"/>
        <v>11396044.6</v>
      </c>
      <c r="H61" s="201">
        <v>0</v>
      </c>
      <c r="I61" s="201">
        <f>G61-H61</f>
        <v>11396044.6</v>
      </c>
      <c r="J61" s="293">
        <f t="shared" si="34"/>
        <v>0</v>
      </c>
      <c r="K61" s="293"/>
      <c r="L61" s="705"/>
      <c r="M61" s="201">
        <f t="shared" si="30"/>
        <v>0</v>
      </c>
      <c r="N61" s="293">
        <f t="shared" si="31"/>
        <v>0</v>
      </c>
      <c r="O61" s="200">
        <v>4</v>
      </c>
    </row>
    <row r="62" spans="1:15">
      <c r="A62" s="202" t="s">
        <v>648</v>
      </c>
      <c r="B62" s="198">
        <v>454</v>
      </c>
      <c r="C62" s="203" t="s">
        <v>661</v>
      </c>
      <c r="D62" s="199" t="s">
        <v>662</v>
      </c>
      <c r="E62" s="974">
        <v>532166.59</v>
      </c>
      <c r="F62" s="974" t="s">
        <v>565</v>
      </c>
      <c r="G62" s="293">
        <f t="shared" si="32"/>
        <v>532166.59</v>
      </c>
      <c r="H62" s="201">
        <v>0</v>
      </c>
      <c r="I62" s="201">
        <f>G62-H62</f>
        <v>532166.59</v>
      </c>
      <c r="J62" s="293">
        <f t="shared" si="34"/>
        <v>0</v>
      </c>
      <c r="K62" s="293"/>
      <c r="L62" s="705"/>
      <c r="M62" s="201">
        <f t="shared" si="30"/>
        <v>0</v>
      </c>
      <c r="N62" s="293">
        <f t="shared" si="31"/>
        <v>0</v>
      </c>
      <c r="O62" s="200">
        <v>4</v>
      </c>
    </row>
    <row r="63" spans="1:15">
      <c r="A63" s="202" t="s">
        <v>651</v>
      </c>
      <c r="B63" s="198">
        <v>454</v>
      </c>
      <c r="C63" s="203" t="s">
        <v>664</v>
      </c>
      <c r="D63" s="199" t="s">
        <v>665</v>
      </c>
      <c r="E63" s="974">
        <v>19497021.199999999</v>
      </c>
      <c r="F63" s="974" t="s">
        <v>565</v>
      </c>
      <c r="G63" s="293">
        <f t="shared" si="32"/>
        <v>19497021.199999999</v>
      </c>
      <c r="H63" s="201">
        <v>0</v>
      </c>
      <c r="I63" s="201">
        <f>G63-H63</f>
        <v>19497021.199999999</v>
      </c>
      <c r="J63" s="293">
        <f t="shared" si="34"/>
        <v>0</v>
      </c>
      <c r="K63" s="293"/>
      <c r="L63" s="705"/>
      <c r="M63" s="201">
        <f t="shared" si="30"/>
        <v>0</v>
      </c>
      <c r="N63" s="293">
        <f t="shared" si="31"/>
        <v>0</v>
      </c>
      <c r="O63" s="200">
        <v>4</v>
      </c>
    </row>
    <row r="64" spans="1:15">
      <c r="A64" s="202" t="s">
        <v>654</v>
      </c>
      <c r="B64" s="198">
        <v>454</v>
      </c>
      <c r="C64" s="203" t="s">
        <v>667</v>
      </c>
      <c r="D64" s="199" t="s">
        <v>668</v>
      </c>
      <c r="E64" s="974">
        <v>11003379.5</v>
      </c>
      <c r="F64" s="974" t="s">
        <v>565</v>
      </c>
      <c r="G64" s="293">
        <f t="shared" si="32"/>
        <v>11003379.5</v>
      </c>
      <c r="H64" s="1377">
        <v>2866540.7922</v>
      </c>
      <c r="I64" s="201">
        <f>G64-H64</f>
        <v>8136838.7078</v>
      </c>
      <c r="J64" s="293">
        <f t="shared" si="34"/>
        <v>0</v>
      </c>
      <c r="K64" s="293"/>
      <c r="L64" s="705"/>
      <c r="M64" s="201">
        <f t="shared" si="30"/>
        <v>0</v>
      </c>
      <c r="N64" s="293">
        <f t="shared" si="31"/>
        <v>0</v>
      </c>
      <c r="O64" s="200">
        <v>8</v>
      </c>
    </row>
    <row r="65" spans="1:15">
      <c r="A65" s="202" t="s">
        <v>657</v>
      </c>
      <c r="B65" s="198">
        <v>454</v>
      </c>
      <c r="C65" s="199" t="s">
        <v>670</v>
      </c>
      <c r="D65" s="199" t="s">
        <v>671</v>
      </c>
      <c r="E65" s="974">
        <v>22769302.899999999</v>
      </c>
      <c r="F65" s="974" t="s">
        <v>566</v>
      </c>
      <c r="G65" s="293">
        <f t="shared" si="32"/>
        <v>0</v>
      </c>
      <c r="H65" s="201">
        <v>0</v>
      </c>
      <c r="I65" s="201">
        <f t="shared" si="33"/>
        <v>0</v>
      </c>
      <c r="J65" s="293">
        <f t="shared" si="34"/>
        <v>22769302.899999999</v>
      </c>
      <c r="K65" s="330" t="s">
        <v>607</v>
      </c>
      <c r="L65" s="975">
        <v>4546791.8685539598</v>
      </c>
      <c r="M65" s="201">
        <f t="shared" ref="M65:M70" si="35">J65-L65</f>
        <v>18222511.03144604</v>
      </c>
      <c r="N65" s="293">
        <f t="shared" si="31"/>
        <v>0</v>
      </c>
      <c r="O65" s="200">
        <v>2</v>
      </c>
    </row>
    <row r="66" spans="1:15">
      <c r="A66" s="202" t="s">
        <v>660</v>
      </c>
      <c r="B66" s="198">
        <v>454</v>
      </c>
      <c r="C66" s="203" t="s">
        <v>672</v>
      </c>
      <c r="D66" s="199" t="s">
        <v>673</v>
      </c>
      <c r="E66" s="974"/>
      <c r="F66" s="974" t="s">
        <v>565</v>
      </c>
      <c r="G66" s="293">
        <f t="shared" si="32"/>
        <v>0</v>
      </c>
      <c r="H66" s="201">
        <v>0</v>
      </c>
      <c r="I66" s="201">
        <f>G66-H66</f>
        <v>0</v>
      </c>
      <c r="J66" s="293">
        <f t="shared" si="34"/>
        <v>0</v>
      </c>
      <c r="K66" s="293"/>
      <c r="L66" s="705"/>
      <c r="M66" s="201">
        <f t="shared" si="35"/>
        <v>0</v>
      </c>
      <c r="N66" s="293">
        <f t="shared" si="31"/>
        <v>0</v>
      </c>
      <c r="O66" s="200">
        <v>4</v>
      </c>
    </row>
    <row r="67" spans="1:15">
      <c r="A67" s="202" t="s">
        <v>663</v>
      </c>
      <c r="B67" s="198">
        <v>454</v>
      </c>
      <c r="C67" s="197" t="s">
        <v>1371</v>
      </c>
      <c r="D67" s="199" t="s">
        <v>1370</v>
      </c>
      <c r="E67" s="974"/>
      <c r="F67" s="974" t="s">
        <v>565</v>
      </c>
      <c r="G67" s="293">
        <f t="shared" si="32"/>
        <v>0</v>
      </c>
      <c r="H67" s="201">
        <v>0</v>
      </c>
      <c r="I67" s="201">
        <f>G67-H67</f>
        <v>0</v>
      </c>
      <c r="J67" s="293">
        <f t="shared" si="34"/>
        <v>0</v>
      </c>
      <c r="K67" s="293"/>
      <c r="L67" s="705"/>
      <c r="M67" s="201">
        <f t="shared" si="35"/>
        <v>0</v>
      </c>
      <c r="N67" s="293">
        <f t="shared" si="31"/>
        <v>0</v>
      </c>
      <c r="O67" s="200">
        <v>1</v>
      </c>
    </row>
    <row r="68" spans="1:15">
      <c r="A68" s="202" t="s">
        <v>666</v>
      </c>
      <c r="B68" s="198">
        <v>454</v>
      </c>
      <c r="C68" s="198">
        <v>4206515</v>
      </c>
      <c r="D68" s="215" t="s">
        <v>2051</v>
      </c>
      <c r="E68" s="974">
        <v>1552731.3</v>
      </c>
      <c r="F68" s="974" t="s">
        <v>566</v>
      </c>
      <c r="G68" s="293">
        <f t="shared" si="32"/>
        <v>0</v>
      </c>
      <c r="H68" s="201">
        <v>0</v>
      </c>
      <c r="I68" s="887">
        <f>G68-H68</f>
        <v>0</v>
      </c>
      <c r="J68" s="888">
        <f t="shared" si="34"/>
        <v>1552731.3</v>
      </c>
      <c r="K68" s="888" t="s">
        <v>607</v>
      </c>
      <c r="L68" s="705">
        <v>1147070.8805553999</v>
      </c>
      <c r="M68" s="201">
        <f t="shared" si="35"/>
        <v>405660.41944460012</v>
      </c>
      <c r="N68" s="293">
        <f t="shared" si="31"/>
        <v>0</v>
      </c>
      <c r="O68" s="200">
        <v>2</v>
      </c>
    </row>
    <row r="69" spans="1:15">
      <c r="A69" s="202" t="s">
        <v>669</v>
      </c>
      <c r="B69" s="198">
        <v>454</v>
      </c>
      <c r="C69" s="198">
        <v>4184122</v>
      </c>
      <c r="D69" s="215" t="s">
        <v>2053</v>
      </c>
      <c r="E69" s="974"/>
      <c r="F69" s="974" t="s">
        <v>565</v>
      </c>
      <c r="G69" s="293">
        <f t="shared" si="32"/>
        <v>0</v>
      </c>
      <c r="H69" s="201">
        <v>0</v>
      </c>
      <c r="I69" s="887">
        <f>G69-H69</f>
        <v>0</v>
      </c>
      <c r="J69" s="888">
        <f t="shared" si="34"/>
        <v>0</v>
      </c>
      <c r="K69" s="293"/>
      <c r="L69" s="705"/>
      <c r="M69" s="201">
        <f t="shared" si="35"/>
        <v>0</v>
      </c>
      <c r="N69" s="293">
        <f t="shared" si="31"/>
        <v>0</v>
      </c>
      <c r="O69" s="200">
        <v>4</v>
      </c>
    </row>
    <row r="70" spans="1:15">
      <c r="A70" s="197" t="s">
        <v>2050</v>
      </c>
      <c r="B70" s="198">
        <v>454</v>
      </c>
      <c r="C70" s="198">
        <v>4184124</v>
      </c>
      <c r="D70" s="215" t="s">
        <v>2055</v>
      </c>
      <c r="E70" s="974">
        <v>81401.820000000007</v>
      </c>
      <c r="F70" s="974" t="s">
        <v>565</v>
      </c>
      <c r="G70" s="293">
        <f t="shared" si="32"/>
        <v>81401.820000000007</v>
      </c>
      <c r="H70" s="201">
        <v>0</v>
      </c>
      <c r="I70" s="887">
        <f>G70-H70</f>
        <v>81401.820000000007</v>
      </c>
      <c r="J70" s="888">
        <f t="shared" si="34"/>
        <v>0</v>
      </c>
      <c r="K70" s="293"/>
      <c r="L70" s="705"/>
      <c r="M70" s="201">
        <f t="shared" si="35"/>
        <v>0</v>
      </c>
      <c r="N70" s="293">
        <f t="shared" si="31"/>
        <v>0</v>
      </c>
      <c r="O70" s="200">
        <v>4</v>
      </c>
    </row>
    <row r="71" spans="1:15">
      <c r="A71" s="890" t="s">
        <v>2052</v>
      </c>
      <c r="B71" s="1118">
        <v>454</v>
      </c>
      <c r="C71" s="1118">
        <v>4184821</v>
      </c>
      <c r="D71" s="1117" t="s">
        <v>2378</v>
      </c>
      <c r="E71" s="974">
        <v>86928.01</v>
      </c>
      <c r="F71" s="974" t="s">
        <v>567</v>
      </c>
      <c r="G71" s="293">
        <f>I71+H71</f>
        <v>5293.9158090000001</v>
      </c>
      <c r="H71" s="201">
        <f>E71*$D$267</f>
        <v>5293.9158090000001</v>
      </c>
      <c r="I71" s="201">
        <v>0</v>
      </c>
      <c r="J71" s="293">
        <f t="shared" si="34"/>
        <v>0</v>
      </c>
      <c r="K71" s="293"/>
      <c r="L71" s="705"/>
      <c r="M71" s="201">
        <f t="shared" si="30"/>
        <v>0</v>
      </c>
      <c r="N71" s="293">
        <f>IF(F71=$N$2,E71-H71,0)</f>
        <v>81634.094190999996</v>
      </c>
      <c r="O71" s="542" t="s">
        <v>644</v>
      </c>
    </row>
    <row r="72" spans="1:15" s="955" customFormat="1">
      <c r="A72" s="890" t="s">
        <v>2054</v>
      </c>
      <c r="B72" s="1118">
        <v>454</v>
      </c>
      <c r="C72" s="1118">
        <v>4184811</v>
      </c>
      <c r="D72" s="1117" t="s">
        <v>2379</v>
      </c>
      <c r="E72" s="974">
        <v>732372.56</v>
      </c>
      <c r="F72" s="974" t="s">
        <v>567</v>
      </c>
      <c r="G72" s="293">
        <f>I72+H72</f>
        <v>44601.488904000005</v>
      </c>
      <c r="H72" s="201">
        <f>E72*$D$267</f>
        <v>44601.488904000005</v>
      </c>
      <c r="I72" s="201">
        <v>0</v>
      </c>
      <c r="J72" s="888">
        <f t="shared" ref="J72" si="36">IF(F72=$J$2,E72,0)</f>
        <v>0</v>
      </c>
      <c r="K72" s="293"/>
      <c r="L72" s="705"/>
      <c r="M72" s="201">
        <f t="shared" si="30"/>
        <v>0</v>
      </c>
      <c r="N72" s="293">
        <f t="shared" ref="N72" si="37">IF(F72=$N$2,E72-H72,0)</f>
        <v>687771.07109600003</v>
      </c>
      <c r="O72" s="542" t="s">
        <v>644</v>
      </c>
    </row>
    <row r="73" spans="1:15" s="955" customFormat="1">
      <c r="A73" s="890" t="s">
        <v>2475</v>
      </c>
      <c r="B73" s="1118">
        <v>454</v>
      </c>
      <c r="C73" s="1118">
        <v>4184515</v>
      </c>
      <c r="D73" s="1117" t="s">
        <v>2474</v>
      </c>
      <c r="E73" s="974"/>
      <c r="F73" s="974" t="s">
        <v>567</v>
      </c>
      <c r="G73" s="293">
        <f>IF(F73=$G$2,E73,0)</f>
        <v>0</v>
      </c>
      <c r="H73" s="201">
        <v>0</v>
      </c>
      <c r="I73" s="201">
        <f>G73-H73</f>
        <v>0</v>
      </c>
      <c r="J73" s="888">
        <f>IF(F73=$J$2,E73,0)</f>
        <v>0</v>
      </c>
      <c r="K73" s="293"/>
      <c r="L73" s="705"/>
      <c r="M73" s="201">
        <f>J73-L73</f>
        <v>0</v>
      </c>
      <c r="N73" s="293">
        <f>IF(F73=$N$2,E73-H73,0)</f>
        <v>0</v>
      </c>
      <c r="O73" s="542">
        <v>6</v>
      </c>
    </row>
    <row r="74" spans="1:15" s="955" customFormat="1">
      <c r="A74" s="890" t="s">
        <v>2658</v>
      </c>
      <c r="B74" s="1118">
        <v>454</v>
      </c>
      <c r="C74" s="1336">
        <v>4184126</v>
      </c>
      <c r="D74" s="1337" t="s">
        <v>2660</v>
      </c>
      <c r="E74" s="974">
        <v>1675736</v>
      </c>
      <c r="F74" s="1340" t="s">
        <v>565</v>
      </c>
      <c r="G74" s="293">
        <f>IF(F74=$G$2,E74,0)</f>
        <v>1675736</v>
      </c>
      <c r="H74" s="201">
        <v>0</v>
      </c>
      <c r="I74" s="201">
        <f>G74-H74</f>
        <v>1675736</v>
      </c>
      <c r="J74" s="888">
        <f>IF(F74=$J$2,E74,0)</f>
        <v>0</v>
      </c>
      <c r="K74" s="293"/>
      <c r="L74" s="705"/>
      <c r="M74" s="201">
        <f t="shared" ref="M74:M77" si="38">J74-L74</f>
        <v>0</v>
      </c>
      <c r="N74" s="293">
        <f t="shared" ref="N74:N75" si="39">IF(F74=$N$2,E74-H74,0)</f>
        <v>0</v>
      </c>
      <c r="O74" s="542">
        <v>4</v>
      </c>
    </row>
    <row r="75" spans="1:15" s="955" customFormat="1">
      <c r="A75" s="890" t="s">
        <v>2659</v>
      </c>
      <c r="B75" s="1118">
        <v>454</v>
      </c>
      <c r="C75" s="1338">
        <v>4184526</v>
      </c>
      <c r="D75" s="1337" t="s">
        <v>2661</v>
      </c>
      <c r="E75" s="974">
        <v>10440</v>
      </c>
      <c r="F75" s="974" t="s">
        <v>566</v>
      </c>
      <c r="G75" s="293">
        <f>IF(F75=$G$2,E75,0)</f>
        <v>0</v>
      </c>
      <c r="H75" s="201">
        <v>0</v>
      </c>
      <c r="I75" s="201">
        <f>G75-H75</f>
        <v>0</v>
      </c>
      <c r="J75" s="888">
        <f>IF(F75=$J$2,E75,0)</f>
        <v>10440</v>
      </c>
      <c r="K75" s="293"/>
      <c r="L75" s="705">
        <v>1861.8595907377</v>
      </c>
      <c r="M75" s="201">
        <f t="shared" si="38"/>
        <v>8578.1404092622997</v>
      </c>
      <c r="N75" s="293">
        <f t="shared" si="39"/>
        <v>0</v>
      </c>
      <c r="O75" s="542">
        <v>2</v>
      </c>
    </row>
    <row r="76" spans="1:15" s="955" customFormat="1">
      <c r="A76" s="1445" t="s">
        <v>2896</v>
      </c>
      <c r="B76" s="1446">
        <v>454</v>
      </c>
      <c r="C76" s="1448">
        <v>4197020</v>
      </c>
      <c r="D76" s="1447" t="s">
        <v>2897</v>
      </c>
      <c r="E76" s="974">
        <v>31296.36</v>
      </c>
      <c r="F76" s="974" t="s">
        <v>565</v>
      </c>
      <c r="G76" s="974">
        <f t="shared" ref="G76:G77" si="40">IF(F76=$G$2,E76,0)</f>
        <v>31296.36</v>
      </c>
      <c r="H76" s="705">
        <v>0</v>
      </c>
      <c r="I76" s="705">
        <f>G76-H76</f>
        <v>31296.36</v>
      </c>
      <c r="J76" s="974">
        <f t="shared" ref="J76:J77" si="41">IF(F76=$J$2,E76,0)</f>
        <v>0</v>
      </c>
      <c r="K76" s="974"/>
      <c r="L76" s="705"/>
      <c r="M76" s="705">
        <f t="shared" si="38"/>
        <v>0</v>
      </c>
      <c r="N76" s="974">
        <f t="shared" ref="N76:N77" si="42">IF(F76=$N$2,E76,0)</f>
        <v>0</v>
      </c>
      <c r="O76" s="1076">
        <v>4</v>
      </c>
    </row>
    <row r="77" spans="1:15" s="955" customFormat="1">
      <c r="A77" s="1445" t="s">
        <v>2898</v>
      </c>
      <c r="B77" s="1472">
        <v>454</v>
      </c>
      <c r="C77" s="1448">
        <v>6120090</v>
      </c>
      <c r="D77" s="1447" t="s">
        <v>2899</v>
      </c>
      <c r="E77" s="974">
        <v>-14104.72</v>
      </c>
      <c r="F77" s="974" t="s">
        <v>565</v>
      </c>
      <c r="G77" s="974">
        <f t="shared" si="40"/>
        <v>-14104.72</v>
      </c>
      <c r="H77" s="705">
        <v>0</v>
      </c>
      <c r="I77" s="705">
        <f>G77-H77</f>
        <v>-14104.72</v>
      </c>
      <c r="J77" s="974">
        <f t="shared" si="41"/>
        <v>0</v>
      </c>
      <c r="K77" s="974"/>
      <c r="L77" s="705"/>
      <c r="M77" s="705">
        <f t="shared" si="38"/>
        <v>0</v>
      </c>
      <c r="N77" s="974">
        <f t="shared" si="42"/>
        <v>0</v>
      </c>
      <c r="O77" s="1076">
        <v>4</v>
      </c>
    </row>
    <row r="78" spans="1:15" s="955" customFormat="1">
      <c r="A78" s="1445"/>
      <c r="B78" s="1472"/>
      <c r="C78" s="1480"/>
      <c r="D78" s="1447"/>
      <c r="E78" s="974"/>
      <c r="F78" s="974"/>
      <c r="G78" s="1469"/>
      <c r="H78" s="1471"/>
      <c r="I78" s="1471"/>
      <c r="J78" s="1469"/>
      <c r="K78" s="1469"/>
      <c r="L78" s="1471"/>
      <c r="M78" s="1471"/>
      <c r="N78" s="1469"/>
      <c r="O78" s="1362"/>
    </row>
    <row r="79" spans="1:15" s="955" customFormat="1">
      <c r="A79" s="1445"/>
      <c r="B79" s="1472"/>
      <c r="C79" s="1480"/>
      <c r="D79" s="1447"/>
      <c r="E79" s="974"/>
      <c r="F79" s="974"/>
      <c r="G79" s="1469"/>
      <c r="H79" s="1471"/>
      <c r="I79" s="1471"/>
      <c r="J79" s="1469"/>
      <c r="K79" s="1469"/>
      <c r="L79" s="1471"/>
      <c r="M79" s="1471"/>
      <c r="N79" s="1469"/>
      <c r="O79" s="1362"/>
    </row>
    <row r="80" spans="1:15" ht="13">
      <c r="A80" s="202">
        <v>11</v>
      </c>
      <c r="B80" s="1523" t="s">
        <v>674</v>
      </c>
      <c r="C80" s="1524"/>
      <c r="D80" s="1525"/>
      <c r="E80" s="305">
        <f>SUM(E47:E77)</f>
        <v>80970288.529999986</v>
      </c>
      <c r="F80" s="314"/>
      <c r="G80" s="305">
        <f>SUM(G47:G77)</f>
        <v>54229793.752541997</v>
      </c>
      <c r="H80" s="305">
        <f>SUM(H47:H77)</f>
        <v>3000963.3147419998</v>
      </c>
      <c r="I80" s="305">
        <f>SUM(I47:I77)</f>
        <v>51228830.437799998</v>
      </c>
      <c r="J80" s="305">
        <f>SUM(J47:J77)</f>
        <v>24667650.919999998</v>
      </c>
      <c r="K80" s="314"/>
      <c r="L80" s="305">
        <f>SUM(L47:L77)</f>
        <v>5772248.3919659751</v>
      </c>
      <c r="M80" s="305">
        <f>SUM(M47:M77)</f>
        <v>18895402.528034024</v>
      </c>
      <c r="N80" s="305">
        <f>SUM(N47:N77)</f>
        <v>2072843.8574580001</v>
      </c>
      <c r="O80" s="191"/>
    </row>
    <row r="81" spans="1:15" ht="24.75" customHeight="1">
      <c r="A81" s="202">
        <v>12</v>
      </c>
      <c r="B81" s="1543" t="s">
        <v>1225</v>
      </c>
      <c r="C81" s="1544"/>
      <c r="D81" s="1545"/>
      <c r="E81" s="1073">
        <v>80970289</v>
      </c>
      <c r="F81" s="304"/>
      <c r="G81" s="320"/>
      <c r="H81" s="304"/>
      <c r="I81" s="304"/>
      <c r="J81" s="292"/>
      <c r="K81" s="304"/>
      <c r="L81" s="292"/>
      <c r="M81" s="292"/>
      <c r="N81" s="292"/>
      <c r="O81" s="189"/>
    </row>
    <row r="82" spans="1:15" ht="13">
      <c r="A82" s="205"/>
      <c r="B82" s="206"/>
      <c r="C82" s="207"/>
      <c r="D82" s="208"/>
      <c r="E82" s="292"/>
      <c r="F82" s="292"/>
      <c r="G82" s="292"/>
      <c r="H82" s="304"/>
      <c r="I82" s="304"/>
      <c r="J82" s="292"/>
      <c r="K82" s="304"/>
      <c r="L82" s="292"/>
      <c r="M82" s="292"/>
      <c r="N82" s="292"/>
      <c r="O82" s="189"/>
    </row>
    <row r="83" spans="1:15">
      <c r="A83" s="202" t="s">
        <v>675</v>
      </c>
      <c r="B83" s="198">
        <v>456</v>
      </c>
      <c r="C83" s="203" t="s">
        <v>679</v>
      </c>
      <c r="D83" s="199" t="s">
        <v>680</v>
      </c>
      <c r="E83" s="1373">
        <v>2642322.15</v>
      </c>
      <c r="F83" s="1373" t="s">
        <v>565</v>
      </c>
      <c r="G83" s="1375">
        <f t="shared" ref="G83:G91" si="43">IF(F83=$G$2,E83,0)</f>
        <v>2642322.15</v>
      </c>
      <c r="H83" s="1376">
        <v>0</v>
      </c>
      <c r="I83" s="1376">
        <f t="shared" ref="I83:I91" si="44">G83-H83</f>
        <v>2642322.15</v>
      </c>
      <c r="J83" s="1375">
        <f t="shared" ref="J83:J98" si="45">IF(F83=$J$2,E83,0)</f>
        <v>0</v>
      </c>
      <c r="K83" s="1375"/>
      <c r="L83" s="1377"/>
      <c r="M83" s="1376">
        <f t="shared" ref="M83:M98" si="46">J83-L83</f>
        <v>0</v>
      </c>
      <c r="N83" s="1375">
        <f t="shared" ref="N83:N91" si="47">IF(F83=$N$2,E83,0)</f>
        <v>0</v>
      </c>
      <c r="O83" s="1376">
        <v>1</v>
      </c>
    </row>
    <row r="84" spans="1:15">
      <c r="A84" s="202" t="s">
        <v>676</v>
      </c>
      <c r="B84" s="198">
        <v>456</v>
      </c>
      <c r="C84" s="203" t="s">
        <v>681</v>
      </c>
      <c r="D84" s="199" t="s">
        <v>682</v>
      </c>
      <c r="E84" s="1373"/>
      <c r="F84" s="1373" t="s">
        <v>565</v>
      </c>
      <c r="G84" s="1375">
        <f t="shared" si="43"/>
        <v>0</v>
      </c>
      <c r="H84" s="1376">
        <v>0</v>
      </c>
      <c r="I84" s="1376">
        <f t="shared" si="44"/>
        <v>0</v>
      </c>
      <c r="J84" s="1375">
        <f t="shared" si="45"/>
        <v>0</v>
      </c>
      <c r="K84" s="1375"/>
      <c r="L84" s="1377"/>
      <c r="M84" s="1376">
        <f t="shared" si="46"/>
        <v>0</v>
      </c>
      <c r="N84" s="1375">
        <f t="shared" si="47"/>
        <v>0</v>
      </c>
      <c r="O84" s="1376">
        <v>4</v>
      </c>
    </row>
    <row r="85" spans="1:15">
      <c r="A85" s="202" t="s">
        <v>677</v>
      </c>
      <c r="B85" s="198">
        <v>456</v>
      </c>
      <c r="C85" s="203" t="s">
        <v>683</v>
      </c>
      <c r="D85" s="199" t="s">
        <v>684</v>
      </c>
      <c r="E85" s="1373">
        <v>1231471.45</v>
      </c>
      <c r="F85" s="1373" t="s">
        <v>565</v>
      </c>
      <c r="G85" s="1375">
        <f t="shared" si="43"/>
        <v>1231471.45</v>
      </c>
      <c r="H85" s="1376">
        <v>0</v>
      </c>
      <c r="I85" s="1376">
        <f t="shared" si="44"/>
        <v>1231471.45</v>
      </c>
      <c r="J85" s="1375">
        <f t="shared" si="45"/>
        <v>0</v>
      </c>
      <c r="K85" s="1375"/>
      <c r="L85" s="1377"/>
      <c r="M85" s="1376">
        <f t="shared" si="46"/>
        <v>0</v>
      </c>
      <c r="N85" s="1375">
        <f t="shared" si="47"/>
        <v>0</v>
      </c>
      <c r="O85" s="1376">
        <v>4</v>
      </c>
    </row>
    <row r="86" spans="1:15">
      <c r="A86" s="202" t="s">
        <v>678</v>
      </c>
      <c r="B86" s="198">
        <v>456</v>
      </c>
      <c r="C86" s="203" t="s">
        <v>686</v>
      </c>
      <c r="D86" s="199" t="s">
        <v>687</v>
      </c>
      <c r="E86" s="1373"/>
      <c r="F86" s="1373" t="s">
        <v>565</v>
      </c>
      <c r="G86" s="1375">
        <f t="shared" si="43"/>
        <v>0</v>
      </c>
      <c r="H86" s="1376">
        <v>0</v>
      </c>
      <c r="I86" s="1376">
        <f t="shared" si="44"/>
        <v>0</v>
      </c>
      <c r="J86" s="1375">
        <f t="shared" si="45"/>
        <v>0</v>
      </c>
      <c r="K86" s="1375"/>
      <c r="L86" s="1377"/>
      <c r="M86" s="1376">
        <f t="shared" si="46"/>
        <v>0</v>
      </c>
      <c r="N86" s="1375">
        <f t="shared" si="47"/>
        <v>0</v>
      </c>
      <c r="O86" s="1376">
        <v>3</v>
      </c>
    </row>
    <row r="87" spans="1:15">
      <c r="A87" s="197" t="s">
        <v>685</v>
      </c>
      <c r="B87" s="198">
        <v>456</v>
      </c>
      <c r="C87" s="199" t="s">
        <v>689</v>
      </c>
      <c r="D87" s="199" t="s">
        <v>690</v>
      </c>
      <c r="E87" s="1373"/>
      <c r="F87" s="1373" t="s">
        <v>565</v>
      </c>
      <c r="G87" s="1375">
        <f t="shared" si="43"/>
        <v>0</v>
      </c>
      <c r="H87" s="1376">
        <v>0</v>
      </c>
      <c r="I87" s="1376">
        <f t="shared" si="44"/>
        <v>0</v>
      </c>
      <c r="J87" s="1375">
        <f t="shared" si="45"/>
        <v>0</v>
      </c>
      <c r="K87" s="1375"/>
      <c r="L87" s="1377"/>
      <c r="M87" s="1376">
        <f t="shared" si="46"/>
        <v>0</v>
      </c>
      <c r="N87" s="1375">
        <f t="shared" si="47"/>
        <v>0</v>
      </c>
      <c r="O87" s="1376">
        <v>1</v>
      </c>
    </row>
    <row r="88" spans="1:15">
      <c r="A88" s="197" t="s">
        <v>688</v>
      </c>
      <c r="B88" s="198">
        <v>456</v>
      </c>
      <c r="C88" s="199" t="s">
        <v>692</v>
      </c>
      <c r="D88" s="199" t="s">
        <v>693</v>
      </c>
      <c r="E88" s="1373">
        <v>1636308.89</v>
      </c>
      <c r="F88" s="1373" t="s">
        <v>565</v>
      </c>
      <c r="G88" s="1375">
        <f t="shared" si="43"/>
        <v>1636308.89</v>
      </c>
      <c r="H88" s="1376">
        <v>0</v>
      </c>
      <c r="I88" s="1376">
        <f t="shared" si="44"/>
        <v>1636308.89</v>
      </c>
      <c r="J88" s="1375">
        <f t="shared" si="45"/>
        <v>0</v>
      </c>
      <c r="K88" s="1375"/>
      <c r="L88" s="1377"/>
      <c r="M88" s="1376">
        <f t="shared" si="46"/>
        <v>0</v>
      </c>
      <c r="N88" s="1375">
        <f t="shared" si="47"/>
        <v>0</v>
      </c>
      <c r="O88" s="1376">
        <v>1</v>
      </c>
    </row>
    <row r="89" spans="1:15">
      <c r="A89" s="197" t="s">
        <v>691</v>
      </c>
      <c r="B89" s="198">
        <v>456</v>
      </c>
      <c r="C89" s="199" t="s">
        <v>695</v>
      </c>
      <c r="D89" s="199" t="s">
        <v>696</v>
      </c>
      <c r="E89" s="1373"/>
      <c r="F89" s="1373" t="s">
        <v>565</v>
      </c>
      <c r="G89" s="1375">
        <f t="shared" si="43"/>
        <v>0</v>
      </c>
      <c r="H89" s="1376">
        <v>0</v>
      </c>
      <c r="I89" s="1376">
        <f t="shared" si="44"/>
        <v>0</v>
      </c>
      <c r="J89" s="1375">
        <f t="shared" si="45"/>
        <v>0</v>
      </c>
      <c r="K89" s="1375"/>
      <c r="L89" s="1377"/>
      <c r="M89" s="1376">
        <f t="shared" si="46"/>
        <v>0</v>
      </c>
      <c r="N89" s="1375">
        <f t="shared" si="47"/>
        <v>0</v>
      </c>
      <c r="O89" s="1376">
        <v>3</v>
      </c>
    </row>
    <row r="90" spans="1:15">
      <c r="A90" s="197" t="s">
        <v>694</v>
      </c>
      <c r="B90" s="198">
        <v>456</v>
      </c>
      <c r="C90" s="198">
        <v>4186142</v>
      </c>
      <c r="D90" s="199" t="s">
        <v>1369</v>
      </c>
      <c r="E90" s="1373">
        <v>6855.34</v>
      </c>
      <c r="F90" s="1373" t="s">
        <v>565</v>
      </c>
      <c r="G90" s="1375">
        <f t="shared" si="43"/>
        <v>6855.34</v>
      </c>
      <c r="H90" s="1376">
        <v>0</v>
      </c>
      <c r="I90" s="1376">
        <f t="shared" si="44"/>
        <v>6855.34</v>
      </c>
      <c r="J90" s="1375">
        <f t="shared" si="45"/>
        <v>0</v>
      </c>
      <c r="K90" s="1375"/>
      <c r="L90" s="1377"/>
      <c r="M90" s="1376">
        <f t="shared" si="46"/>
        <v>0</v>
      </c>
      <c r="N90" s="1375">
        <f t="shared" si="47"/>
        <v>0</v>
      </c>
      <c r="O90" s="1376">
        <v>4</v>
      </c>
    </row>
    <row r="91" spans="1:15">
      <c r="A91" s="197" t="s">
        <v>697</v>
      </c>
      <c r="B91" s="198">
        <v>456</v>
      </c>
      <c r="C91" s="199" t="s">
        <v>698</v>
      </c>
      <c r="D91" s="199" t="s">
        <v>699</v>
      </c>
      <c r="E91" s="1373"/>
      <c r="F91" s="1373" t="s">
        <v>565</v>
      </c>
      <c r="G91" s="1375">
        <f t="shared" si="43"/>
        <v>0</v>
      </c>
      <c r="H91" s="1376">
        <f>E91*$D$261</f>
        <v>0</v>
      </c>
      <c r="I91" s="1376">
        <f t="shared" si="44"/>
        <v>0</v>
      </c>
      <c r="J91" s="1375">
        <f t="shared" si="45"/>
        <v>0</v>
      </c>
      <c r="K91" s="1375"/>
      <c r="L91" s="1377"/>
      <c r="M91" s="1376">
        <f t="shared" si="46"/>
        <v>0</v>
      </c>
      <c r="N91" s="1375">
        <f t="shared" si="47"/>
        <v>0</v>
      </c>
      <c r="O91" s="1376">
        <v>7</v>
      </c>
    </row>
    <row r="92" spans="1:15">
      <c r="A92" s="197" t="s">
        <v>700</v>
      </c>
      <c r="B92" s="198">
        <v>456</v>
      </c>
      <c r="C92" s="199" t="s">
        <v>701</v>
      </c>
      <c r="D92" s="199" t="s">
        <v>702</v>
      </c>
      <c r="E92" s="1373">
        <v>6574.89</v>
      </c>
      <c r="F92" s="1373" t="s">
        <v>567</v>
      </c>
      <c r="G92" s="1384">
        <f>I92+H92</f>
        <v>400.41080100000005</v>
      </c>
      <c r="H92" s="1385">
        <f>E92*$D$267</f>
        <v>400.41080100000005</v>
      </c>
      <c r="I92" s="1385">
        <v>0</v>
      </c>
      <c r="J92" s="1375">
        <f t="shared" si="45"/>
        <v>0</v>
      </c>
      <c r="K92" s="1375"/>
      <c r="L92" s="1377"/>
      <c r="M92" s="1376">
        <f t="shared" si="46"/>
        <v>0</v>
      </c>
      <c r="N92" s="1375">
        <f>IF(F92=$N$2,E92-H92,0)</f>
        <v>6174.4791990000003</v>
      </c>
      <c r="O92" s="1376" t="s">
        <v>644</v>
      </c>
    </row>
    <row r="93" spans="1:15">
      <c r="A93" s="197" t="s">
        <v>703</v>
      </c>
      <c r="B93" s="198">
        <v>456</v>
      </c>
      <c r="C93" s="199" t="s">
        <v>704</v>
      </c>
      <c r="D93" s="199" t="s">
        <v>705</v>
      </c>
      <c r="E93" s="1373">
        <v>1688.14</v>
      </c>
      <c r="F93" s="1373" t="s">
        <v>565</v>
      </c>
      <c r="G93" s="1375">
        <f t="shared" ref="G93:G132" si="48">IF(F93=$G$2,E93,0)</f>
        <v>1688.14</v>
      </c>
      <c r="H93" s="1376">
        <v>0</v>
      </c>
      <c r="I93" s="1376">
        <f t="shared" ref="I93:I98" si="49">G93-H93</f>
        <v>1688.14</v>
      </c>
      <c r="J93" s="1375">
        <f t="shared" si="45"/>
        <v>0</v>
      </c>
      <c r="K93" s="1375"/>
      <c r="L93" s="1377"/>
      <c r="M93" s="1376">
        <f t="shared" si="46"/>
        <v>0</v>
      </c>
      <c r="N93" s="1375">
        <f t="shared" ref="N93:N98" si="50">IF(F93=$N$2,E93,0)</f>
        <v>0</v>
      </c>
      <c r="O93" s="1376">
        <v>4</v>
      </c>
    </row>
    <row r="94" spans="1:15">
      <c r="A94" s="197" t="s">
        <v>706</v>
      </c>
      <c r="B94" s="198">
        <v>456</v>
      </c>
      <c r="C94" s="199" t="s">
        <v>707</v>
      </c>
      <c r="D94" s="199" t="s">
        <v>708</v>
      </c>
      <c r="E94" s="1373">
        <v>16942.400000000001</v>
      </c>
      <c r="F94" s="1373" t="s">
        <v>565</v>
      </c>
      <c r="G94" s="1375">
        <f t="shared" si="48"/>
        <v>16942.400000000001</v>
      </c>
      <c r="H94" s="1376">
        <v>0</v>
      </c>
      <c r="I94" s="1376">
        <f t="shared" si="49"/>
        <v>16942.400000000001</v>
      </c>
      <c r="J94" s="1375">
        <f t="shared" si="45"/>
        <v>0</v>
      </c>
      <c r="K94" s="1375"/>
      <c r="L94" s="1377"/>
      <c r="M94" s="1376">
        <f t="shared" si="46"/>
        <v>0</v>
      </c>
      <c r="N94" s="1375">
        <f t="shared" si="50"/>
        <v>0</v>
      </c>
      <c r="O94" s="1376">
        <v>4</v>
      </c>
    </row>
    <row r="95" spans="1:15">
      <c r="A95" s="197" t="s">
        <v>709</v>
      </c>
      <c r="B95" s="198">
        <v>456</v>
      </c>
      <c r="C95" s="199" t="s">
        <v>710</v>
      </c>
      <c r="D95" s="199" t="s">
        <v>711</v>
      </c>
      <c r="E95" s="1373">
        <v>5119.41</v>
      </c>
      <c r="F95" s="1373" t="s">
        <v>565</v>
      </c>
      <c r="G95" s="1375">
        <f t="shared" si="48"/>
        <v>5119.41</v>
      </c>
      <c r="H95" s="1376">
        <v>0</v>
      </c>
      <c r="I95" s="1376">
        <f t="shared" si="49"/>
        <v>5119.41</v>
      </c>
      <c r="J95" s="1375">
        <f t="shared" si="45"/>
        <v>0</v>
      </c>
      <c r="K95" s="1375"/>
      <c r="L95" s="1377"/>
      <c r="M95" s="1376">
        <f t="shared" si="46"/>
        <v>0</v>
      </c>
      <c r="N95" s="1375">
        <f t="shared" si="50"/>
        <v>0</v>
      </c>
      <c r="O95" s="1376">
        <v>4</v>
      </c>
    </row>
    <row r="96" spans="1:15">
      <c r="A96" s="197" t="s">
        <v>712</v>
      </c>
      <c r="B96" s="198">
        <v>456</v>
      </c>
      <c r="C96" s="199" t="s">
        <v>713</v>
      </c>
      <c r="D96" s="199" t="s">
        <v>714</v>
      </c>
      <c r="E96" s="1373">
        <v>1158.6600000000001</v>
      </c>
      <c r="F96" s="1373" t="s">
        <v>565</v>
      </c>
      <c r="G96" s="1375">
        <f t="shared" si="48"/>
        <v>1158.6600000000001</v>
      </c>
      <c r="H96" s="1376">
        <v>0</v>
      </c>
      <c r="I96" s="1376">
        <f t="shared" si="49"/>
        <v>1158.6600000000001</v>
      </c>
      <c r="J96" s="1375">
        <f t="shared" si="45"/>
        <v>0</v>
      </c>
      <c r="K96" s="1375"/>
      <c r="L96" s="1377"/>
      <c r="M96" s="1376">
        <f t="shared" si="46"/>
        <v>0</v>
      </c>
      <c r="N96" s="1375">
        <f t="shared" si="50"/>
        <v>0</v>
      </c>
      <c r="O96" s="1376">
        <v>4</v>
      </c>
    </row>
    <row r="97" spans="1:15">
      <c r="A97" s="197" t="s">
        <v>715</v>
      </c>
      <c r="B97" s="198">
        <v>456</v>
      </c>
      <c r="C97" s="199" t="s">
        <v>716</v>
      </c>
      <c r="D97" s="199" t="s">
        <v>717</v>
      </c>
      <c r="E97" s="1373">
        <v>985.91</v>
      </c>
      <c r="F97" s="1373" t="s">
        <v>565</v>
      </c>
      <c r="G97" s="1375">
        <f t="shared" si="48"/>
        <v>985.91</v>
      </c>
      <c r="H97" s="1376">
        <v>0</v>
      </c>
      <c r="I97" s="1376">
        <f t="shared" si="49"/>
        <v>985.91</v>
      </c>
      <c r="J97" s="1375">
        <f t="shared" si="45"/>
        <v>0</v>
      </c>
      <c r="K97" s="1375"/>
      <c r="L97" s="1377"/>
      <c r="M97" s="1376">
        <f t="shared" si="46"/>
        <v>0</v>
      </c>
      <c r="N97" s="1375">
        <f t="shared" si="50"/>
        <v>0</v>
      </c>
      <c r="O97" s="1376">
        <v>4</v>
      </c>
    </row>
    <row r="98" spans="1:15">
      <c r="A98" s="197" t="s">
        <v>718</v>
      </c>
      <c r="B98" s="198">
        <v>456</v>
      </c>
      <c r="C98" s="199" t="s">
        <v>719</v>
      </c>
      <c r="D98" s="199" t="s">
        <v>720</v>
      </c>
      <c r="E98" s="1373">
        <v>208656</v>
      </c>
      <c r="F98" s="1373" t="s">
        <v>565</v>
      </c>
      <c r="G98" s="1375">
        <f t="shared" si="48"/>
        <v>208656</v>
      </c>
      <c r="H98" s="1376">
        <v>0</v>
      </c>
      <c r="I98" s="1376">
        <f t="shared" si="49"/>
        <v>208656</v>
      </c>
      <c r="J98" s="1375">
        <f t="shared" si="45"/>
        <v>0</v>
      </c>
      <c r="K98" s="1375"/>
      <c r="L98" s="1377"/>
      <c r="M98" s="1376">
        <f t="shared" si="46"/>
        <v>0</v>
      </c>
      <c r="N98" s="1375">
        <f t="shared" si="50"/>
        <v>0</v>
      </c>
      <c r="O98" s="1376">
        <v>4</v>
      </c>
    </row>
    <row r="99" spans="1:15">
      <c r="A99" s="197" t="s">
        <v>721</v>
      </c>
      <c r="B99" s="198">
        <v>456</v>
      </c>
      <c r="C99" s="199" t="s">
        <v>722</v>
      </c>
      <c r="D99" s="199" t="s">
        <v>723</v>
      </c>
      <c r="E99" s="1366">
        <v>862022.74</v>
      </c>
      <c r="F99" s="1373" t="s">
        <v>566</v>
      </c>
      <c r="G99" s="1375">
        <f t="shared" si="48"/>
        <v>0</v>
      </c>
      <c r="H99" s="1376">
        <v>0</v>
      </c>
      <c r="I99" s="1376">
        <f t="shared" ref="I99:I109" si="51">G99-H99</f>
        <v>0</v>
      </c>
      <c r="J99" s="1375">
        <f t="shared" ref="J99:J109" si="52">IF(F99=$J$2,E99,0)</f>
        <v>862022.74</v>
      </c>
      <c r="K99" s="1378" t="s">
        <v>607</v>
      </c>
      <c r="L99" s="1253">
        <v>514093.75382163399</v>
      </c>
      <c r="M99" s="1376">
        <f t="shared" ref="M99:M109" si="53">J99-L99</f>
        <v>347928.986178366</v>
      </c>
      <c r="N99" s="1375">
        <f t="shared" ref="N99:N109" si="54">IF(F99=$N$2,E99,0)</f>
        <v>0</v>
      </c>
      <c r="O99" s="1376">
        <v>2</v>
      </c>
    </row>
    <row r="100" spans="1:15">
      <c r="A100" s="197" t="s">
        <v>724</v>
      </c>
      <c r="B100" s="198">
        <v>456</v>
      </c>
      <c r="C100" s="199" t="s">
        <v>725</v>
      </c>
      <c r="D100" s="199" t="s">
        <v>726</v>
      </c>
      <c r="E100" s="1373">
        <v>151967.13</v>
      </c>
      <c r="F100" s="1373" t="s">
        <v>566</v>
      </c>
      <c r="G100" s="1375">
        <f t="shared" si="48"/>
        <v>0</v>
      </c>
      <c r="H100" s="1376">
        <v>0</v>
      </c>
      <c r="I100" s="1376">
        <f t="shared" si="51"/>
        <v>0</v>
      </c>
      <c r="J100" s="1375">
        <f t="shared" si="52"/>
        <v>151967.13</v>
      </c>
      <c r="K100" s="1378" t="s">
        <v>607</v>
      </c>
      <c r="L100" s="1386">
        <v>39317.032314591801</v>
      </c>
      <c r="M100" s="1376">
        <f t="shared" si="53"/>
        <v>112650.0976854082</v>
      </c>
      <c r="N100" s="1375">
        <f t="shared" si="54"/>
        <v>0</v>
      </c>
      <c r="O100" s="1376">
        <v>2</v>
      </c>
    </row>
    <row r="101" spans="1:15">
      <c r="A101" s="197" t="s">
        <v>727</v>
      </c>
      <c r="B101" s="198">
        <v>456</v>
      </c>
      <c r="C101" s="199" t="s">
        <v>728</v>
      </c>
      <c r="D101" s="199" t="s">
        <v>729</v>
      </c>
      <c r="E101" s="1373">
        <v>101300</v>
      </c>
      <c r="F101" s="1373" t="s">
        <v>566</v>
      </c>
      <c r="G101" s="1375">
        <f t="shared" si="48"/>
        <v>0</v>
      </c>
      <c r="H101" s="1376">
        <v>0</v>
      </c>
      <c r="I101" s="1376">
        <f t="shared" si="51"/>
        <v>0</v>
      </c>
      <c r="J101" s="1375">
        <f t="shared" si="52"/>
        <v>101300</v>
      </c>
      <c r="K101" s="1378" t="s">
        <v>607</v>
      </c>
      <c r="L101" s="1377">
        <v>9667.2022743948</v>
      </c>
      <c r="M101" s="1376">
        <f t="shared" si="53"/>
        <v>91632.797725605196</v>
      </c>
      <c r="N101" s="1375">
        <f t="shared" si="54"/>
        <v>0</v>
      </c>
      <c r="O101" s="1376">
        <v>2</v>
      </c>
    </row>
    <row r="102" spans="1:15">
      <c r="A102" s="890" t="s">
        <v>730</v>
      </c>
      <c r="B102" s="198">
        <v>456</v>
      </c>
      <c r="C102" s="199" t="s">
        <v>732</v>
      </c>
      <c r="D102" s="199" t="s">
        <v>733</v>
      </c>
      <c r="E102" s="1373"/>
      <c r="F102" s="1373" t="s">
        <v>566</v>
      </c>
      <c r="G102" s="1375">
        <f t="shared" si="48"/>
        <v>0</v>
      </c>
      <c r="H102" s="1376">
        <v>0</v>
      </c>
      <c r="I102" s="1376">
        <f t="shared" si="51"/>
        <v>0</v>
      </c>
      <c r="J102" s="1375">
        <f t="shared" si="52"/>
        <v>0</v>
      </c>
      <c r="K102" s="1378" t="s">
        <v>607</v>
      </c>
      <c r="L102" s="1377"/>
      <c r="M102" s="1376">
        <f t="shared" si="53"/>
        <v>0</v>
      </c>
      <c r="N102" s="1375">
        <f t="shared" si="54"/>
        <v>0</v>
      </c>
      <c r="O102" s="1376">
        <v>2</v>
      </c>
    </row>
    <row r="103" spans="1:15">
      <c r="A103" s="890" t="s">
        <v>731</v>
      </c>
      <c r="B103" s="198">
        <v>456</v>
      </c>
      <c r="C103" s="199" t="s">
        <v>735</v>
      </c>
      <c r="D103" s="199" t="s">
        <v>736</v>
      </c>
      <c r="E103" s="1373"/>
      <c r="F103" s="1373" t="s">
        <v>566</v>
      </c>
      <c r="G103" s="1375">
        <f t="shared" si="48"/>
        <v>0</v>
      </c>
      <c r="H103" s="1376">
        <v>0</v>
      </c>
      <c r="I103" s="1376">
        <f t="shared" si="51"/>
        <v>0</v>
      </c>
      <c r="J103" s="1375">
        <f t="shared" si="52"/>
        <v>0</v>
      </c>
      <c r="K103" s="1378" t="s">
        <v>607</v>
      </c>
      <c r="L103" s="1377"/>
      <c r="M103" s="1376">
        <f t="shared" si="53"/>
        <v>0</v>
      </c>
      <c r="N103" s="1375">
        <f t="shared" si="54"/>
        <v>0</v>
      </c>
      <c r="O103" s="1376">
        <v>2</v>
      </c>
    </row>
    <row r="104" spans="1:15">
      <c r="A104" s="890" t="s">
        <v>734</v>
      </c>
      <c r="B104" s="198">
        <v>456</v>
      </c>
      <c r="C104" s="199" t="s">
        <v>738</v>
      </c>
      <c r="D104" s="199" t="s">
        <v>739</v>
      </c>
      <c r="E104" s="1373">
        <v>275</v>
      </c>
      <c r="F104" s="1373" t="s">
        <v>566</v>
      </c>
      <c r="G104" s="1375">
        <f t="shared" si="48"/>
        <v>0</v>
      </c>
      <c r="H104" s="1376">
        <v>0</v>
      </c>
      <c r="I104" s="1376">
        <f t="shared" si="51"/>
        <v>0</v>
      </c>
      <c r="J104" s="1375">
        <f t="shared" si="52"/>
        <v>275</v>
      </c>
      <c r="K104" s="1378" t="s">
        <v>607</v>
      </c>
      <c r="L104" s="1377">
        <v>275</v>
      </c>
      <c r="M104" s="1376">
        <f t="shared" si="53"/>
        <v>0</v>
      </c>
      <c r="N104" s="1375">
        <f t="shared" si="54"/>
        <v>0</v>
      </c>
      <c r="O104" s="1376">
        <v>2</v>
      </c>
    </row>
    <row r="105" spans="1:15">
      <c r="A105" s="890" t="s">
        <v>737</v>
      </c>
      <c r="B105" s="198">
        <v>456</v>
      </c>
      <c r="C105" s="199" t="s">
        <v>740</v>
      </c>
      <c r="D105" s="199" t="s">
        <v>741</v>
      </c>
      <c r="E105" s="1373"/>
      <c r="F105" s="1373" t="s">
        <v>566</v>
      </c>
      <c r="G105" s="1375">
        <f t="shared" si="48"/>
        <v>0</v>
      </c>
      <c r="H105" s="1376">
        <v>0</v>
      </c>
      <c r="I105" s="1376">
        <f t="shared" si="51"/>
        <v>0</v>
      </c>
      <c r="J105" s="1375">
        <f t="shared" si="52"/>
        <v>0</v>
      </c>
      <c r="K105" s="1378" t="s">
        <v>551</v>
      </c>
      <c r="L105" s="1377"/>
      <c r="M105" s="1376">
        <f t="shared" si="53"/>
        <v>0</v>
      </c>
      <c r="N105" s="1375">
        <f t="shared" si="54"/>
        <v>0</v>
      </c>
      <c r="O105" s="1376">
        <v>2</v>
      </c>
    </row>
    <row r="106" spans="1:15">
      <c r="A106" s="1089" t="s">
        <v>804</v>
      </c>
      <c r="B106" s="198">
        <v>456</v>
      </c>
      <c r="C106" s="199" t="s">
        <v>743</v>
      </c>
      <c r="D106" s="199" t="s">
        <v>744</v>
      </c>
      <c r="E106" s="1373"/>
      <c r="F106" s="1373" t="s">
        <v>566</v>
      </c>
      <c r="G106" s="1375">
        <f t="shared" si="48"/>
        <v>0</v>
      </c>
      <c r="H106" s="1376">
        <v>0</v>
      </c>
      <c r="I106" s="1376">
        <f t="shared" si="51"/>
        <v>0</v>
      </c>
      <c r="J106" s="1375">
        <f t="shared" si="52"/>
        <v>0</v>
      </c>
      <c r="K106" s="1378" t="s">
        <v>551</v>
      </c>
      <c r="L106" s="1377"/>
      <c r="M106" s="1376">
        <f t="shared" si="53"/>
        <v>0</v>
      </c>
      <c r="N106" s="1375">
        <f t="shared" si="54"/>
        <v>0</v>
      </c>
      <c r="O106" s="1376">
        <v>2</v>
      </c>
    </row>
    <row r="107" spans="1:15">
      <c r="A107" s="1088" t="s">
        <v>807</v>
      </c>
      <c r="B107" s="198">
        <v>456</v>
      </c>
      <c r="C107" s="199" t="s">
        <v>746</v>
      </c>
      <c r="D107" s="199" t="s">
        <v>747</v>
      </c>
      <c r="E107" s="1373"/>
      <c r="F107" s="1373" t="s">
        <v>566</v>
      </c>
      <c r="G107" s="1375">
        <f t="shared" si="48"/>
        <v>0</v>
      </c>
      <c r="H107" s="1376">
        <v>0</v>
      </c>
      <c r="I107" s="1376">
        <f t="shared" si="51"/>
        <v>0</v>
      </c>
      <c r="J107" s="1375">
        <f t="shared" si="52"/>
        <v>0</v>
      </c>
      <c r="K107" s="1378" t="s">
        <v>551</v>
      </c>
      <c r="L107" s="1377"/>
      <c r="M107" s="1376">
        <f t="shared" si="53"/>
        <v>0</v>
      </c>
      <c r="N107" s="1375">
        <f t="shared" si="54"/>
        <v>0</v>
      </c>
      <c r="O107" s="1376">
        <v>2</v>
      </c>
    </row>
    <row r="108" spans="1:15">
      <c r="A108" s="1089" t="s">
        <v>810</v>
      </c>
      <c r="B108" s="198">
        <v>456</v>
      </c>
      <c r="C108" s="199" t="s">
        <v>749</v>
      </c>
      <c r="D108" s="199" t="s">
        <v>750</v>
      </c>
      <c r="E108" s="1373"/>
      <c r="F108" s="1373" t="s">
        <v>566</v>
      </c>
      <c r="G108" s="1375">
        <f t="shared" si="48"/>
        <v>0</v>
      </c>
      <c r="H108" s="1376">
        <v>0</v>
      </c>
      <c r="I108" s="1376">
        <f t="shared" si="51"/>
        <v>0</v>
      </c>
      <c r="J108" s="1375">
        <f t="shared" si="52"/>
        <v>0</v>
      </c>
      <c r="K108" s="1378" t="s">
        <v>551</v>
      </c>
      <c r="L108" s="1377"/>
      <c r="M108" s="1376">
        <f t="shared" si="53"/>
        <v>0</v>
      </c>
      <c r="N108" s="1375">
        <f t="shared" si="54"/>
        <v>0</v>
      </c>
      <c r="O108" s="1376">
        <v>2</v>
      </c>
    </row>
    <row r="109" spans="1:15">
      <c r="A109" s="197" t="s">
        <v>742</v>
      </c>
      <c r="B109" s="198">
        <v>456</v>
      </c>
      <c r="C109" s="199" t="s">
        <v>752</v>
      </c>
      <c r="D109" s="199" t="s">
        <v>753</v>
      </c>
      <c r="E109" s="1373"/>
      <c r="F109" s="1373" t="s">
        <v>566</v>
      </c>
      <c r="G109" s="1375">
        <f t="shared" si="48"/>
        <v>0</v>
      </c>
      <c r="H109" s="1376">
        <v>0</v>
      </c>
      <c r="I109" s="1376">
        <f t="shared" si="51"/>
        <v>0</v>
      </c>
      <c r="J109" s="1375">
        <f t="shared" si="52"/>
        <v>0</v>
      </c>
      <c r="K109" s="1378" t="s">
        <v>551</v>
      </c>
      <c r="L109" s="1386"/>
      <c r="M109" s="1376">
        <f t="shared" si="53"/>
        <v>0</v>
      </c>
      <c r="N109" s="1375">
        <f t="shared" si="54"/>
        <v>0</v>
      </c>
      <c r="O109" s="1376">
        <v>2</v>
      </c>
    </row>
    <row r="110" spans="1:15">
      <c r="A110" s="197" t="s">
        <v>745</v>
      </c>
      <c r="B110" s="198">
        <v>456</v>
      </c>
      <c r="C110" s="199" t="s">
        <v>755</v>
      </c>
      <c r="D110" s="199" t="s">
        <v>756</v>
      </c>
      <c r="E110" s="1373">
        <v>97449.26</v>
      </c>
      <c r="F110" s="1373" t="s">
        <v>567</v>
      </c>
      <c r="G110" s="1375">
        <f t="shared" si="48"/>
        <v>0</v>
      </c>
      <c r="H110" s="1376">
        <v>0</v>
      </c>
      <c r="I110" s="1376">
        <f t="shared" ref="I110:I132" si="55">G110-H110</f>
        <v>0</v>
      </c>
      <c r="J110" s="1375">
        <f t="shared" ref="J110:J132" si="56">IF(F110=$J$2,E110,0)</f>
        <v>0</v>
      </c>
      <c r="K110" s="1375"/>
      <c r="L110" s="1377"/>
      <c r="M110" s="1376">
        <f t="shared" ref="M110:M132" si="57">J110-L110</f>
        <v>0</v>
      </c>
      <c r="N110" s="1375">
        <f t="shared" ref="N110:N117" si="58">IF(F110=$N$2,E110,0)</f>
        <v>97449.26</v>
      </c>
      <c r="O110" s="1376">
        <v>6</v>
      </c>
    </row>
    <row r="111" spans="1:15">
      <c r="A111" s="197" t="s">
        <v>748</v>
      </c>
      <c r="B111" s="198">
        <v>456</v>
      </c>
      <c r="C111" s="199" t="s">
        <v>758</v>
      </c>
      <c r="D111" s="199" t="s">
        <v>759</v>
      </c>
      <c r="E111" s="1373">
        <v>24069278.530000001</v>
      </c>
      <c r="F111" s="1373" t="s">
        <v>565</v>
      </c>
      <c r="G111" s="1375">
        <f t="shared" si="48"/>
        <v>24069278.530000001</v>
      </c>
      <c r="H111" s="1376">
        <v>0</v>
      </c>
      <c r="I111" s="1376">
        <f t="shared" si="55"/>
        <v>24069278.530000001</v>
      </c>
      <c r="J111" s="1375">
        <f t="shared" si="56"/>
        <v>0</v>
      </c>
      <c r="K111" s="1375"/>
      <c r="L111" s="1377"/>
      <c r="M111" s="1376">
        <f t="shared" si="57"/>
        <v>0</v>
      </c>
      <c r="N111" s="1375">
        <f t="shared" si="58"/>
        <v>0</v>
      </c>
      <c r="O111" s="1376">
        <v>4</v>
      </c>
    </row>
    <row r="112" spans="1:15">
      <c r="A112" s="197" t="s">
        <v>751</v>
      </c>
      <c r="B112" s="198">
        <v>456</v>
      </c>
      <c r="C112" s="199" t="s">
        <v>761</v>
      </c>
      <c r="D112" s="889" t="s">
        <v>1701</v>
      </c>
      <c r="E112" s="1373"/>
      <c r="F112" s="1373" t="s">
        <v>567</v>
      </c>
      <c r="G112" s="1375">
        <f t="shared" si="48"/>
        <v>0</v>
      </c>
      <c r="H112" s="1376">
        <v>0</v>
      </c>
      <c r="I112" s="1376">
        <f t="shared" si="55"/>
        <v>0</v>
      </c>
      <c r="J112" s="1375">
        <f t="shared" si="56"/>
        <v>0</v>
      </c>
      <c r="K112" s="1375"/>
      <c r="L112" s="1377"/>
      <c r="M112" s="1376">
        <f t="shared" si="57"/>
        <v>0</v>
      </c>
      <c r="N112" s="1375">
        <f t="shared" si="58"/>
        <v>0</v>
      </c>
      <c r="O112" s="1376">
        <v>6</v>
      </c>
    </row>
    <row r="113" spans="1:15">
      <c r="A113" s="197" t="s">
        <v>754</v>
      </c>
      <c r="B113" s="198">
        <v>456</v>
      </c>
      <c r="C113" s="199" t="s">
        <v>763</v>
      </c>
      <c r="D113" s="889" t="s">
        <v>1702</v>
      </c>
      <c r="E113" s="1373">
        <v>-34541319.299999997</v>
      </c>
      <c r="F113" s="1373" t="s">
        <v>567</v>
      </c>
      <c r="G113" s="1375">
        <f t="shared" si="48"/>
        <v>0</v>
      </c>
      <c r="H113" s="1376">
        <v>0</v>
      </c>
      <c r="I113" s="1376">
        <f t="shared" si="55"/>
        <v>0</v>
      </c>
      <c r="J113" s="1375">
        <f t="shared" si="56"/>
        <v>0</v>
      </c>
      <c r="K113" s="1375"/>
      <c r="L113" s="1377"/>
      <c r="M113" s="1376">
        <f t="shared" si="57"/>
        <v>0</v>
      </c>
      <c r="N113" s="1375">
        <f t="shared" si="58"/>
        <v>-34541319.299999997</v>
      </c>
      <c r="O113" s="1376">
        <v>6</v>
      </c>
    </row>
    <row r="114" spans="1:15">
      <c r="A114" s="197" t="s">
        <v>757</v>
      </c>
      <c r="B114" s="198">
        <v>456</v>
      </c>
      <c r="C114" s="199" t="s">
        <v>765</v>
      </c>
      <c r="D114" s="199" t="s">
        <v>766</v>
      </c>
      <c r="E114" s="1373"/>
      <c r="F114" s="1373" t="s">
        <v>567</v>
      </c>
      <c r="G114" s="1375">
        <f t="shared" si="48"/>
        <v>0</v>
      </c>
      <c r="H114" s="1376">
        <v>0</v>
      </c>
      <c r="I114" s="1376">
        <f t="shared" si="55"/>
        <v>0</v>
      </c>
      <c r="J114" s="1375">
        <f t="shared" si="56"/>
        <v>0</v>
      </c>
      <c r="K114" s="1375"/>
      <c r="L114" s="1377"/>
      <c r="M114" s="1376">
        <f t="shared" si="57"/>
        <v>0</v>
      </c>
      <c r="N114" s="1375">
        <f t="shared" si="58"/>
        <v>0</v>
      </c>
      <c r="O114" s="1376">
        <v>6</v>
      </c>
    </row>
    <row r="115" spans="1:15">
      <c r="A115" s="197" t="s">
        <v>760</v>
      </c>
      <c r="B115" s="198">
        <v>456</v>
      </c>
      <c r="C115" s="199" t="s">
        <v>768</v>
      </c>
      <c r="D115" s="199" t="s">
        <v>769</v>
      </c>
      <c r="E115" s="1373">
        <v>34541319.299999997</v>
      </c>
      <c r="F115" s="1373" t="s">
        <v>567</v>
      </c>
      <c r="G115" s="1375">
        <f t="shared" si="48"/>
        <v>0</v>
      </c>
      <c r="H115" s="1376">
        <v>0</v>
      </c>
      <c r="I115" s="1376">
        <f t="shared" si="55"/>
        <v>0</v>
      </c>
      <c r="J115" s="1375">
        <f t="shared" si="56"/>
        <v>0</v>
      </c>
      <c r="K115" s="1375"/>
      <c r="L115" s="1377"/>
      <c r="M115" s="1376">
        <f t="shared" si="57"/>
        <v>0</v>
      </c>
      <c r="N115" s="1375">
        <f t="shared" si="58"/>
        <v>34541319.299999997</v>
      </c>
      <c r="O115" s="1376">
        <v>6</v>
      </c>
    </row>
    <row r="116" spans="1:15">
      <c r="A116" s="197" t="s">
        <v>762</v>
      </c>
      <c r="B116" s="198">
        <v>456</v>
      </c>
      <c r="C116" s="199" t="s">
        <v>771</v>
      </c>
      <c r="D116" s="889" t="s">
        <v>1703</v>
      </c>
      <c r="E116" s="1373"/>
      <c r="F116" s="1373" t="s">
        <v>567</v>
      </c>
      <c r="G116" s="1375">
        <f t="shared" si="48"/>
        <v>0</v>
      </c>
      <c r="H116" s="1376">
        <v>0</v>
      </c>
      <c r="I116" s="1376">
        <f t="shared" si="55"/>
        <v>0</v>
      </c>
      <c r="J116" s="1375">
        <f t="shared" si="56"/>
        <v>0</v>
      </c>
      <c r="K116" s="1375"/>
      <c r="L116" s="1377"/>
      <c r="M116" s="1376">
        <f t="shared" si="57"/>
        <v>0</v>
      </c>
      <c r="N116" s="1375">
        <f t="shared" si="58"/>
        <v>0</v>
      </c>
      <c r="O116" s="1376">
        <v>6</v>
      </c>
    </row>
    <row r="117" spans="1:15">
      <c r="A117" s="197" t="s">
        <v>764</v>
      </c>
      <c r="B117" s="198">
        <v>456</v>
      </c>
      <c r="C117" s="199" t="s">
        <v>773</v>
      </c>
      <c r="D117" s="199" t="s">
        <v>774</v>
      </c>
      <c r="E117" s="1373"/>
      <c r="F117" s="1373" t="s">
        <v>567</v>
      </c>
      <c r="G117" s="1375">
        <f t="shared" si="48"/>
        <v>0</v>
      </c>
      <c r="H117" s="1376">
        <v>0</v>
      </c>
      <c r="I117" s="1376">
        <f t="shared" si="55"/>
        <v>0</v>
      </c>
      <c r="J117" s="1375">
        <f t="shared" si="56"/>
        <v>0</v>
      </c>
      <c r="K117" s="1375"/>
      <c r="L117" s="1377"/>
      <c r="M117" s="1376">
        <f t="shared" si="57"/>
        <v>0</v>
      </c>
      <c r="N117" s="1375">
        <f t="shared" si="58"/>
        <v>0</v>
      </c>
      <c r="O117" s="1376">
        <v>6</v>
      </c>
    </row>
    <row r="118" spans="1:15">
      <c r="A118" s="197" t="s">
        <v>767</v>
      </c>
      <c r="B118" s="198">
        <v>456</v>
      </c>
      <c r="C118" s="199" t="s">
        <v>776</v>
      </c>
      <c r="D118" s="199" t="s">
        <v>777</v>
      </c>
      <c r="E118" s="1373"/>
      <c r="F118" s="1373" t="s">
        <v>566</v>
      </c>
      <c r="G118" s="1375">
        <f t="shared" si="48"/>
        <v>0</v>
      </c>
      <c r="H118" s="1376">
        <v>0</v>
      </c>
      <c r="I118" s="1376">
        <f t="shared" si="55"/>
        <v>0</v>
      </c>
      <c r="J118" s="1375">
        <f t="shared" si="56"/>
        <v>0</v>
      </c>
      <c r="K118" s="1378" t="s">
        <v>551</v>
      </c>
      <c r="L118" s="1377"/>
      <c r="M118" s="1376">
        <f t="shared" si="57"/>
        <v>0</v>
      </c>
      <c r="N118" s="1375">
        <f t="shared" ref="N118:N119" si="59">IF(F118=$N$2,E118,0)</f>
        <v>0</v>
      </c>
      <c r="O118" s="1376">
        <v>2</v>
      </c>
    </row>
    <row r="119" spans="1:15">
      <c r="A119" s="197" t="s">
        <v>770</v>
      </c>
      <c r="B119" s="198">
        <v>456</v>
      </c>
      <c r="C119" s="199" t="s">
        <v>779</v>
      </c>
      <c r="D119" s="199" t="s">
        <v>780</v>
      </c>
      <c r="E119" s="1386"/>
      <c r="F119" s="1373" t="s">
        <v>566</v>
      </c>
      <c r="G119" s="1375">
        <f t="shared" si="48"/>
        <v>0</v>
      </c>
      <c r="H119" s="1376">
        <v>0</v>
      </c>
      <c r="I119" s="1376">
        <f t="shared" si="55"/>
        <v>0</v>
      </c>
      <c r="J119" s="1375">
        <f t="shared" si="56"/>
        <v>0</v>
      </c>
      <c r="K119" s="1378" t="s">
        <v>551</v>
      </c>
      <c r="L119" s="1386"/>
      <c r="M119" s="1376">
        <f t="shared" si="57"/>
        <v>0</v>
      </c>
      <c r="N119" s="1375">
        <f t="shared" si="59"/>
        <v>0</v>
      </c>
      <c r="O119" s="1376">
        <v>2</v>
      </c>
    </row>
    <row r="120" spans="1:15">
      <c r="A120" s="197" t="s">
        <v>772</v>
      </c>
      <c r="B120" s="198">
        <v>456</v>
      </c>
      <c r="C120" s="199" t="s">
        <v>783</v>
      </c>
      <c r="D120" s="199" t="s">
        <v>784</v>
      </c>
      <c r="E120" s="1373">
        <v>114014.77</v>
      </c>
      <c r="F120" s="1373" t="s">
        <v>565</v>
      </c>
      <c r="G120" s="1375">
        <f t="shared" si="48"/>
        <v>114014.77</v>
      </c>
      <c r="H120" s="1376">
        <v>0</v>
      </c>
      <c r="I120" s="1376">
        <f t="shared" si="55"/>
        <v>114014.77</v>
      </c>
      <c r="J120" s="1375">
        <f t="shared" si="56"/>
        <v>0</v>
      </c>
      <c r="K120" s="1375"/>
      <c r="L120" s="1377"/>
      <c r="M120" s="1376">
        <f t="shared" si="57"/>
        <v>0</v>
      </c>
      <c r="N120" s="1375">
        <f t="shared" ref="N120:N135" si="60">IF(F120=$N$2,E120,0)</f>
        <v>0</v>
      </c>
      <c r="O120" s="1376">
        <v>1</v>
      </c>
    </row>
    <row r="121" spans="1:15">
      <c r="A121" s="197" t="s">
        <v>775</v>
      </c>
      <c r="B121" s="198">
        <v>456</v>
      </c>
      <c r="C121" s="199" t="s">
        <v>787</v>
      </c>
      <c r="D121" s="199" t="s">
        <v>788</v>
      </c>
      <c r="E121" s="1373">
        <v>6324920.3499999996</v>
      </c>
      <c r="F121" s="1373" t="s">
        <v>565</v>
      </c>
      <c r="G121" s="1375">
        <f t="shared" si="48"/>
        <v>6324920.3499999996</v>
      </c>
      <c r="H121" s="1376">
        <v>0</v>
      </c>
      <c r="I121" s="1376">
        <f t="shared" si="55"/>
        <v>6324920.3499999996</v>
      </c>
      <c r="J121" s="1375">
        <f t="shared" si="56"/>
        <v>0</v>
      </c>
      <c r="K121" s="1375"/>
      <c r="L121" s="1377"/>
      <c r="M121" s="1376">
        <f t="shared" si="57"/>
        <v>0</v>
      </c>
      <c r="N121" s="1375">
        <f t="shared" si="60"/>
        <v>0</v>
      </c>
      <c r="O121" s="1376">
        <v>4</v>
      </c>
    </row>
    <row r="122" spans="1:15">
      <c r="A122" s="197" t="s">
        <v>778</v>
      </c>
      <c r="B122" s="198">
        <v>456</v>
      </c>
      <c r="C122" s="199" t="s">
        <v>790</v>
      </c>
      <c r="D122" s="199" t="s">
        <v>791</v>
      </c>
      <c r="E122" s="1373">
        <v>117724</v>
      </c>
      <c r="F122" s="1373" t="s">
        <v>565</v>
      </c>
      <c r="G122" s="1375">
        <f t="shared" si="48"/>
        <v>117724</v>
      </c>
      <c r="H122" s="1376">
        <v>0</v>
      </c>
      <c r="I122" s="1376">
        <f t="shared" si="55"/>
        <v>117724</v>
      </c>
      <c r="J122" s="1375">
        <f t="shared" si="56"/>
        <v>0</v>
      </c>
      <c r="K122" s="1375"/>
      <c r="L122" s="1377"/>
      <c r="M122" s="1376">
        <f t="shared" si="57"/>
        <v>0</v>
      </c>
      <c r="N122" s="1375">
        <f t="shared" si="60"/>
        <v>0</v>
      </c>
      <c r="O122" s="1376">
        <v>4</v>
      </c>
    </row>
    <row r="123" spans="1:15">
      <c r="A123" s="890" t="s">
        <v>781</v>
      </c>
      <c r="B123" s="198">
        <v>456</v>
      </c>
      <c r="C123" s="199" t="s">
        <v>793</v>
      </c>
      <c r="D123" s="199" t="s">
        <v>794</v>
      </c>
      <c r="E123" s="1373"/>
      <c r="F123" s="1373" t="s">
        <v>565</v>
      </c>
      <c r="G123" s="1375">
        <f t="shared" si="48"/>
        <v>0</v>
      </c>
      <c r="H123" s="1376">
        <v>0</v>
      </c>
      <c r="I123" s="1376">
        <f t="shared" si="55"/>
        <v>0</v>
      </c>
      <c r="J123" s="1375">
        <f t="shared" si="56"/>
        <v>0</v>
      </c>
      <c r="K123" s="1375"/>
      <c r="L123" s="1377"/>
      <c r="M123" s="1376">
        <f t="shared" si="57"/>
        <v>0</v>
      </c>
      <c r="N123" s="1375">
        <f t="shared" si="60"/>
        <v>0</v>
      </c>
      <c r="O123" s="1376">
        <v>4</v>
      </c>
    </row>
    <row r="124" spans="1:15">
      <c r="A124" s="890" t="s">
        <v>782</v>
      </c>
      <c r="B124" s="198">
        <v>456</v>
      </c>
      <c r="C124" s="199" t="s">
        <v>796</v>
      </c>
      <c r="D124" s="199" t="s">
        <v>797</v>
      </c>
      <c r="E124" s="1373"/>
      <c r="F124" s="1373" t="s">
        <v>565</v>
      </c>
      <c r="G124" s="1375">
        <f t="shared" si="48"/>
        <v>0</v>
      </c>
      <c r="H124" s="1376">
        <v>0</v>
      </c>
      <c r="I124" s="1376">
        <f t="shared" si="55"/>
        <v>0</v>
      </c>
      <c r="J124" s="1375">
        <f t="shared" si="56"/>
        <v>0</v>
      </c>
      <c r="K124" s="1375"/>
      <c r="L124" s="1377"/>
      <c r="M124" s="1376">
        <f t="shared" si="57"/>
        <v>0</v>
      </c>
      <c r="N124" s="1375">
        <f t="shared" si="60"/>
        <v>0</v>
      </c>
      <c r="O124" s="1376">
        <v>1</v>
      </c>
    </row>
    <row r="125" spans="1:15">
      <c r="A125" s="890" t="s">
        <v>785</v>
      </c>
      <c r="B125" s="198">
        <v>456</v>
      </c>
      <c r="C125" s="199" t="s">
        <v>799</v>
      </c>
      <c r="D125" s="199" t="s">
        <v>800</v>
      </c>
      <c r="E125" s="1373"/>
      <c r="F125" s="1373" t="s">
        <v>565</v>
      </c>
      <c r="G125" s="1375">
        <f t="shared" si="48"/>
        <v>0</v>
      </c>
      <c r="H125" s="1376">
        <v>0</v>
      </c>
      <c r="I125" s="1376">
        <f t="shared" si="55"/>
        <v>0</v>
      </c>
      <c r="J125" s="1375">
        <f t="shared" si="56"/>
        <v>0</v>
      </c>
      <c r="K125" s="1375"/>
      <c r="L125" s="1377"/>
      <c r="M125" s="1376">
        <f t="shared" si="57"/>
        <v>0</v>
      </c>
      <c r="N125" s="1375">
        <f t="shared" si="60"/>
        <v>0</v>
      </c>
      <c r="O125" s="1376">
        <v>4</v>
      </c>
    </row>
    <row r="126" spans="1:15">
      <c r="A126" s="890" t="s">
        <v>786</v>
      </c>
      <c r="B126" s="198">
        <v>456</v>
      </c>
      <c r="C126" s="199" t="s">
        <v>802</v>
      </c>
      <c r="D126" s="199" t="s">
        <v>803</v>
      </c>
      <c r="E126" s="1373">
        <v>3337298.66</v>
      </c>
      <c r="F126" s="1373" t="s">
        <v>565</v>
      </c>
      <c r="G126" s="1375">
        <f t="shared" si="48"/>
        <v>3337298.66</v>
      </c>
      <c r="H126" s="1377">
        <v>22184.161970000001</v>
      </c>
      <c r="I126" s="1376">
        <f t="shared" si="55"/>
        <v>3315114.4980300004</v>
      </c>
      <c r="J126" s="1375">
        <f t="shared" si="56"/>
        <v>0</v>
      </c>
      <c r="K126" s="1375"/>
      <c r="L126" s="1377"/>
      <c r="M126" s="1376">
        <f t="shared" si="57"/>
        <v>0</v>
      </c>
      <c r="N126" s="1375">
        <f t="shared" si="60"/>
        <v>0</v>
      </c>
      <c r="O126" s="1376">
        <v>8</v>
      </c>
    </row>
    <row r="127" spans="1:15">
      <c r="A127" s="890" t="s">
        <v>789</v>
      </c>
      <c r="B127" s="198">
        <v>456</v>
      </c>
      <c r="C127" s="199" t="s">
        <v>805</v>
      </c>
      <c r="D127" s="199" t="s">
        <v>806</v>
      </c>
      <c r="E127" s="1373">
        <v>10857864.07</v>
      </c>
      <c r="F127" s="1373" t="s">
        <v>565</v>
      </c>
      <c r="G127" s="1375">
        <f t="shared" si="48"/>
        <v>10857864.07</v>
      </c>
      <c r="H127" s="1376">
        <v>0</v>
      </c>
      <c r="I127" s="1376">
        <f t="shared" si="55"/>
        <v>10857864.07</v>
      </c>
      <c r="J127" s="1375">
        <f t="shared" si="56"/>
        <v>0</v>
      </c>
      <c r="K127" s="1375"/>
      <c r="L127" s="1377"/>
      <c r="M127" s="1376">
        <f t="shared" si="57"/>
        <v>0</v>
      </c>
      <c r="N127" s="1375">
        <f t="shared" si="60"/>
        <v>0</v>
      </c>
      <c r="O127" s="1376">
        <v>4</v>
      </c>
    </row>
    <row r="128" spans="1:15">
      <c r="A128" s="890" t="s">
        <v>792</v>
      </c>
      <c r="B128" s="198">
        <v>456</v>
      </c>
      <c r="C128" s="199" t="s">
        <v>808</v>
      </c>
      <c r="D128" s="199" t="s">
        <v>809</v>
      </c>
      <c r="E128" s="1373">
        <v>2088.4499999999998</v>
      </c>
      <c r="F128" s="1373" t="s">
        <v>565</v>
      </c>
      <c r="G128" s="1375">
        <f t="shared" si="48"/>
        <v>2088.4499999999998</v>
      </c>
      <c r="H128" s="1376">
        <v>0</v>
      </c>
      <c r="I128" s="1376">
        <f t="shared" si="55"/>
        <v>2088.4499999999998</v>
      </c>
      <c r="J128" s="1375">
        <f t="shared" si="56"/>
        <v>0</v>
      </c>
      <c r="K128" s="1375"/>
      <c r="L128" s="1377"/>
      <c r="M128" s="1376">
        <f t="shared" si="57"/>
        <v>0</v>
      </c>
      <c r="N128" s="1375">
        <f t="shared" si="60"/>
        <v>0</v>
      </c>
      <c r="O128" s="1376">
        <v>4</v>
      </c>
    </row>
    <row r="129" spans="1:15">
      <c r="A129" s="890" t="s">
        <v>795</v>
      </c>
      <c r="B129" s="198">
        <v>456</v>
      </c>
      <c r="C129" s="199" t="s">
        <v>811</v>
      </c>
      <c r="D129" s="199" t="s">
        <v>812</v>
      </c>
      <c r="E129" s="1373">
        <v>2638010.84</v>
      </c>
      <c r="F129" s="1373" t="s">
        <v>565</v>
      </c>
      <c r="G129" s="1375">
        <f t="shared" si="48"/>
        <v>2638010.84</v>
      </c>
      <c r="H129" s="1376">
        <v>0</v>
      </c>
      <c r="I129" s="1376">
        <f t="shared" si="55"/>
        <v>2638010.84</v>
      </c>
      <c r="J129" s="1375">
        <f t="shared" si="56"/>
        <v>0</v>
      </c>
      <c r="K129" s="1375"/>
      <c r="L129" s="1377"/>
      <c r="M129" s="1376">
        <f t="shared" si="57"/>
        <v>0</v>
      </c>
      <c r="N129" s="1375">
        <f t="shared" si="60"/>
        <v>0</v>
      </c>
      <c r="O129" s="1376">
        <v>6</v>
      </c>
    </row>
    <row r="130" spans="1:15">
      <c r="A130" s="890" t="s">
        <v>798</v>
      </c>
      <c r="B130" s="198">
        <v>456</v>
      </c>
      <c r="C130" s="197" t="s">
        <v>1371</v>
      </c>
      <c r="D130" s="199" t="s">
        <v>1370</v>
      </c>
      <c r="E130" s="1373"/>
      <c r="F130" s="1373" t="s">
        <v>565</v>
      </c>
      <c r="G130" s="1375">
        <f t="shared" si="48"/>
        <v>0</v>
      </c>
      <c r="H130" s="1376">
        <v>0</v>
      </c>
      <c r="I130" s="1376">
        <f t="shared" si="55"/>
        <v>0</v>
      </c>
      <c r="J130" s="1375">
        <f t="shared" si="56"/>
        <v>0</v>
      </c>
      <c r="K130" s="1375"/>
      <c r="L130" s="1377"/>
      <c r="M130" s="1376">
        <f t="shared" si="57"/>
        <v>0</v>
      </c>
      <c r="N130" s="1375">
        <f t="shared" si="60"/>
        <v>0</v>
      </c>
      <c r="O130" s="1376">
        <v>1</v>
      </c>
    </row>
    <row r="131" spans="1:15">
      <c r="A131" s="890" t="s">
        <v>801</v>
      </c>
      <c r="B131" s="198">
        <v>456</v>
      </c>
      <c r="C131" s="198">
        <v>4186911</v>
      </c>
      <c r="D131" s="215" t="s">
        <v>2056</v>
      </c>
      <c r="E131" s="1373">
        <v>3353919</v>
      </c>
      <c r="F131" s="1373" t="s">
        <v>567</v>
      </c>
      <c r="G131" s="1375">
        <f t="shared" si="48"/>
        <v>0</v>
      </c>
      <c r="H131" s="1376">
        <v>0</v>
      </c>
      <c r="I131" s="1376">
        <f t="shared" si="55"/>
        <v>0</v>
      </c>
      <c r="J131" s="1375">
        <f t="shared" si="56"/>
        <v>0</v>
      </c>
      <c r="K131" s="1375"/>
      <c r="L131" s="1377"/>
      <c r="M131" s="1376">
        <f t="shared" si="57"/>
        <v>0</v>
      </c>
      <c r="N131" s="1375">
        <f t="shared" si="60"/>
        <v>3353919</v>
      </c>
      <c r="O131" s="1376">
        <v>6</v>
      </c>
    </row>
    <row r="132" spans="1:15">
      <c r="A132" s="890" t="s">
        <v>804</v>
      </c>
      <c r="B132" s="198">
        <v>456</v>
      </c>
      <c r="C132" s="198">
        <v>4186925</v>
      </c>
      <c r="D132" s="215" t="s">
        <v>2057</v>
      </c>
      <c r="E132" s="1373">
        <v>420965361.60000002</v>
      </c>
      <c r="F132" s="1373" t="s">
        <v>567</v>
      </c>
      <c r="G132" s="1375">
        <f t="shared" si="48"/>
        <v>0</v>
      </c>
      <c r="H132" s="1376">
        <v>0</v>
      </c>
      <c r="I132" s="1376">
        <f t="shared" si="55"/>
        <v>0</v>
      </c>
      <c r="J132" s="1375">
        <f t="shared" si="56"/>
        <v>0</v>
      </c>
      <c r="K132" s="1375"/>
      <c r="L132" s="1377"/>
      <c r="M132" s="1376">
        <f t="shared" si="57"/>
        <v>0</v>
      </c>
      <c r="N132" s="1375">
        <f t="shared" si="60"/>
        <v>420965361.60000002</v>
      </c>
      <c r="O132" s="1376">
        <v>6</v>
      </c>
    </row>
    <row r="133" spans="1:15" s="955" customFormat="1">
      <c r="A133" s="890" t="s">
        <v>807</v>
      </c>
      <c r="B133" s="1118">
        <v>456</v>
      </c>
      <c r="C133" s="1118">
        <v>4186132</v>
      </c>
      <c r="D133" s="1117" t="s">
        <v>2380</v>
      </c>
      <c r="E133" s="1373">
        <v>614774.21</v>
      </c>
      <c r="F133" s="1373" t="s">
        <v>565</v>
      </c>
      <c r="G133" s="1375">
        <f t="shared" ref="G133:G138" si="61">IF(F133=$G$2,E133,0)</f>
        <v>614774.21</v>
      </c>
      <c r="H133" s="1376">
        <v>0</v>
      </c>
      <c r="I133" s="1376">
        <f t="shared" ref="I133:I138" si="62">G133-H133</f>
        <v>614774.21</v>
      </c>
      <c r="J133" s="1375">
        <f t="shared" ref="J133:J138" si="63">IF(F133=$J$2,E133,0)</f>
        <v>0</v>
      </c>
      <c r="K133" s="1375"/>
      <c r="L133" s="1377"/>
      <c r="M133" s="1376">
        <f t="shared" ref="M133:M138" si="64">J133-L133</f>
        <v>0</v>
      </c>
      <c r="N133" s="1375">
        <f t="shared" si="60"/>
        <v>0</v>
      </c>
      <c r="O133" s="1385">
        <v>4</v>
      </c>
    </row>
    <row r="134" spans="1:15" s="955" customFormat="1">
      <c r="A134" s="890" t="s">
        <v>810</v>
      </c>
      <c r="B134" s="1118">
        <v>456</v>
      </c>
      <c r="C134" s="1118">
        <v>4186116</v>
      </c>
      <c r="D134" s="1117" t="s">
        <v>2381</v>
      </c>
      <c r="E134" s="1373"/>
      <c r="F134" s="1373" t="s">
        <v>565</v>
      </c>
      <c r="G134" s="1375">
        <f t="shared" si="61"/>
        <v>0</v>
      </c>
      <c r="H134" s="1376">
        <v>0</v>
      </c>
      <c r="I134" s="1376">
        <f t="shared" si="62"/>
        <v>0</v>
      </c>
      <c r="J134" s="1375">
        <f t="shared" si="63"/>
        <v>0</v>
      </c>
      <c r="K134" s="1375"/>
      <c r="L134" s="1377"/>
      <c r="M134" s="1376">
        <f t="shared" si="64"/>
        <v>0</v>
      </c>
      <c r="N134" s="1375">
        <f t="shared" si="60"/>
        <v>0</v>
      </c>
      <c r="O134" s="1385">
        <v>4</v>
      </c>
    </row>
    <row r="135" spans="1:15" s="955" customFormat="1">
      <c r="A135" s="890" t="s">
        <v>1685</v>
      </c>
      <c r="B135" s="1118">
        <v>456</v>
      </c>
      <c r="C135" s="1118">
        <v>4186115</v>
      </c>
      <c r="D135" s="14" t="s">
        <v>2382</v>
      </c>
      <c r="E135" s="1373"/>
      <c r="F135" s="1373" t="s">
        <v>565</v>
      </c>
      <c r="G135" s="1375">
        <f t="shared" si="61"/>
        <v>0</v>
      </c>
      <c r="H135" s="1376">
        <v>0</v>
      </c>
      <c r="I135" s="1376">
        <f t="shared" si="62"/>
        <v>0</v>
      </c>
      <c r="J135" s="1375">
        <f t="shared" si="63"/>
        <v>0</v>
      </c>
      <c r="K135" s="1375"/>
      <c r="L135" s="1377"/>
      <c r="M135" s="1376">
        <f t="shared" si="64"/>
        <v>0</v>
      </c>
      <c r="N135" s="1375">
        <f t="shared" si="60"/>
        <v>0</v>
      </c>
      <c r="O135" s="1385">
        <v>4</v>
      </c>
    </row>
    <row r="136" spans="1:15" s="955" customFormat="1">
      <c r="A136" s="890" t="s">
        <v>1686</v>
      </c>
      <c r="B136" s="1118">
        <v>456</v>
      </c>
      <c r="C136" s="1118">
        <v>4186156</v>
      </c>
      <c r="D136" s="1117" t="s">
        <v>2383</v>
      </c>
      <c r="E136" s="1373">
        <v>101362.4</v>
      </c>
      <c r="F136" s="1373" t="s">
        <v>567</v>
      </c>
      <c r="G136" s="1375">
        <f>H136+I136</f>
        <v>6172.9701599999999</v>
      </c>
      <c r="H136" s="1376">
        <f>E136*D267</f>
        <v>6172.9701599999999</v>
      </c>
      <c r="I136" s="1376">
        <v>0</v>
      </c>
      <c r="J136" s="1375">
        <f t="shared" si="63"/>
        <v>0</v>
      </c>
      <c r="K136" s="1375"/>
      <c r="L136" s="1377"/>
      <c r="M136" s="1376">
        <f>J136-L136</f>
        <v>0</v>
      </c>
      <c r="N136" s="1375">
        <f>IF(F136=$N$2,E136-H136,0)</f>
        <v>95189.429839999997</v>
      </c>
      <c r="O136" s="1385" t="s">
        <v>644</v>
      </c>
    </row>
    <row r="137" spans="1:15" s="955" customFormat="1">
      <c r="A137" s="890" t="s">
        <v>2058</v>
      </c>
      <c r="B137" s="1118">
        <v>456</v>
      </c>
      <c r="C137" s="889" t="s">
        <v>2384</v>
      </c>
      <c r="D137" s="1117" t="s">
        <v>2385</v>
      </c>
      <c r="E137" s="1373">
        <v>85924664.650000006</v>
      </c>
      <c r="F137" s="1373" t="s">
        <v>565</v>
      </c>
      <c r="G137" s="1375">
        <f t="shared" si="61"/>
        <v>85924664.650000006</v>
      </c>
      <c r="H137" s="1376">
        <v>0</v>
      </c>
      <c r="I137" s="1376">
        <f t="shared" si="62"/>
        <v>85924664.650000006</v>
      </c>
      <c r="J137" s="1375">
        <f t="shared" si="63"/>
        <v>0</v>
      </c>
      <c r="K137" s="1375"/>
      <c r="L137" s="1377"/>
      <c r="M137" s="1376">
        <f t="shared" si="64"/>
        <v>0</v>
      </c>
      <c r="N137" s="1375">
        <f>IF(F137=$N$2,E137,0)</f>
        <v>0</v>
      </c>
      <c r="O137" s="1385">
        <v>4</v>
      </c>
    </row>
    <row r="138" spans="1:15" s="955" customFormat="1">
      <c r="A138" s="890" t="s">
        <v>2059</v>
      </c>
      <c r="B138" s="1118">
        <v>456</v>
      </c>
      <c r="C138" s="889" t="s">
        <v>692</v>
      </c>
      <c r="D138" s="1117" t="s">
        <v>2386</v>
      </c>
      <c r="E138" s="1373"/>
      <c r="F138" s="1373" t="s">
        <v>565</v>
      </c>
      <c r="G138" s="1375">
        <f t="shared" si="61"/>
        <v>0</v>
      </c>
      <c r="H138" s="1376">
        <f>G138</f>
        <v>0</v>
      </c>
      <c r="I138" s="1376">
        <f t="shared" si="62"/>
        <v>0</v>
      </c>
      <c r="J138" s="1375">
        <f t="shared" si="63"/>
        <v>0</v>
      </c>
      <c r="K138" s="1375"/>
      <c r="L138" s="1377"/>
      <c r="M138" s="1376">
        <f t="shared" si="64"/>
        <v>0</v>
      </c>
      <c r="N138" s="1375">
        <f>IF(F138=$N$2,E138,0)</f>
        <v>0</v>
      </c>
      <c r="O138" s="1385">
        <v>5</v>
      </c>
    </row>
    <row r="139" spans="1:15" s="955" customFormat="1">
      <c r="A139" s="890" t="s">
        <v>2438</v>
      </c>
      <c r="B139" s="1118">
        <v>456</v>
      </c>
      <c r="C139" s="1118">
        <v>4186732</v>
      </c>
      <c r="D139" s="1117" t="s">
        <v>2439</v>
      </c>
      <c r="E139" s="1373"/>
      <c r="F139" s="1373" t="s">
        <v>566</v>
      </c>
      <c r="G139" s="1375">
        <f>IF(F139=$G$2,E139,0)</f>
        <v>0</v>
      </c>
      <c r="H139" s="1376">
        <v>0</v>
      </c>
      <c r="I139" s="1376">
        <f t="shared" ref="I139" si="65">G139-H139</f>
        <v>0</v>
      </c>
      <c r="J139" s="1375">
        <f t="shared" ref="J139" si="66">IF(F139=$J$2,E139,0)</f>
        <v>0</v>
      </c>
      <c r="K139" s="1384" t="s">
        <v>607</v>
      </c>
      <c r="L139" s="1377"/>
      <c r="M139" s="1376">
        <f t="shared" ref="M139" si="67">J139-L139</f>
        <v>0</v>
      </c>
      <c r="N139" s="1375">
        <f>IF(F139=$N$2,E139,0)</f>
        <v>0</v>
      </c>
      <c r="O139" s="1385">
        <v>2</v>
      </c>
    </row>
    <row r="140" spans="1:15" s="955" customFormat="1">
      <c r="A140" s="890" t="s">
        <v>2664</v>
      </c>
      <c r="B140" s="1118">
        <v>456</v>
      </c>
      <c r="C140" s="1336">
        <v>4171023</v>
      </c>
      <c r="D140" s="1341" t="s">
        <v>2662</v>
      </c>
      <c r="E140" s="1373">
        <v>17908772.140000001</v>
      </c>
      <c r="F140" s="1373" t="s">
        <v>567</v>
      </c>
      <c r="G140" s="1375">
        <f t="shared" ref="G140:G144" si="68">IF(F140=$G$2,E140,0)</f>
        <v>0</v>
      </c>
      <c r="H140" s="1376">
        <v>0</v>
      </c>
      <c r="I140" s="1376">
        <f t="shared" ref="I140:I144" si="69">G140-H140</f>
        <v>0</v>
      </c>
      <c r="J140" s="1375">
        <f t="shared" ref="J140:J144" si="70">IF(F140=$J$2,E140,0)</f>
        <v>0</v>
      </c>
      <c r="K140" s="1384"/>
      <c r="L140" s="1377"/>
      <c r="M140" s="1376">
        <f t="shared" ref="M140:M144" si="71">J140-L140</f>
        <v>0</v>
      </c>
      <c r="N140" s="1375">
        <f t="shared" ref="N140:N144" si="72">IF(F140=$N$2,E140,0)</f>
        <v>17908772.140000001</v>
      </c>
      <c r="O140" s="1385">
        <v>6</v>
      </c>
    </row>
    <row r="141" spans="1:15" s="955" customFormat="1">
      <c r="A141" s="890" t="s">
        <v>2665</v>
      </c>
      <c r="B141" s="1118">
        <v>456</v>
      </c>
      <c r="C141" s="1342">
        <v>4186182</v>
      </c>
      <c r="D141" s="1339" t="s">
        <v>2663</v>
      </c>
      <c r="E141" s="1373">
        <v>32500</v>
      </c>
      <c r="F141" s="1373" t="s">
        <v>567</v>
      </c>
      <c r="G141" s="1375">
        <f t="shared" si="68"/>
        <v>0</v>
      </c>
      <c r="H141" s="1376">
        <v>0</v>
      </c>
      <c r="I141" s="1376">
        <f t="shared" si="69"/>
        <v>0</v>
      </c>
      <c r="J141" s="1375">
        <f t="shared" si="70"/>
        <v>0</v>
      </c>
      <c r="K141" s="1384"/>
      <c r="L141" s="1377"/>
      <c r="M141" s="1376">
        <f t="shared" si="71"/>
        <v>0</v>
      </c>
      <c r="N141" s="1375">
        <f t="shared" si="72"/>
        <v>32500</v>
      </c>
      <c r="O141" s="1385">
        <v>6</v>
      </c>
    </row>
    <row r="142" spans="1:15" s="465" customFormat="1">
      <c r="A142" s="1343" t="s">
        <v>2780</v>
      </c>
      <c r="B142" s="1465">
        <v>456</v>
      </c>
      <c r="C142" s="1476" t="s">
        <v>2781</v>
      </c>
      <c r="D142" s="543" t="s">
        <v>2782</v>
      </c>
      <c r="E142" s="1373"/>
      <c r="F142" s="1373" t="s">
        <v>565</v>
      </c>
      <c r="G142" s="1384">
        <f t="shared" si="68"/>
        <v>0</v>
      </c>
      <c r="H142" s="1385">
        <v>0</v>
      </c>
      <c r="I142" s="1385">
        <f t="shared" si="69"/>
        <v>0</v>
      </c>
      <c r="J142" s="1384">
        <f t="shared" si="70"/>
        <v>0</v>
      </c>
      <c r="K142" s="1384"/>
      <c r="L142" s="1377"/>
      <c r="M142" s="1385">
        <f t="shared" si="71"/>
        <v>0</v>
      </c>
      <c r="N142" s="1384">
        <f t="shared" si="72"/>
        <v>0</v>
      </c>
      <c r="O142" s="1385">
        <v>1</v>
      </c>
    </row>
    <row r="143" spans="1:15" s="465" customFormat="1">
      <c r="A143" s="1343" t="s">
        <v>2783</v>
      </c>
      <c r="B143" s="1465">
        <v>456</v>
      </c>
      <c r="C143" s="1476" t="s">
        <v>2784</v>
      </c>
      <c r="D143" s="543" t="s">
        <v>2785</v>
      </c>
      <c r="E143" s="1373"/>
      <c r="F143" s="1373" t="s">
        <v>565</v>
      </c>
      <c r="G143" s="1384">
        <f t="shared" si="68"/>
        <v>0</v>
      </c>
      <c r="H143" s="1385">
        <v>0</v>
      </c>
      <c r="I143" s="1385">
        <f t="shared" si="69"/>
        <v>0</v>
      </c>
      <c r="J143" s="1384">
        <f t="shared" si="70"/>
        <v>0</v>
      </c>
      <c r="K143" s="1384"/>
      <c r="L143" s="1377"/>
      <c r="M143" s="1385">
        <f t="shared" si="71"/>
        <v>0</v>
      </c>
      <c r="N143" s="1384">
        <f t="shared" si="72"/>
        <v>0</v>
      </c>
      <c r="O143" s="1385">
        <v>1</v>
      </c>
    </row>
    <row r="144" spans="1:15" s="955" customFormat="1">
      <c r="A144" s="1475" t="s">
        <v>2901</v>
      </c>
      <c r="B144" s="1446">
        <v>456</v>
      </c>
      <c r="C144" s="1446">
        <v>4186115</v>
      </c>
      <c r="D144" s="1449" t="s">
        <v>2902</v>
      </c>
      <c r="E144" s="1474">
        <v>611344.63</v>
      </c>
      <c r="F144" s="1474" t="s">
        <v>567</v>
      </c>
      <c r="G144" s="1373">
        <f t="shared" si="68"/>
        <v>0</v>
      </c>
      <c r="H144" s="1377">
        <v>0</v>
      </c>
      <c r="I144" s="1377">
        <f t="shared" si="69"/>
        <v>0</v>
      </c>
      <c r="J144" s="1373">
        <f t="shared" si="70"/>
        <v>0</v>
      </c>
      <c r="K144" s="1373"/>
      <c r="L144" s="1377"/>
      <c r="M144" s="1377">
        <f t="shared" si="71"/>
        <v>0</v>
      </c>
      <c r="N144" s="1373">
        <f t="shared" si="72"/>
        <v>611344.63</v>
      </c>
      <c r="O144" s="1377">
        <v>6</v>
      </c>
    </row>
    <row r="145" spans="1:15" s="955" customFormat="1">
      <c r="A145" s="1475"/>
      <c r="B145" s="1446"/>
      <c r="C145" s="1446"/>
      <c r="D145" s="1449"/>
      <c r="E145" s="1474"/>
      <c r="F145" s="1474"/>
      <c r="G145" s="1470"/>
      <c r="H145" s="1468"/>
      <c r="I145" s="1468"/>
      <c r="J145" s="1470"/>
      <c r="K145" s="1470"/>
      <c r="L145" s="1468"/>
      <c r="M145" s="1468"/>
      <c r="N145" s="1470"/>
      <c r="O145" s="1468"/>
    </row>
    <row r="146" spans="1:15">
      <c r="A146" s="325"/>
      <c r="B146" s="322"/>
      <c r="C146" s="321"/>
      <c r="D146" s="323"/>
      <c r="E146" s="974"/>
      <c r="F146" s="974"/>
      <c r="G146" s="301"/>
      <c r="H146" s="299"/>
      <c r="I146" s="299"/>
      <c r="J146" s="297"/>
      <c r="K146" s="297"/>
      <c r="L146" s="299"/>
      <c r="M146" s="299"/>
      <c r="N146" s="297"/>
      <c r="O146" s="298"/>
    </row>
    <row r="147" spans="1:15" ht="13">
      <c r="A147" s="202">
        <v>13</v>
      </c>
      <c r="B147" s="1523" t="s">
        <v>813</v>
      </c>
      <c r="C147" s="1524"/>
      <c r="D147" s="1525"/>
      <c r="E147" s="305">
        <f>SUM(E83:E146)</f>
        <v>583944995.66999996</v>
      </c>
      <c r="F147" s="314"/>
      <c r="G147" s="305">
        <f>SUM(G83:G146)</f>
        <v>139758720.260961</v>
      </c>
      <c r="H147" s="305">
        <f>SUM(H83:H146)</f>
        <v>28757.542931000004</v>
      </c>
      <c r="I147" s="305">
        <f>SUM(I83:I146)</f>
        <v>139729962.71803001</v>
      </c>
      <c r="J147" s="305">
        <f>SUM(J83:J146)</f>
        <v>1115564.8700000001</v>
      </c>
      <c r="K147" s="314"/>
      <c r="L147" s="305">
        <f>SUM(L83:L146)</f>
        <v>563352.9884106206</v>
      </c>
      <c r="M147" s="305">
        <f>SUM(M83:M146)</f>
        <v>552211.88158937939</v>
      </c>
      <c r="N147" s="305">
        <f>SUM(N83:N146)</f>
        <v>443070710.53903902</v>
      </c>
      <c r="O147" s="190"/>
    </row>
    <row r="148" spans="1:15" ht="25.5" customHeight="1">
      <c r="A148" s="202">
        <v>14</v>
      </c>
      <c r="B148" s="1543" t="s">
        <v>1226</v>
      </c>
      <c r="C148" s="1544"/>
      <c r="D148" s="1545"/>
      <c r="E148" s="1073">
        <v>583944996</v>
      </c>
      <c r="F148" s="304"/>
      <c r="G148" s="320"/>
      <c r="H148" s="304"/>
      <c r="I148" s="304"/>
      <c r="J148" s="320"/>
      <c r="K148" s="304"/>
      <c r="L148" s="292"/>
      <c r="M148" s="292"/>
      <c r="N148" s="292"/>
      <c r="O148" s="189"/>
    </row>
    <row r="149" spans="1:15" ht="13">
      <c r="A149" s="205"/>
      <c r="B149" s="206"/>
      <c r="C149" s="207"/>
      <c r="D149" s="208"/>
      <c r="E149" s="292"/>
      <c r="F149" s="292"/>
      <c r="G149" s="292"/>
      <c r="H149" s="304"/>
      <c r="I149" s="304"/>
      <c r="J149" s="292"/>
      <c r="K149" s="304"/>
      <c r="L149" s="292"/>
      <c r="M149" s="292"/>
      <c r="N149" s="292"/>
      <c r="O149" s="189"/>
    </row>
    <row r="150" spans="1:15">
      <c r="A150" s="202" t="s">
        <v>814</v>
      </c>
      <c r="B150" s="198">
        <v>456.1</v>
      </c>
      <c r="C150" s="203" t="s">
        <v>815</v>
      </c>
      <c r="D150" s="199" t="s">
        <v>816</v>
      </c>
      <c r="E150" s="1386"/>
      <c r="F150" s="1373" t="s">
        <v>565</v>
      </c>
      <c r="G150" s="1375">
        <f t="shared" ref="G150:G162" si="73">IF(F150=$G$2,E150,0)</f>
        <v>0</v>
      </c>
      <c r="H150" s="1376">
        <f>G150</f>
        <v>0</v>
      </c>
      <c r="I150" s="1376">
        <f t="shared" ref="I150:I169" si="74">G150-H150</f>
        <v>0</v>
      </c>
      <c r="J150" s="1375">
        <f t="shared" ref="J150:J163" si="75">IF(F150=$J$2,E150,0)</f>
        <v>0</v>
      </c>
      <c r="K150" s="1378"/>
      <c r="L150" s="1379"/>
      <c r="M150" s="1376">
        <f>J150-L150</f>
        <v>0</v>
      </c>
      <c r="N150" s="1375">
        <f t="shared" ref="N150:N169" si="76">IF(F150=$N$2,E150,0)</f>
        <v>0</v>
      </c>
      <c r="O150" s="1376">
        <v>5</v>
      </c>
    </row>
    <row r="151" spans="1:15">
      <c r="A151" s="202" t="s">
        <v>817</v>
      </c>
      <c r="B151" s="198">
        <v>456.1</v>
      </c>
      <c r="C151" s="203" t="s">
        <v>818</v>
      </c>
      <c r="D151" s="199" t="s">
        <v>819</v>
      </c>
      <c r="E151" s="1386">
        <v>296028</v>
      </c>
      <c r="F151" s="1373" t="s">
        <v>565</v>
      </c>
      <c r="G151" s="1375">
        <f t="shared" si="73"/>
        <v>296028</v>
      </c>
      <c r="H151" s="1376">
        <v>0</v>
      </c>
      <c r="I151" s="1376">
        <f t="shared" si="74"/>
        <v>296028</v>
      </c>
      <c r="J151" s="1375">
        <f t="shared" si="75"/>
        <v>0</v>
      </c>
      <c r="K151" s="1378"/>
      <c r="L151" s="1379"/>
      <c r="M151" s="1376">
        <f>J151-L151</f>
        <v>0</v>
      </c>
      <c r="N151" s="1375">
        <f t="shared" si="76"/>
        <v>0</v>
      </c>
      <c r="O151" s="1376">
        <v>4</v>
      </c>
    </row>
    <row r="152" spans="1:15">
      <c r="A152" s="202" t="s">
        <v>820</v>
      </c>
      <c r="B152" s="198">
        <v>456.1</v>
      </c>
      <c r="C152" s="203" t="s">
        <v>821</v>
      </c>
      <c r="D152" s="199" t="s">
        <v>822</v>
      </c>
      <c r="E152" s="1386">
        <v>898962.96</v>
      </c>
      <c r="F152" s="1373" t="s">
        <v>565</v>
      </c>
      <c r="G152" s="1375">
        <f t="shared" si="73"/>
        <v>898962.96</v>
      </c>
      <c r="H152" s="1376">
        <v>0</v>
      </c>
      <c r="I152" s="1376">
        <f t="shared" si="74"/>
        <v>898962.96</v>
      </c>
      <c r="J152" s="1375">
        <f t="shared" si="75"/>
        <v>0</v>
      </c>
      <c r="K152" s="1378"/>
      <c r="L152" s="1379"/>
      <c r="M152" s="1376">
        <f>J152-L152</f>
        <v>0</v>
      </c>
      <c r="N152" s="1375">
        <f t="shared" si="76"/>
        <v>0</v>
      </c>
      <c r="O152" s="1376">
        <v>4</v>
      </c>
    </row>
    <row r="153" spans="1:15">
      <c r="A153" s="202" t="s">
        <v>823</v>
      </c>
      <c r="B153" s="198">
        <v>456.1</v>
      </c>
      <c r="C153" s="203" t="s">
        <v>824</v>
      </c>
      <c r="D153" s="199" t="s">
        <v>825</v>
      </c>
      <c r="E153" s="1386">
        <v>122348.8</v>
      </c>
      <c r="F153" s="1373" t="s">
        <v>567</v>
      </c>
      <c r="G153" s="1375">
        <f t="shared" si="73"/>
        <v>0</v>
      </c>
      <c r="H153" s="1376">
        <v>0</v>
      </c>
      <c r="I153" s="1376">
        <f t="shared" si="74"/>
        <v>0</v>
      </c>
      <c r="J153" s="1375">
        <f t="shared" si="75"/>
        <v>0</v>
      </c>
      <c r="K153" s="1378"/>
      <c r="L153" s="1379"/>
      <c r="M153" s="1376">
        <f>J153-L153</f>
        <v>0</v>
      </c>
      <c r="N153" s="1375">
        <f t="shared" si="76"/>
        <v>122348.8</v>
      </c>
      <c r="O153" s="1376">
        <v>6</v>
      </c>
    </row>
    <row r="154" spans="1:15">
      <c r="A154" s="202" t="s">
        <v>826</v>
      </c>
      <c r="B154" s="198">
        <v>456.1</v>
      </c>
      <c r="C154" s="203" t="s">
        <v>827</v>
      </c>
      <c r="D154" s="199" t="s">
        <v>828</v>
      </c>
      <c r="E154" s="1386">
        <v>70881961.409999996</v>
      </c>
      <c r="F154" s="1373" t="s">
        <v>567</v>
      </c>
      <c r="G154" s="1375">
        <f t="shared" si="73"/>
        <v>0</v>
      </c>
      <c r="H154" s="1376">
        <v>0</v>
      </c>
      <c r="I154" s="1376">
        <f t="shared" si="74"/>
        <v>0</v>
      </c>
      <c r="J154" s="1375">
        <f t="shared" si="75"/>
        <v>0</v>
      </c>
      <c r="K154" s="1378"/>
      <c r="L154" s="1379"/>
      <c r="M154" s="1376">
        <f>J154-L154</f>
        <v>0</v>
      </c>
      <c r="N154" s="1375">
        <f t="shared" si="76"/>
        <v>70881961.409999996</v>
      </c>
      <c r="O154" s="1376">
        <v>6</v>
      </c>
    </row>
    <row r="155" spans="1:15">
      <c r="A155" s="202" t="s">
        <v>829</v>
      </c>
      <c r="B155" s="198">
        <v>456.1</v>
      </c>
      <c r="C155" s="203" t="s">
        <v>830</v>
      </c>
      <c r="D155" s="199" t="s">
        <v>831</v>
      </c>
      <c r="E155" s="1386"/>
      <c r="F155" s="1373" t="s">
        <v>567</v>
      </c>
      <c r="G155" s="1375">
        <f t="shared" si="73"/>
        <v>0</v>
      </c>
      <c r="H155" s="1376">
        <v>0</v>
      </c>
      <c r="I155" s="1376">
        <f t="shared" si="74"/>
        <v>0</v>
      </c>
      <c r="J155" s="1375">
        <f t="shared" si="75"/>
        <v>0</v>
      </c>
      <c r="K155" s="1378"/>
      <c r="L155" s="1379"/>
      <c r="M155" s="1376">
        <f t="shared" ref="M155" si="77">J155-L155</f>
        <v>0</v>
      </c>
      <c r="N155" s="1375">
        <f t="shared" si="76"/>
        <v>0</v>
      </c>
      <c r="O155" s="1376">
        <v>6</v>
      </c>
    </row>
    <row r="156" spans="1:15">
      <c r="A156" s="202" t="s">
        <v>832</v>
      </c>
      <c r="B156" s="198">
        <v>456.1</v>
      </c>
      <c r="C156" s="203" t="s">
        <v>833</v>
      </c>
      <c r="D156" s="199" t="s">
        <v>834</v>
      </c>
      <c r="E156" s="1386">
        <v>35750160</v>
      </c>
      <c r="F156" s="1373" t="s">
        <v>565</v>
      </c>
      <c r="G156" s="1375">
        <f t="shared" si="73"/>
        <v>35750160</v>
      </c>
      <c r="H156" s="1376">
        <f>G156</f>
        <v>35750160</v>
      </c>
      <c r="I156" s="1376">
        <f t="shared" si="74"/>
        <v>0</v>
      </c>
      <c r="J156" s="1375">
        <f t="shared" si="75"/>
        <v>0</v>
      </c>
      <c r="K156" s="1378"/>
      <c r="L156" s="1379"/>
      <c r="M156" s="1376">
        <f t="shared" ref="M156:M169" si="78">J156-L156</f>
        <v>0</v>
      </c>
      <c r="N156" s="1375">
        <f t="shared" si="76"/>
        <v>0</v>
      </c>
      <c r="O156" s="1376">
        <v>5</v>
      </c>
    </row>
    <row r="157" spans="1:15">
      <c r="A157" s="202" t="s">
        <v>835</v>
      </c>
      <c r="B157" s="198">
        <v>456.1</v>
      </c>
      <c r="C157" s="203" t="s">
        <v>836</v>
      </c>
      <c r="D157" s="199" t="s">
        <v>837</v>
      </c>
      <c r="E157" s="1386">
        <v>8909868.2400000002</v>
      </c>
      <c r="F157" s="1373" t="s">
        <v>565</v>
      </c>
      <c r="G157" s="1375">
        <f t="shared" si="73"/>
        <v>8909868.2400000002</v>
      </c>
      <c r="H157" s="1376">
        <v>0</v>
      </c>
      <c r="I157" s="1376">
        <f t="shared" si="74"/>
        <v>8909868.2400000002</v>
      </c>
      <c r="J157" s="1375">
        <f t="shared" si="75"/>
        <v>0</v>
      </c>
      <c r="K157" s="1378"/>
      <c r="L157" s="1379"/>
      <c r="M157" s="1376">
        <f t="shared" si="78"/>
        <v>0</v>
      </c>
      <c r="N157" s="1375">
        <f t="shared" si="76"/>
        <v>0</v>
      </c>
      <c r="O157" s="1376">
        <v>4</v>
      </c>
    </row>
    <row r="158" spans="1:15">
      <c r="A158" s="202" t="s">
        <v>838</v>
      </c>
      <c r="B158" s="198">
        <v>456.1</v>
      </c>
      <c r="C158" s="203" t="s">
        <v>839</v>
      </c>
      <c r="D158" s="199" t="s">
        <v>840</v>
      </c>
      <c r="E158" s="1386"/>
      <c r="F158" s="1373" t="s">
        <v>565</v>
      </c>
      <c r="G158" s="1375">
        <f t="shared" si="73"/>
        <v>0</v>
      </c>
      <c r="H158" s="1376">
        <v>0</v>
      </c>
      <c r="I158" s="1376">
        <f t="shared" si="74"/>
        <v>0</v>
      </c>
      <c r="J158" s="1375">
        <f t="shared" si="75"/>
        <v>0</v>
      </c>
      <c r="K158" s="1378"/>
      <c r="L158" s="1379"/>
      <c r="M158" s="1376">
        <f t="shared" si="78"/>
        <v>0</v>
      </c>
      <c r="N158" s="1375">
        <f t="shared" si="76"/>
        <v>0</v>
      </c>
      <c r="O158" s="1376">
        <v>4</v>
      </c>
    </row>
    <row r="159" spans="1:15">
      <c r="A159" s="1090" t="s">
        <v>841</v>
      </c>
      <c r="B159" s="198">
        <v>456.1</v>
      </c>
      <c r="C159" s="203" t="s">
        <v>843</v>
      </c>
      <c r="D159" s="199" t="s">
        <v>844</v>
      </c>
      <c r="E159" s="1386"/>
      <c r="F159" s="1373" t="s">
        <v>565</v>
      </c>
      <c r="G159" s="1375">
        <f t="shared" si="73"/>
        <v>0</v>
      </c>
      <c r="H159" s="1376">
        <v>0</v>
      </c>
      <c r="I159" s="1376">
        <f t="shared" si="74"/>
        <v>0</v>
      </c>
      <c r="J159" s="1375">
        <f t="shared" si="75"/>
        <v>0</v>
      </c>
      <c r="K159" s="1378"/>
      <c r="L159" s="1379"/>
      <c r="M159" s="1376">
        <f t="shared" si="78"/>
        <v>0</v>
      </c>
      <c r="N159" s="1375">
        <f t="shared" si="76"/>
        <v>0</v>
      </c>
      <c r="O159" s="1376">
        <v>4</v>
      </c>
    </row>
    <row r="160" spans="1:15">
      <c r="A160" s="1090" t="s">
        <v>842</v>
      </c>
      <c r="B160" s="198">
        <v>456.1</v>
      </c>
      <c r="C160" s="203" t="s">
        <v>846</v>
      </c>
      <c r="D160" s="199" t="s">
        <v>847</v>
      </c>
      <c r="E160" s="1386">
        <v>402147.6</v>
      </c>
      <c r="F160" s="1373" t="s">
        <v>565</v>
      </c>
      <c r="G160" s="1375">
        <f t="shared" si="73"/>
        <v>402147.6</v>
      </c>
      <c r="H160" s="1376">
        <v>0</v>
      </c>
      <c r="I160" s="1376">
        <f t="shared" si="74"/>
        <v>402147.6</v>
      </c>
      <c r="J160" s="1375">
        <f t="shared" si="75"/>
        <v>0</v>
      </c>
      <c r="K160" s="1378"/>
      <c r="L160" s="1379"/>
      <c r="M160" s="1376">
        <f t="shared" si="78"/>
        <v>0</v>
      </c>
      <c r="N160" s="1375">
        <f t="shared" si="76"/>
        <v>0</v>
      </c>
      <c r="O160" s="1376">
        <v>4</v>
      </c>
    </row>
    <row r="161" spans="1:15">
      <c r="A161" s="1090" t="s">
        <v>845</v>
      </c>
      <c r="B161" s="198">
        <v>456.1</v>
      </c>
      <c r="C161" s="203" t="s">
        <v>849</v>
      </c>
      <c r="D161" s="199" t="s">
        <v>850</v>
      </c>
      <c r="E161" s="1386"/>
      <c r="F161" s="1373" t="s">
        <v>565</v>
      </c>
      <c r="G161" s="1375">
        <f t="shared" si="73"/>
        <v>0</v>
      </c>
      <c r="H161" s="1376">
        <v>0</v>
      </c>
      <c r="I161" s="1376">
        <f t="shared" si="74"/>
        <v>0</v>
      </c>
      <c r="J161" s="1375">
        <f t="shared" si="75"/>
        <v>0</v>
      </c>
      <c r="K161" s="1378"/>
      <c r="L161" s="1379"/>
      <c r="M161" s="1376">
        <f t="shared" si="78"/>
        <v>0</v>
      </c>
      <c r="N161" s="1375">
        <f t="shared" si="76"/>
        <v>0</v>
      </c>
      <c r="O161" s="1376">
        <v>4</v>
      </c>
    </row>
    <row r="162" spans="1:15">
      <c r="A162" s="1090" t="s">
        <v>848</v>
      </c>
      <c r="B162" s="198">
        <v>456.1</v>
      </c>
      <c r="C162" s="203" t="s">
        <v>852</v>
      </c>
      <c r="D162" s="199" t="s">
        <v>853</v>
      </c>
      <c r="E162" s="1386"/>
      <c r="F162" s="1373" t="s">
        <v>565</v>
      </c>
      <c r="G162" s="1375">
        <f t="shared" si="73"/>
        <v>0</v>
      </c>
      <c r="H162" s="1376">
        <v>0</v>
      </c>
      <c r="I162" s="1376">
        <f t="shared" si="74"/>
        <v>0</v>
      </c>
      <c r="J162" s="1375">
        <f t="shared" si="75"/>
        <v>0</v>
      </c>
      <c r="K162" s="1378"/>
      <c r="L162" s="1379"/>
      <c r="M162" s="1376">
        <f t="shared" si="78"/>
        <v>0</v>
      </c>
      <c r="N162" s="1375">
        <f t="shared" si="76"/>
        <v>0</v>
      </c>
      <c r="O162" s="1376">
        <v>4</v>
      </c>
    </row>
    <row r="163" spans="1:15">
      <c r="A163" s="1090" t="s">
        <v>851</v>
      </c>
      <c r="B163" s="198">
        <v>456.1</v>
      </c>
      <c r="C163" s="203" t="s">
        <v>855</v>
      </c>
      <c r="D163" s="199" t="s">
        <v>856</v>
      </c>
      <c r="E163" s="1386">
        <v>651331.07999999996</v>
      </c>
      <c r="F163" s="1373" t="s">
        <v>565</v>
      </c>
      <c r="G163" s="1375">
        <f t="shared" ref="G163" si="79">IF(F163=$G$2,E163,0)</f>
        <v>651331.07999999996</v>
      </c>
      <c r="H163" s="1376">
        <v>0</v>
      </c>
      <c r="I163" s="1376">
        <f t="shared" si="74"/>
        <v>651331.07999999996</v>
      </c>
      <c r="J163" s="1375">
        <f t="shared" si="75"/>
        <v>0</v>
      </c>
      <c r="K163" s="1378"/>
      <c r="L163" s="1379"/>
      <c r="M163" s="1376">
        <f t="shared" si="78"/>
        <v>0</v>
      </c>
      <c r="N163" s="1375">
        <f t="shared" si="76"/>
        <v>0</v>
      </c>
      <c r="O163" s="1376">
        <v>4</v>
      </c>
    </row>
    <row r="164" spans="1:15">
      <c r="A164" s="1090" t="s">
        <v>854</v>
      </c>
      <c r="B164" s="198">
        <v>456.1</v>
      </c>
      <c r="C164" s="203" t="s">
        <v>858</v>
      </c>
      <c r="D164" s="199" t="s">
        <v>859</v>
      </c>
      <c r="E164" s="1386">
        <v>207840.12</v>
      </c>
      <c r="F164" s="1373" t="s">
        <v>565</v>
      </c>
      <c r="G164" s="1375">
        <f t="shared" ref="G164:G169" si="80">IF(F164=$G$2,E164,0)</f>
        <v>207840.12</v>
      </c>
      <c r="H164" s="1376">
        <v>0</v>
      </c>
      <c r="I164" s="1376">
        <f t="shared" si="74"/>
        <v>207840.12</v>
      </c>
      <c r="J164" s="1375">
        <f t="shared" ref="J164" si="81">IF(F164=$J$2,E164,0)</f>
        <v>0</v>
      </c>
      <c r="K164" s="1378"/>
      <c r="L164" s="1379"/>
      <c r="M164" s="1376">
        <f t="shared" si="78"/>
        <v>0</v>
      </c>
      <c r="N164" s="1375">
        <f t="shared" si="76"/>
        <v>0</v>
      </c>
      <c r="O164" s="1376">
        <v>4</v>
      </c>
    </row>
    <row r="165" spans="1:15">
      <c r="A165" s="1090" t="s">
        <v>857</v>
      </c>
      <c r="B165" s="198">
        <v>456.1</v>
      </c>
      <c r="C165" s="203" t="s">
        <v>862</v>
      </c>
      <c r="D165" s="199" t="s">
        <v>863</v>
      </c>
      <c r="E165" s="1386">
        <v>42492.12</v>
      </c>
      <c r="F165" s="1373" t="s">
        <v>565</v>
      </c>
      <c r="G165" s="1375">
        <f t="shared" si="80"/>
        <v>42492.12</v>
      </c>
      <c r="H165" s="1376">
        <v>0</v>
      </c>
      <c r="I165" s="1376">
        <f t="shared" si="74"/>
        <v>42492.12</v>
      </c>
      <c r="J165" s="1375">
        <f>IF(F165=$J$2,E165,0)</f>
        <v>0</v>
      </c>
      <c r="K165" s="1378"/>
      <c r="L165" s="1379"/>
      <c r="M165" s="1376">
        <f t="shared" si="78"/>
        <v>0</v>
      </c>
      <c r="N165" s="1375">
        <f t="shared" si="76"/>
        <v>0</v>
      </c>
      <c r="O165" s="1376">
        <v>4</v>
      </c>
    </row>
    <row r="166" spans="1:15">
      <c r="A166" s="1090" t="s">
        <v>860</v>
      </c>
      <c r="B166" s="198">
        <v>456.1</v>
      </c>
      <c r="C166" s="203" t="s">
        <v>865</v>
      </c>
      <c r="D166" s="199" t="s">
        <v>866</v>
      </c>
      <c r="E166" s="1386"/>
      <c r="F166" s="1373" t="s">
        <v>567</v>
      </c>
      <c r="G166" s="1375">
        <f t="shared" si="80"/>
        <v>0</v>
      </c>
      <c r="H166" s="1376">
        <v>0</v>
      </c>
      <c r="I166" s="1376">
        <f t="shared" si="74"/>
        <v>0</v>
      </c>
      <c r="J166" s="1375">
        <f>IF(F166=$J$2,E166,0)</f>
        <v>0</v>
      </c>
      <c r="K166" s="1378"/>
      <c r="L166" s="1379"/>
      <c r="M166" s="1376">
        <f t="shared" si="78"/>
        <v>0</v>
      </c>
      <c r="N166" s="1375">
        <f t="shared" si="76"/>
        <v>0</v>
      </c>
      <c r="O166" s="1376">
        <v>6</v>
      </c>
    </row>
    <row r="167" spans="1:15" s="955" customFormat="1">
      <c r="A167" s="890" t="s">
        <v>861</v>
      </c>
      <c r="B167" s="1118">
        <v>456.1</v>
      </c>
      <c r="C167" s="889" t="s">
        <v>2388</v>
      </c>
      <c r="D167" s="889" t="s">
        <v>2389</v>
      </c>
      <c r="E167" s="1386">
        <v>96303.72</v>
      </c>
      <c r="F167" s="1373" t="s">
        <v>565</v>
      </c>
      <c r="G167" s="1375">
        <f t="shared" si="80"/>
        <v>96303.72</v>
      </c>
      <c r="H167" s="1376">
        <v>0</v>
      </c>
      <c r="I167" s="1376">
        <f t="shared" si="74"/>
        <v>96303.72</v>
      </c>
      <c r="J167" s="1375">
        <f>IF(F167=$J$2,E167,0)</f>
        <v>0</v>
      </c>
      <c r="K167" s="1387"/>
      <c r="L167" s="1377"/>
      <c r="M167" s="1376">
        <f t="shared" si="78"/>
        <v>0</v>
      </c>
      <c r="N167" s="1375">
        <f t="shared" si="76"/>
        <v>0</v>
      </c>
      <c r="O167" s="1385">
        <v>4</v>
      </c>
    </row>
    <row r="168" spans="1:15" s="955" customFormat="1">
      <c r="A168" s="890" t="s">
        <v>864</v>
      </c>
      <c r="B168" s="1118">
        <v>456.1</v>
      </c>
      <c r="C168" s="889" t="s">
        <v>2390</v>
      </c>
      <c r="D168" s="889" t="s">
        <v>2391</v>
      </c>
      <c r="E168" s="1386">
        <v>104526.97</v>
      </c>
      <c r="F168" s="1373" t="s">
        <v>565</v>
      </c>
      <c r="G168" s="1375">
        <f t="shared" si="80"/>
        <v>104526.97</v>
      </c>
      <c r="H168" s="1376">
        <v>0</v>
      </c>
      <c r="I168" s="1376">
        <f t="shared" si="74"/>
        <v>104526.97</v>
      </c>
      <c r="J168" s="1375">
        <f>IF(F168=$J$2,E168,0)</f>
        <v>0</v>
      </c>
      <c r="K168" s="1387"/>
      <c r="L168" s="1377"/>
      <c r="M168" s="1376">
        <f t="shared" si="78"/>
        <v>0</v>
      </c>
      <c r="N168" s="1375">
        <f t="shared" si="76"/>
        <v>0</v>
      </c>
      <c r="O168" s="1385">
        <v>4</v>
      </c>
    </row>
    <row r="169" spans="1:15">
      <c r="A169" s="890" t="s">
        <v>2387</v>
      </c>
      <c r="B169" s="1118">
        <v>456.1</v>
      </c>
      <c r="C169" s="889" t="s">
        <v>2392</v>
      </c>
      <c r="D169" s="1117" t="s">
        <v>2393</v>
      </c>
      <c r="E169" s="1386">
        <v>3054806.5</v>
      </c>
      <c r="F169" s="1386" t="s">
        <v>567</v>
      </c>
      <c r="G169" s="1375">
        <f t="shared" si="80"/>
        <v>0</v>
      </c>
      <c r="H169" s="1376">
        <v>0</v>
      </c>
      <c r="I169" s="1376">
        <f t="shared" si="74"/>
        <v>0</v>
      </c>
      <c r="J169" s="1375">
        <f>IF(F169=$J$2,E169,0)</f>
        <v>0</v>
      </c>
      <c r="K169" s="1387"/>
      <c r="L169" s="1377"/>
      <c r="M169" s="1376">
        <f t="shared" si="78"/>
        <v>0</v>
      </c>
      <c r="N169" s="1375">
        <f t="shared" si="76"/>
        <v>3054806.5</v>
      </c>
      <c r="O169" s="1385">
        <v>6</v>
      </c>
    </row>
    <row r="170" spans="1:15" s="955" customFormat="1">
      <c r="A170" s="1343" t="s">
        <v>2666</v>
      </c>
      <c r="B170" s="1344">
        <v>456.1</v>
      </c>
      <c r="C170" s="1346" t="s">
        <v>865</v>
      </c>
      <c r="D170" s="1345" t="s">
        <v>2667</v>
      </c>
      <c r="E170" s="1386">
        <v>15249.85</v>
      </c>
      <c r="F170" s="1386" t="s">
        <v>567</v>
      </c>
      <c r="G170" s="1388">
        <f t="shared" ref="G170:G172" si="82">IF(F170=$G$2,E170,0)</f>
        <v>0</v>
      </c>
      <c r="H170" s="1385">
        <v>0</v>
      </c>
      <c r="I170" s="1385">
        <f t="shared" ref="I170:I172" si="83">G170-H170</f>
        <v>0</v>
      </c>
      <c r="J170" s="1388">
        <f t="shared" ref="J170:J172" si="84">IF(F170=$J$2,E170,0)</f>
        <v>0</v>
      </c>
      <c r="K170" s="1387"/>
      <c r="L170" s="1377"/>
      <c r="M170" s="1376">
        <f t="shared" ref="M170:M172" si="85">J170-L170</f>
        <v>0</v>
      </c>
      <c r="N170" s="1375">
        <f t="shared" ref="N170:N172" si="86">IF(F170=$N$2,E170,0)</f>
        <v>15249.85</v>
      </c>
      <c r="O170" s="1385">
        <v>6</v>
      </c>
    </row>
    <row r="171" spans="1:15" s="955" customFormat="1">
      <c r="A171" s="1343" t="s">
        <v>2668</v>
      </c>
      <c r="B171" s="1344">
        <v>456.1</v>
      </c>
      <c r="C171" s="1346" t="s">
        <v>2670</v>
      </c>
      <c r="D171" s="1345" t="s">
        <v>2669</v>
      </c>
      <c r="E171" s="1386">
        <v>35.08</v>
      </c>
      <c r="F171" s="1386" t="s">
        <v>567</v>
      </c>
      <c r="G171" s="1388">
        <f t="shared" si="82"/>
        <v>0</v>
      </c>
      <c r="H171" s="1385">
        <v>0</v>
      </c>
      <c r="I171" s="1385">
        <f t="shared" si="83"/>
        <v>0</v>
      </c>
      <c r="J171" s="1388">
        <f t="shared" si="84"/>
        <v>0</v>
      </c>
      <c r="K171" s="1387"/>
      <c r="L171" s="1377"/>
      <c r="M171" s="1376">
        <f t="shared" si="85"/>
        <v>0</v>
      </c>
      <c r="N171" s="1375">
        <f t="shared" si="86"/>
        <v>35.08</v>
      </c>
      <c r="O171" s="1385">
        <v>6</v>
      </c>
    </row>
    <row r="172" spans="1:15" s="465" customFormat="1">
      <c r="A172" s="1343" t="s">
        <v>2786</v>
      </c>
      <c r="B172" s="1465">
        <v>456.1</v>
      </c>
      <c r="C172" s="1476" t="s">
        <v>2787</v>
      </c>
      <c r="D172" s="543" t="s">
        <v>2788</v>
      </c>
      <c r="E172" s="1386">
        <v>8479669</v>
      </c>
      <c r="F172" s="1386" t="s">
        <v>567</v>
      </c>
      <c r="G172" s="1388">
        <f t="shared" si="82"/>
        <v>0</v>
      </c>
      <c r="H172" s="1385">
        <v>0</v>
      </c>
      <c r="I172" s="1385">
        <f t="shared" si="83"/>
        <v>0</v>
      </c>
      <c r="J172" s="1388">
        <f t="shared" si="84"/>
        <v>0</v>
      </c>
      <c r="K172" s="1387"/>
      <c r="L172" s="1377"/>
      <c r="M172" s="1385">
        <f t="shared" si="85"/>
        <v>0</v>
      </c>
      <c r="N172" s="1384">
        <f t="shared" si="86"/>
        <v>8479669</v>
      </c>
      <c r="O172" s="1385">
        <v>6</v>
      </c>
    </row>
    <row r="173" spans="1:15" s="463" customFormat="1">
      <c r="A173" s="1445"/>
      <c r="B173" s="1446"/>
      <c r="C173" s="1448"/>
      <c r="D173" s="1449"/>
      <c r="E173" s="1386"/>
      <c r="F173" s="1386"/>
      <c r="G173" s="1373"/>
      <c r="H173" s="1377"/>
      <c r="I173" s="1377"/>
      <c r="J173" s="1373"/>
      <c r="K173" s="1386"/>
      <c r="L173" s="1377"/>
      <c r="M173" s="1377"/>
      <c r="N173" s="1383"/>
      <c r="O173" s="1377"/>
    </row>
    <row r="174" spans="1:15">
      <c r="A174" s="325"/>
      <c r="B174" s="322"/>
      <c r="C174" s="321"/>
      <c r="D174" s="323"/>
      <c r="E174" s="300"/>
      <c r="F174" s="300"/>
      <c r="G174" s="301"/>
      <c r="H174" s="299"/>
      <c r="I174" s="299"/>
      <c r="J174" s="297"/>
      <c r="K174" s="300"/>
      <c r="L174" s="299"/>
      <c r="M174" s="299"/>
      <c r="N174" s="297"/>
      <c r="O174" s="298"/>
    </row>
    <row r="175" spans="1:15" ht="13">
      <c r="A175" s="202">
        <v>16</v>
      </c>
      <c r="B175" s="1523" t="s">
        <v>867</v>
      </c>
      <c r="C175" s="1524"/>
      <c r="D175" s="1525"/>
      <c r="E175" s="305">
        <f>SUM(E150:E174)</f>
        <v>129913731.44999999</v>
      </c>
      <c r="F175" s="314"/>
      <c r="G175" s="305">
        <f>SUM(G150:G174)</f>
        <v>47359660.809999995</v>
      </c>
      <c r="H175" s="305">
        <f>SUM(H150:H174)</f>
        <v>35750160</v>
      </c>
      <c r="I175" s="305">
        <f>SUM(I150:I174)</f>
        <v>11609500.809999999</v>
      </c>
      <c r="J175" s="305">
        <f>SUM(J150:J174)</f>
        <v>0</v>
      </c>
      <c r="K175" s="314"/>
      <c r="L175" s="305">
        <f>SUM(L150:L174)</f>
        <v>0</v>
      </c>
      <c r="M175" s="305">
        <f>SUM(M150:M174)</f>
        <v>0</v>
      </c>
      <c r="N175" s="305">
        <f>SUM(N150:N174)</f>
        <v>82554070.639999986</v>
      </c>
      <c r="O175" s="191"/>
    </row>
    <row r="176" spans="1:15" ht="25.5" customHeight="1">
      <c r="A176" s="202">
        <v>17</v>
      </c>
      <c r="B176" s="1543" t="s">
        <v>1221</v>
      </c>
      <c r="C176" s="1544"/>
      <c r="D176" s="1545"/>
      <c r="E176" s="1073">
        <v>129913731</v>
      </c>
      <c r="F176" s="304"/>
      <c r="G176" s="316"/>
      <c r="H176" s="304"/>
      <c r="I176" s="306"/>
      <c r="J176" s="290"/>
      <c r="K176" s="306"/>
      <c r="L176" s="290"/>
      <c r="M176" s="290"/>
      <c r="N176" s="290"/>
      <c r="O176" s="189"/>
    </row>
    <row r="177" spans="1:15" ht="13">
      <c r="A177" s="205"/>
      <c r="B177" s="206"/>
      <c r="C177" s="207"/>
      <c r="D177" s="208"/>
      <c r="E177" s="290"/>
      <c r="F177" s="290"/>
      <c r="G177" s="290"/>
      <c r="H177" s="306"/>
      <c r="I177" s="306"/>
      <c r="J177" s="290"/>
      <c r="K177" s="306"/>
      <c r="L177" s="290"/>
      <c r="M177" s="290"/>
      <c r="N177" s="290"/>
      <c r="O177" s="189"/>
    </row>
    <row r="178" spans="1:15" ht="13">
      <c r="A178" s="325"/>
      <c r="B178" s="324"/>
      <c r="C178" s="343"/>
      <c r="D178" s="343"/>
      <c r="E178" s="344"/>
      <c r="F178" s="344"/>
      <c r="G178" s="344"/>
      <c r="H178" s="344"/>
      <c r="I178" s="344"/>
      <c r="J178" s="344"/>
      <c r="K178" s="344"/>
      <c r="L178" s="344"/>
      <c r="M178" s="344"/>
      <c r="N178" s="344"/>
      <c r="O178" s="298"/>
    </row>
    <row r="179" spans="1:15" ht="13">
      <c r="A179" s="325"/>
      <c r="B179" s="345"/>
      <c r="C179" s="343"/>
      <c r="D179" s="343"/>
      <c r="E179" s="344"/>
      <c r="F179" s="344"/>
      <c r="G179" s="344"/>
      <c r="H179" s="344"/>
      <c r="I179" s="344"/>
      <c r="J179" s="344"/>
      <c r="K179" s="344"/>
      <c r="L179" s="344"/>
      <c r="M179" s="344"/>
      <c r="N179" s="344"/>
      <c r="O179" s="298"/>
    </row>
    <row r="180" spans="1:15" ht="13">
      <c r="A180" s="197">
        <v>19</v>
      </c>
      <c r="B180" s="1523" t="s">
        <v>868</v>
      </c>
      <c r="C180" s="1524"/>
      <c r="D180" s="1525"/>
      <c r="E180" s="291">
        <f>SUM(E178:E179)</f>
        <v>0</v>
      </c>
      <c r="F180" s="349"/>
      <c r="G180" s="291">
        <f>SUM(G178:G179)</f>
        <v>0</v>
      </c>
      <c r="H180" s="291">
        <f>SUM(H178:H179)</f>
        <v>0</v>
      </c>
      <c r="I180" s="291">
        <f>SUM(I178:I179)</f>
        <v>0</v>
      </c>
      <c r="J180" s="291">
        <f>SUM(J178:J179)</f>
        <v>0</v>
      </c>
      <c r="K180" s="314"/>
      <c r="L180" s="291">
        <f>SUM(L178:L179)</f>
        <v>0</v>
      </c>
      <c r="M180" s="291">
        <f>SUM(M178:M179)</f>
        <v>0</v>
      </c>
      <c r="N180" s="291">
        <f>SUM(N178:N179)</f>
        <v>0</v>
      </c>
      <c r="O180" s="291"/>
    </row>
    <row r="181" spans="1:15" ht="26.25" customHeight="1">
      <c r="A181" s="197">
        <v>20</v>
      </c>
      <c r="B181" s="1530" t="s">
        <v>1227</v>
      </c>
      <c r="C181" s="1531"/>
      <c r="D181" s="1532"/>
      <c r="E181" s="303">
        <v>0</v>
      </c>
      <c r="F181" s="290"/>
      <c r="G181" s="292"/>
      <c r="H181" s="304"/>
      <c r="I181" s="304"/>
      <c r="J181" s="292"/>
      <c r="K181" s="304"/>
      <c r="L181" s="292"/>
      <c r="M181" s="292"/>
      <c r="N181" s="292"/>
      <c r="O181" s="394"/>
    </row>
    <row r="182" spans="1:15" ht="13">
      <c r="A182" s="205"/>
      <c r="B182" s="206"/>
      <c r="C182" s="207"/>
      <c r="D182" s="208"/>
      <c r="E182" s="290"/>
      <c r="F182" s="290"/>
      <c r="G182" s="292"/>
      <c r="H182" s="304"/>
      <c r="I182" s="304"/>
      <c r="J182" s="292"/>
      <c r="K182" s="304"/>
      <c r="L182" s="292"/>
      <c r="M182" s="292"/>
      <c r="N182" s="292"/>
      <c r="O182" s="394"/>
    </row>
    <row r="183" spans="1:15" ht="13">
      <c r="A183" s="325"/>
      <c r="B183" s="324"/>
      <c r="C183" s="343"/>
      <c r="D183" s="343"/>
      <c r="E183" s="344"/>
      <c r="F183" s="344"/>
      <c r="G183" s="303"/>
      <c r="H183" s="303"/>
      <c r="I183" s="303"/>
      <c r="J183" s="303"/>
      <c r="K183" s="303"/>
      <c r="L183" s="303"/>
      <c r="M183" s="303"/>
      <c r="N183" s="303"/>
      <c r="O183" s="299"/>
    </row>
    <row r="184" spans="1:15" ht="13">
      <c r="A184" s="325"/>
      <c r="B184" s="345"/>
      <c r="C184" s="343"/>
      <c r="D184" s="343"/>
      <c r="E184" s="344"/>
      <c r="F184" s="344"/>
      <c r="G184" s="303"/>
      <c r="H184" s="303"/>
      <c r="I184" s="303"/>
      <c r="J184" s="303"/>
      <c r="K184" s="303"/>
      <c r="L184" s="303"/>
      <c r="M184" s="303"/>
      <c r="N184" s="303"/>
      <c r="O184" s="299"/>
    </row>
    <row r="185" spans="1:15" ht="13">
      <c r="A185" s="197">
        <v>22</v>
      </c>
      <c r="B185" s="1523" t="s">
        <v>869</v>
      </c>
      <c r="C185" s="1524"/>
      <c r="D185" s="1525"/>
      <c r="E185" s="291">
        <f>SUM(E183:E184)</f>
        <v>0</v>
      </c>
      <c r="F185" s="349"/>
      <c r="G185" s="291">
        <f>SUM(G183:G184)</f>
        <v>0</v>
      </c>
      <c r="H185" s="291">
        <f>SUM(H183:H184)</f>
        <v>0</v>
      </c>
      <c r="I185" s="291">
        <f>SUM(I183:I184)</f>
        <v>0</v>
      </c>
      <c r="J185" s="291">
        <f>SUM(J183:J184)</f>
        <v>0</v>
      </c>
      <c r="K185" s="314"/>
      <c r="L185" s="291">
        <f>SUM(L183:L184)</f>
        <v>0</v>
      </c>
      <c r="M185" s="291">
        <f>SUM(M183:M184)</f>
        <v>0</v>
      </c>
      <c r="N185" s="291">
        <f>SUM(N183:N184)</f>
        <v>0</v>
      </c>
      <c r="O185" s="291"/>
    </row>
    <row r="186" spans="1:15" ht="26.25" customHeight="1">
      <c r="A186" s="197">
        <v>23</v>
      </c>
      <c r="B186" s="1530" t="s">
        <v>1228</v>
      </c>
      <c r="C186" s="1531"/>
      <c r="D186" s="1532"/>
      <c r="E186" s="303">
        <v>0</v>
      </c>
      <c r="F186" s="290"/>
      <c r="G186" s="290"/>
      <c r="H186" s="306"/>
      <c r="I186" s="306"/>
      <c r="J186" s="290"/>
      <c r="K186" s="306"/>
      <c r="L186" s="290"/>
      <c r="M186" s="290"/>
      <c r="N186" s="290"/>
      <c r="O186" s="189"/>
    </row>
    <row r="187" spans="1:15" ht="13">
      <c r="A187" s="205"/>
      <c r="B187" s="206"/>
      <c r="C187" s="207"/>
      <c r="D187" s="208"/>
      <c r="E187" s="290"/>
      <c r="F187" s="290"/>
      <c r="G187" s="290"/>
      <c r="H187" s="306"/>
      <c r="I187" s="306"/>
      <c r="J187" s="290"/>
      <c r="K187" s="306"/>
      <c r="L187" s="290"/>
      <c r="M187" s="290"/>
      <c r="N187" s="290"/>
      <c r="O187" s="189"/>
    </row>
    <row r="188" spans="1:15" ht="13">
      <c r="A188" s="205"/>
      <c r="B188" s="206" t="s">
        <v>870</v>
      </c>
      <c r="C188" s="207"/>
      <c r="D188" s="208"/>
      <c r="E188" s="1360"/>
      <c r="F188" s="290"/>
      <c r="G188" s="290"/>
      <c r="H188" s="306"/>
      <c r="I188" s="306"/>
      <c r="J188" s="290"/>
      <c r="K188" s="306"/>
      <c r="L188" s="290"/>
      <c r="M188" s="290"/>
      <c r="N188" s="290"/>
      <c r="O188" s="189"/>
    </row>
    <row r="189" spans="1:15">
      <c r="A189" s="1090" t="s">
        <v>871</v>
      </c>
      <c r="B189" s="216">
        <v>417</v>
      </c>
      <c r="C189" s="296">
        <v>4863130</v>
      </c>
      <c r="D189" s="212" t="s">
        <v>873</v>
      </c>
      <c r="E189" s="1367">
        <v>579273.89</v>
      </c>
      <c r="F189" s="974" t="s">
        <v>566</v>
      </c>
      <c r="G189" s="293">
        <f t="shared" ref="G189:G201" si="87">IF(F189=$G$2,E189,0)</f>
        <v>0</v>
      </c>
      <c r="H189" s="201">
        <v>0</v>
      </c>
      <c r="I189" s="201">
        <f t="shared" ref="I189:I203" si="88">G189-H189</f>
        <v>0</v>
      </c>
      <c r="J189" s="293">
        <f t="shared" ref="J189:J201" si="89">IF(F189=$J$2,E189,0)</f>
        <v>579273.89</v>
      </c>
      <c r="K189" s="541" t="s">
        <v>607</v>
      </c>
      <c r="L189" s="1478">
        <v>113393.74320067</v>
      </c>
      <c r="M189" s="293">
        <f t="shared" ref="M189:M205" si="90">J189-L189</f>
        <v>465880.14679933002</v>
      </c>
      <c r="N189" s="293">
        <f>IF(F189=$N$2,E189,0)</f>
        <v>0</v>
      </c>
      <c r="O189" s="200">
        <v>2</v>
      </c>
    </row>
    <row r="190" spans="1:15">
      <c r="A190" s="1090" t="s">
        <v>872</v>
      </c>
      <c r="B190" s="216">
        <v>417</v>
      </c>
      <c r="C190" s="296">
        <v>4862110</v>
      </c>
      <c r="D190" s="212" t="s">
        <v>875</v>
      </c>
      <c r="E190" s="975">
        <v>8363125.5800000001</v>
      </c>
      <c r="F190" s="974" t="s">
        <v>566</v>
      </c>
      <c r="G190" s="293">
        <f t="shared" si="87"/>
        <v>0</v>
      </c>
      <c r="H190" s="201">
        <v>0</v>
      </c>
      <c r="I190" s="201">
        <f t="shared" si="88"/>
        <v>0</v>
      </c>
      <c r="J190" s="293">
        <f t="shared" si="89"/>
        <v>8363125.5800000001</v>
      </c>
      <c r="K190" s="541" t="s">
        <v>551</v>
      </c>
      <c r="L190" s="974">
        <v>1636370.71968942</v>
      </c>
      <c r="M190" s="293">
        <f t="shared" si="90"/>
        <v>6726754.8603105806</v>
      </c>
      <c r="N190" s="293">
        <f t="shared" ref="N190:N201" si="91">IF(F190=$N$2,E190,0)</f>
        <v>0</v>
      </c>
      <c r="O190" s="200">
        <v>2</v>
      </c>
    </row>
    <row r="191" spans="1:15">
      <c r="A191" s="1090" t="s">
        <v>874</v>
      </c>
      <c r="B191" s="216">
        <v>417</v>
      </c>
      <c r="C191" s="296">
        <v>4862115</v>
      </c>
      <c r="D191" s="212" t="s">
        <v>877</v>
      </c>
      <c r="E191" s="975">
        <v>381528</v>
      </c>
      <c r="F191" s="974" t="s">
        <v>566</v>
      </c>
      <c r="G191" s="293">
        <f t="shared" si="87"/>
        <v>0</v>
      </c>
      <c r="H191" s="201">
        <v>0</v>
      </c>
      <c r="I191" s="201">
        <f t="shared" si="88"/>
        <v>0</v>
      </c>
      <c r="J191" s="293">
        <f t="shared" si="89"/>
        <v>381528</v>
      </c>
      <c r="K191" s="541" t="s">
        <v>551</v>
      </c>
      <c r="L191" s="974">
        <v>75186.088468167596</v>
      </c>
      <c r="M191" s="293">
        <f t="shared" si="90"/>
        <v>306341.91153183242</v>
      </c>
      <c r="N191" s="293">
        <f t="shared" si="91"/>
        <v>0</v>
      </c>
      <c r="O191" s="200">
        <v>2</v>
      </c>
    </row>
    <row r="192" spans="1:15">
      <c r="A192" s="1090" t="s">
        <v>876</v>
      </c>
      <c r="B192" s="216">
        <v>417</v>
      </c>
      <c r="C192" s="296">
        <v>4862120</v>
      </c>
      <c r="D192" s="212" t="s">
        <v>879</v>
      </c>
      <c r="E192" s="975">
        <v>78007.929999999993</v>
      </c>
      <c r="F192" s="974" t="s">
        <v>566</v>
      </c>
      <c r="G192" s="293">
        <f t="shared" si="87"/>
        <v>0</v>
      </c>
      <c r="H192" s="201">
        <v>0</v>
      </c>
      <c r="I192" s="201">
        <f t="shared" si="88"/>
        <v>0</v>
      </c>
      <c r="J192" s="293">
        <f t="shared" si="89"/>
        <v>78007.929999999993</v>
      </c>
      <c r="K192" s="541" t="s">
        <v>551</v>
      </c>
      <c r="L192" s="1373">
        <v>15263.910643380899</v>
      </c>
      <c r="M192" s="293">
        <f t="shared" si="90"/>
        <v>62744.019356619094</v>
      </c>
      <c r="N192" s="293">
        <f t="shared" si="91"/>
        <v>0</v>
      </c>
      <c r="O192" s="200">
        <v>2</v>
      </c>
    </row>
    <row r="193" spans="1:15">
      <c r="A193" s="1090" t="s">
        <v>878</v>
      </c>
      <c r="B193" s="216">
        <v>417</v>
      </c>
      <c r="C193" s="296">
        <v>4862135</v>
      </c>
      <c r="D193" s="212" t="s">
        <v>881</v>
      </c>
      <c r="E193" s="1368">
        <v>14770442.08</v>
      </c>
      <c r="F193" s="974" t="s">
        <v>566</v>
      </c>
      <c r="G193" s="293">
        <f t="shared" si="87"/>
        <v>0</v>
      </c>
      <c r="H193" s="201">
        <v>0</v>
      </c>
      <c r="I193" s="201">
        <f t="shared" si="88"/>
        <v>0</v>
      </c>
      <c r="J193" s="293">
        <f t="shared" si="89"/>
        <v>14770442.08</v>
      </c>
      <c r="K193" s="541" t="s">
        <v>551</v>
      </c>
      <c r="L193" s="1368">
        <v>3088534.2736134501</v>
      </c>
      <c r="M193" s="293">
        <f t="shared" si="90"/>
        <v>11681907.806386549</v>
      </c>
      <c r="N193" s="293">
        <f t="shared" si="91"/>
        <v>0</v>
      </c>
      <c r="O193" s="200">
        <v>2</v>
      </c>
    </row>
    <row r="194" spans="1:15">
      <c r="A194" s="1090" t="s">
        <v>880</v>
      </c>
      <c r="B194" s="216">
        <v>417</v>
      </c>
      <c r="C194" s="296">
        <v>4864115</v>
      </c>
      <c r="D194" s="212" t="s">
        <v>884</v>
      </c>
      <c r="E194" s="1368">
        <v>354333.61</v>
      </c>
      <c r="F194" s="974" t="s">
        <v>566</v>
      </c>
      <c r="G194" s="293">
        <f t="shared" si="87"/>
        <v>0</v>
      </c>
      <c r="H194" s="201">
        <v>0</v>
      </c>
      <c r="I194" s="201">
        <f t="shared" si="88"/>
        <v>0</v>
      </c>
      <c r="J194" s="293">
        <f t="shared" si="89"/>
        <v>354333.61</v>
      </c>
      <c r="K194" s="541" t="s">
        <v>551</v>
      </c>
      <c r="L194" s="1368">
        <v>64320.026518875697</v>
      </c>
      <c r="M194" s="293">
        <f t="shared" si="90"/>
        <v>290013.58348112431</v>
      </c>
      <c r="N194" s="293">
        <f t="shared" si="91"/>
        <v>0</v>
      </c>
      <c r="O194" s="200">
        <v>2</v>
      </c>
    </row>
    <row r="195" spans="1:15">
      <c r="A195" s="1090" t="s">
        <v>882</v>
      </c>
      <c r="B195" s="216">
        <v>417</v>
      </c>
      <c r="C195" s="296">
        <v>4862125</v>
      </c>
      <c r="D195" s="212" t="s">
        <v>886</v>
      </c>
      <c r="E195" s="1368">
        <v>15064952.779999999</v>
      </c>
      <c r="F195" s="974" t="s">
        <v>566</v>
      </c>
      <c r="G195" s="293">
        <f t="shared" si="87"/>
        <v>0</v>
      </c>
      <c r="H195" s="201">
        <v>0</v>
      </c>
      <c r="I195" s="201">
        <f t="shared" si="88"/>
        <v>0</v>
      </c>
      <c r="J195" s="293">
        <f t="shared" si="89"/>
        <v>15064952.779999999</v>
      </c>
      <c r="K195" s="541" t="s">
        <v>551</v>
      </c>
      <c r="L195" s="1373">
        <v>2585152.88909146</v>
      </c>
      <c r="M195" s="293">
        <f t="shared" si="90"/>
        <v>12479799.890908539</v>
      </c>
      <c r="N195" s="293">
        <f t="shared" si="91"/>
        <v>0</v>
      </c>
      <c r="O195" s="200">
        <v>2</v>
      </c>
    </row>
    <row r="196" spans="1:15">
      <c r="A196" s="1090" t="s">
        <v>883</v>
      </c>
      <c r="B196" s="216">
        <v>417</v>
      </c>
      <c r="C196" s="296">
        <v>4862130</v>
      </c>
      <c r="D196" s="212" t="s">
        <v>888</v>
      </c>
      <c r="E196" s="1368">
        <v>3865535.36</v>
      </c>
      <c r="F196" s="974" t="s">
        <v>566</v>
      </c>
      <c r="G196" s="293">
        <f t="shared" si="87"/>
        <v>0</v>
      </c>
      <c r="H196" s="201">
        <v>0</v>
      </c>
      <c r="I196" s="201">
        <f t="shared" si="88"/>
        <v>0</v>
      </c>
      <c r="J196" s="293">
        <f t="shared" si="89"/>
        <v>3865535.36</v>
      </c>
      <c r="K196" s="541" t="s">
        <v>551</v>
      </c>
      <c r="L196" s="1373">
        <v>722260.11523874302</v>
      </c>
      <c r="M196" s="293">
        <f t="shared" si="90"/>
        <v>3143275.244761257</v>
      </c>
      <c r="N196" s="293">
        <f t="shared" si="91"/>
        <v>0</v>
      </c>
      <c r="O196" s="200">
        <v>2</v>
      </c>
    </row>
    <row r="197" spans="1:15">
      <c r="A197" s="1090" t="s">
        <v>885</v>
      </c>
      <c r="B197" s="216">
        <v>417</v>
      </c>
      <c r="C197" s="296">
        <v>4863120</v>
      </c>
      <c r="D197" s="212" t="s">
        <v>890</v>
      </c>
      <c r="E197" s="1368">
        <v>454848.62</v>
      </c>
      <c r="F197" s="974" t="s">
        <v>566</v>
      </c>
      <c r="G197" s="293">
        <f t="shared" si="87"/>
        <v>0</v>
      </c>
      <c r="H197" s="201">
        <v>0</v>
      </c>
      <c r="I197" s="201">
        <f t="shared" si="88"/>
        <v>0</v>
      </c>
      <c r="J197" s="293">
        <f t="shared" si="89"/>
        <v>454848.62</v>
      </c>
      <c r="K197" s="541" t="s">
        <v>607</v>
      </c>
      <c r="L197" s="1373">
        <v>171962.72723270999</v>
      </c>
      <c r="M197" s="293">
        <f t="shared" si="90"/>
        <v>282885.89276729</v>
      </c>
      <c r="N197" s="293">
        <f t="shared" si="91"/>
        <v>0</v>
      </c>
      <c r="O197" s="200">
        <v>2</v>
      </c>
    </row>
    <row r="198" spans="1:15">
      <c r="A198" s="1090" t="s">
        <v>887</v>
      </c>
      <c r="B198" s="216">
        <v>417</v>
      </c>
      <c r="C198" s="296">
        <v>4863110</v>
      </c>
      <c r="D198" s="212" t="s">
        <v>892</v>
      </c>
      <c r="E198" s="1368">
        <v>4104815.36</v>
      </c>
      <c r="F198" s="974" t="s">
        <v>566</v>
      </c>
      <c r="G198" s="293">
        <f t="shared" si="87"/>
        <v>0</v>
      </c>
      <c r="H198" s="201">
        <v>0</v>
      </c>
      <c r="I198" s="201">
        <f t="shared" si="88"/>
        <v>0</v>
      </c>
      <c r="J198" s="293">
        <f t="shared" si="89"/>
        <v>4104815.36</v>
      </c>
      <c r="K198" s="541" t="s">
        <v>607</v>
      </c>
      <c r="L198" s="1373">
        <v>839399.29919591395</v>
      </c>
      <c r="M198" s="293">
        <f t="shared" si="90"/>
        <v>3265416.0608040858</v>
      </c>
      <c r="N198" s="293">
        <f t="shared" si="91"/>
        <v>0</v>
      </c>
      <c r="O198" s="200">
        <v>2</v>
      </c>
    </row>
    <row r="199" spans="1:15">
      <c r="A199" s="1090" t="s">
        <v>889</v>
      </c>
      <c r="B199" s="216">
        <v>417</v>
      </c>
      <c r="C199" s="296">
        <v>4863115</v>
      </c>
      <c r="D199" s="212" t="s">
        <v>894</v>
      </c>
      <c r="E199" s="1368">
        <v>1119202.8600000001</v>
      </c>
      <c r="F199" s="974" t="s">
        <v>566</v>
      </c>
      <c r="G199" s="293">
        <f t="shared" si="87"/>
        <v>0</v>
      </c>
      <c r="H199" s="201">
        <v>0</v>
      </c>
      <c r="I199" s="201">
        <f t="shared" si="88"/>
        <v>0</v>
      </c>
      <c r="J199" s="293">
        <f t="shared" si="89"/>
        <v>1119202.8600000001</v>
      </c>
      <c r="K199" s="541" t="s">
        <v>607</v>
      </c>
      <c r="L199" s="1373">
        <v>190875.74970491699</v>
      </c>
      <c r="M199" s="293">
        <f t="shared" si="90"/>
        <v>928327.11029508314</v>
      </c>
      <c r="N199" s="293">
        <f t="shared" si="91"/>
        <v>0</v>
      </c>
      <c r="O199" s="200">
        <v>2</v>
      </c>
    </row>
    <row r="200" spans="1:15">
      <c r="A200" s="1090" t="s">
        <v>891</v>
      </c>
      <c r="B200" s="216">
        <v>417</v>
      </c>
      <c r="C200" s="296">
        <v>4863125</v>
      </c>
      <c r="D200" s="212" t="s">
        <v>896</v>
      </c>
      <c r="E200" s="1368">
        <v>2301475.73</v>
      </c>
      <c r="F200" s="974" t="s">
        <v>566</v>
      </c>
      <c r="G200" s="293">
        <f t="shared" si="87"/>
        <v>0</v>
      </c>
      <c r="H200" s="201">
        <v>0</v>
      </c>
      <c r="I200" s="201">
        <f t="shared" si="88"/>
        <v>0</v>
      </c>
      <c r="J200" s="293">
        <f t="shared" si="89"/>
        <v>2301475.73</v>
      </c>
      <c r="K200" s="541" t="s">
        <v>607</v>
      </c>
      <c r="L200" s="1373">
        <v>352233.66050454602</v>
      </c>
      <c r="M200" s="293">
        <f t="shared" si="90"/>
        <v>1949242.069495454</v>
      </c>
      <c r="N200" s="293">
        <f t="shared" si="91"/>
        <v>0</v>
      </c>
      <c r="O200" s="200">
        <v>2</v>
      </c>
    </row>
    <row r="201" spans="1:15">
      <c r="A201" s="1090" t="s">
        <v>893</v>
      </c>
      <c r="B201" s="216">
        <v>417</v>
      </c>
      <c r="C201" s="296">
        <v>4864120</v>
      </c>
      <c r="D201" s="212" t="s">
        <v>898</v>
      </c>
      <c r="E201" s="975">
        <v>93967.6</v>
      </c>
      <c r="F201" s="974" t="s">
        <v>566</v>
      </c>
      <c r="G201" s="293">
        <f t="shared" si="87"/>
        <v>0</v>
      </c>
      <c r="H201" s="201">
        <v>0</v>
      </c>
      <c r="I201" s="201">
        <f t="shared" si="88"/>
        <v>0</v>
      </c>
      <c r="J201" s="293">
        <f t="shared" si="89"/>
        <v>93967.6</v>
      </c>
      <c r="K201" s="541" t="s">
        <v>551</v>
      </c>
      <c r="L201" s="974">
        <v>12292.8253260782</v>
      </c>
      <c r="M201" s="293">
        <f t="shared" si="90"/>
        <v>81674.774673921813</v>
      </c>
      <c r="N201" s="293">
        <f t="shared" si="91"/>
        <v>0</v>
      </c>
      <c r="O201" s="200">
        <v>2</v>
      </c>
    </row>
    <row r="202" spans="1:15" s="955" customFormat="1">
      <c r="A202" s="890" t="s">
        <v>895</v>
      </c>
      <c r="B202" s="1115">
        <v>417</v>
      </c>
      <c r="C202" s="1116">
        <v>4864116</v>
      </c>
      <c r="D202" s="1117" t="s">
        <v>2394</v>
      </c>
      <c r="E202" s="1369">
        <v>1488414.54</v>
      </c>
      <c r="F202" s="974" t="s">
        <v>566</v>
      </c>
      <c r="G202" s="293">
        <f>IF(F202=$G$2,E202,0)</f>
        <v>0</v>
      </c>
      <c r="H202" s="201">
        <v>0</v>
      </c>
      <c r="I202" s="201">
        <f t="shared" si="88"/>
        <v>0</v>
      </c>
      <c r="J202" s="293">
        <f>IF(F202=$J$2,E202,0)</f>
        <v>1488414.54</v>
      </c>
      <c r="K202" s="541" t="s">
        <v>551</v>
      </c>
      <c r="L202" s="1401">
        <v>339725.60362876998</v>
      </c>
      <c r="M202" s="293">
        <f t="shared" si="90"/>
        <v>1148688.9363712301</v>
      </c>
      <c r="N202" s="293">
        <f>IF(F202=$N$2,E202,0)</f>
        <v>0</v>
      </c>
      <c r="O202" s="200">
        <v>2</v>
      </c>
    </row>
    <row r="203" spans="1:15" s="955" customFormat="1">
      <c r="A203" s="890" t="s">
        <v>897</v>
      </c>
      <c r="B203" s="1115">
        <v>417</v>
      </c>
      <c r="C203" s="1116">
        <v>4864121</v>
      </c>
      <c r="D203" s="1117" t="s">
        <v>2395</v>
      </c>
      <c r="E203" s="1370">
        <v>140794.32</v>
      </c>
      <c r="F203" s="974" t="s">
        <v>566</v>
      </c>
      <c r="G203" s="293">
        <f>IF(F203=$G$2,E203,0)</f>
        <v>0</v>
      </c>
      <c r="H203" s="201">
        <v>0</v>
      </c>
      <c r="I203" s="201">
        <f t="shared" si="88"/>
        <v>0</v>
      </c>
      <c r="J203" s="293">
        <f>IF(F203=$J$2,E203,0)</f>
        <v>140794.32</v>
      </c>
      <c r="K203" s="541" t="s">
        <v>551</v>
      </c>
      <c r="L203" s="974">
        <v>28349.734677888799</v>
      </c>
      <c r="M203" s="293">
        <f t="shared" si="90"/>
        <v>112444.5853221112</v>
      </c>
      <c r="N203" s="293">
        <f>IF(F203=$N$2,E203,0)</f>
        <v>0</v>
      </c>
      <c r="O203" s="200">
        <v>2</v>
      </c>
    </row>
    <row r="204" spans="1:15">
      <c r="A204" s="1347" t="s">
        <v>2671</v>
      </c>
      <c r="B204" s="1336">
        <v>417</v>
      </c>
      <c r="C204" s="1336">
        <v>4864117</v>
      </c>
      <c r="D204" s="1337" t="s">
        <v>2672</v>
      </c>
      <c r="E204" s="1477">
        <v>261361.21</v>
      </c>
      <c r="F204" s="974" t="s">
        <v>566</v>
      </c>
      <c r="G204" s="293">
        <f t="shared" ref="G204:G205" si="92">IF(F204=$G$2,E204,0)</f>
        <v>0</v>
      </c>
      <c r="H204" s="201">
        <v>0</v>
      </c>
      <c r="I204" s="201">
        <f t="shared" ref="I204:I205" si="93">G204-H204</f>
        <v>0</v>
      </c>
      <c r="J204" s="293">
        <f t="shared" ref="J204:J205" si="94">IF(F204=$J$2,E204,0)</f>
        <v>261361.21</v>
      </c>
      <c r="K204" s="541" t="s">
        <v>551</v>
      </c>
      <c r="L204" s="974">
        <v>48699.029299510003</v>
      </c>
      <c r="M204" s="293">
        <f t="shared" si="90"/>
        <v>212662.18070048999</v>
      </c>
      <c r="N204" s="293">
        <f t="shared" ref="N204:N205" si="95">IF(F204=$N$2,E204,0)</f>
        <v>0</v>
      </c>
      <c r="O204" s="200">
        <v>2</v>
      </c>
    </row>
    <row r="205" spans="1:15" s="955" customFormat="1">
      <c r="A205" s="1347" t="s">
        <v>2673</v>
      </c>
      <c r="B205" s="1336">
        <v>417</v>
      </c>
      <c r="C205" s="1336">
        <v>4864122</v>
      </c>
      <c r="D205" s="1337" t="s">
        <v>2674</v>
      </c>
      <c r="E205" s="1477">
        <v>38726.400000000001</v>
      </c>
      <c r="F205" s="974" t="s">
        <v>566</v>
      </c>
      <c r="G205" s="293">
        <f t="shared" si="92"/>
        <v>0</v>
      </c>
      <c r="H205" s="201">
        <v>0</v>
      </c>
      <c r="I205" s="201">
        <f t="shared" si="93"/>
        <v>0</v>
      </c>
      <c r="J205" s="293">
        <f t="shared" si="94"/>
        <v>38726.400000000001</v>
      </c>
      <c r="K205" s="541" t="s">
        <v>551</v>
      </c>
      <c r="L205" s="974">
        <v>6632.7538652679004</v>
      </c>
      <c r="M205" s="293">
        <f t="shared" si="90"/>
        <v>32093.646134732102</v>
      </c>
      <c r="N205" s="293">
        <f t="shared" si="95"/>
        <v>0</v>
      </c>
      <c r="O205" s="200">
        <v>2</v>
      </c>
    </row>
    <row r="206" spans="1:15" s="463" customFormat="1">
      <c r="A206" s="1343" t="s">
        <v>2789</v>
      </c>
      <c r="B206" s="1479">
        <v>417</v>
      </c>
      <c r="C206" s="1116">
        <v>4864200</v>
      </c>
      <c r="D206" s="543" t="s">
        <v>2790</v>
      </c>
      <c r="E206" s="1373">
        <v>-18880.080000000002</v>
      </c>
      <c r="F206" s="974" t="s">
        <v>566</v>
      </c>
      <c r="G206" s="293">
        <f t="shared" ref="G206:G214" si="96">IF(F206=$G$2,E206,0)</f>
        <v>0</v>
      </c>
      <c r="H206" s="201">
        <v>0</v>
      </c>
      <c r="I206" s="201">
        <f t="shared" ref="I206:I214" si="97">G206-H206</f>
        <v>0</v>
      </c>
      <c r="J206" s="293">
        <f t="shared" ref="J206:J214" si="98">IF(F206=$J$2,E206,0)</f>
        <v>-18880.080000000002</v>
      </c>
      <c r="K206" s="541" t="s">
        <v>551</v>
      </c>
      <c r="L206" s="974">
        <v>2099.9352485134</v>
      </c>
      <c r="M206" s="293">
        <f t="shared" ref="M206:M214" si="99">J206-L206</f>
        <v>-20980.015248513402</v>
      </c>
      <c r="N206" s="293">
        <f t="shared" ref="N206:N214" si="100">IF(F206=$N$2,E206,0)</f>
        <v>0</v>
      </c>
      <c r="O206" s="200">
        <v>2</v>
      </c>
    </row>
    <row r="207" spans="1:15" s="463" customFormat="1">
      <c r="A207" s="1343" t="s">
        <v>2791</v>
      </c>
      <c r="B207" s="1479">
        <v>417</v>
      </c>
      <c r="C207" s="1116">
        <v>4864201</v>
      </c>
      <c r="D207" s="543" t="s">
        <v>2792</v>
      </c>
      <c r="E207" s="1373">
        <v>95856</v>
      </c>
      <c r="F207" s="974" t="s">
        <v>566</v>
      </c>
      <c r="G207" s="293">
        <f t="shared" si="96"/>
        <v>0</v>
      </c>
      <c r="H207" s="201">
        <v>0</v>
      </c>
      <c r="I207" s="201">
        <f t="shared" si="97"/>
        <v>0</v>
      </c>
      <c r="J207" s="293">
        <f t="shared" si="98"/>
        <v>95856</v>
      </c>
      <c r="K207" s="541" t="s">
        <v>551</v>
      </c>
      <c r="L207" s="974">
        <v>18889.931342305601</v>
      </c>
      <c r="M207" s="293">
        <f t="shared" si="99"/>
        <v>76966.068657694399</v>
      </c>
      <c r="N207" s="293">
        <f t="shared" si="100"/>
        <v>0</v>
      </c>
      <c r="O207" s="200">
        <v>2</v>
      </c>
    </row>
    <row r="208" spans="1:15" s="463" customFormat="1">
      <c r="A208" s="1343" t="s">
        <v>2793</v>
      </c>
      <c r="B208" s="1479">
        <v>417</v>
      </c>
      <c r="C208" s="1116">
        <v>4864202</v>
      </c>
      <c r="D208" s="543" t="s">
        <v>2794</v>
      </c>
      <c r="E208" s="1373">
        <v>91748.160000000003</v>
      </c>
      <c r="F208" s="974" t="s">
        <v>566</v>
      </c>
      <c r="G208" s="293">
        <f t="shared" si="96"/>
        <v>0</v>
      </c>
      <c r="H208" s="201">
        <v>0</v>
      </c>
      <c r="I208" s="201">
        <f t="shared" si="97"/>
        <v>0</v>
      </c>
      <c r="J208" s="293">
        <f t="shared" si="98"/>
        <v>91748.160000000003</v>
      </c>
      <c r="K208" s="541" t="s">
        <v>551</v>
      </c>
      <c r="L208" s="974">
        <v>13299.556385842399</v>
      </c>
      <c r="M208" s="293">
        <f t="shared" si="99"/>
        <v>78448.603614157604</v>
      </c>
      <c r="N208" s="293">
        <f t="shared" si="100"/>
        <v>0</v>
      </c>
      <c r="O208" s="200">
        <v>2</v>
      </c>
    </row>
    <row r="209" spans="1:15" s="463" customFormat="1">
      <c r="A209" s="1343" t="s">
        <v>2795</v>
      </c>
      <c r="B209" s="1479">
        <v>417</v>
      </c>
      <c r="C209" s="1116">
        <v>4864203</v>
      </c>
      <c r="D209" s="543" t="s">
        <v>2796</v>
      </c>
      <c r="E209" s="1373">
        <v>17025.919999999998</v>
      </c>
      <c r="F209" s="974" t="s">
        <v>566</v>
      </c>
      <c r="G209" s="293">
        <f t="shared" si="96"/>
        <v>0</v>
      </c>
      <c r="H209" s="201">
        <v>0</v>
      </c>
      <c r="I209" s="201">
        <f t="shared" si="97"/>
        <v>0</v>
      </c>
      <c r="J209" s="293">
        <f t="shared" si="98"/>
        <v>17025.919999999998</v>
      </c>
      <c r="K209" s="541" t="s">
        <v>551</v>
      </c>
      <c r="L209" s="974">
        <v>2099.9352485134</v>
      </c>
      <c r="M209" s="293">
        <f t="shared" si="99"/>
        <v>14925.984751486598</v>
      </c>
      <c r="N209" s="293">
        <f t="shared" si="100"/>
        <v>0</v>
      </c>
      <c r="O209" s="200">
        <v>2</v>
      </c>
    </row>
    <row r="210" spans="1:15" s="463" customFormat="1">
      <c r="A210" s="1343" t="s">
        <v>2797</v>
      </c>
      <c r="B210" s="1479">
        <v>417</v>
      </c>
      <c r="C210" s="1116">
        <v>4862105</v>
      </c>
      <c r="D210" s="543" t="s">
        <v>2798</v>
      </c>
      <c r="E210" s="1373">
        <v>-10075.280000000001</v>
      </c>
      <c r="F210" s="974" t="s">
        <v>566</v>
      </c>
      <c r="G210" s="293">
        <f t="shared" si="96"/>
        <v>0</v>
      </c>
      <c r="H210" s="201">
        <v>0</v>
      </c>
      <c r="I210" s="201">
        <f t="shared" si="97"/>
        <v>0</v>
      </c>
      <c r="J210" s="293">
        <f t="shared" si="98"/>
        <v>-10075.280000000001</v>
      </c>
      <c r="K210" s="541" t="s">
        <v>551</v>
      </c>
      <c r="L210" s="974">
        <v>-10075.280000000001</v>
      </c>
      <c r="M210" s="293">
        <f t="shared" si="99"/>
        <v>0</v>
      </c>
      <c r="N210" s="293">
        <f t="shared" si="100"/>
        <v>0</v>
      </c>
      <c r="O210" s="200">
        <v>2</v>
      </c>
    </row>
    <row r="211" spans="1:15" s="463" customFormat="1">
      <c r="A211" s="1343" t="s">
        <v>2799</v>
      </c>
      <c r="B211" s="1479">
        <v>417</v>
      </c>
      <c r="C211" s="1116">
        <v>4863135</v>
      </c>
      <c r="D211" s="543" t="s">
        <v>2800</v>
      </c>
      <c r="E211" s="1373">
        <v>68.42</v>
      </c>
      <c r="F211" s="974" t="s">
        <v>566</v>
      </c>
      <c r="G211" s="293">
        <f t="shared" si="96"/>
        <v>0</v>
      </c>
      <c r="H211" s="201">
        <v>0</v>
      </c>
      <c r="I211" s="201">
        <f t="shared" si="97"/>
        <v>0</v>
      </c>
      <c r="J211" s="293">
        <f t="shared" si="98"/>
        <v>68.42</v>
      </c>
      <c r="K211" s="541" t="s">
        <v>607</v>
      </c>
      <c r="L211" s="974">
        <v>-958.87230125725</v>
      </c>
      <c r="M211" s="293">
        <f t="shared" si="99"/>
        <v>1027.2923012572501</v>
      </c>
      <c r="N211" s="293">
        <f t="shared" si="100"/>
        <v>0</v>
      </c>
      <c r="O211" s="200">
        <v>2</v>
      </c>
    </row>
    <row r="212" spans="1:15" s="463" customFormat="1">
      <c r="A212" s="1343" t="s">
        <v>2801</v>
      </c>
      <c r="B212" s="1479">
        <v>417</v>
      </c>
      <c r="C212" s="1116">
        <v>4864123</v>
      </c>
      <c r="D212" s="543" t="s">
        <v>2802</v>
      </c>
      <c r="E212" s="1373">
        <v>844.8</v>
      </c>
      <c r="F212" s="974" t="s">
        <v>566</v>
      </c>
      <c r="G212" s="293">
        <f t="shared" si="96"/>
        <v>0</v>
      </c>
      <c r="H212" s="201">
        <v>0</v>
      </c>
      <c r="I212" s="201">
        <f t="shared" si="97"/>
        <v>0</v>
      </c>
      <c r="J212" s="293">
        <f t="shared" si="98"/>
        <v>844.8</v>
      </c>
      <c r="K212" s="541" t="s">
        <v>551</v>
      </c>
      <c r="L212" s="974">
        <v>166.49920092069999</v>
      </c>
      <c r="M212" s="293">
        <f t="shared" si="99"/>
        <v>678.30079907929996</v>
      </c>
      <c r="N212" s="293">
        <f t="shared" si="100"/>
        <v>0</v>
      </c>
      <c r="O212" s="200">
        <v>2</v>
      </c>
    </row>
    <row r="213" spans="1:15" s="463" customFormat="1">
      <c r="A213" s="1343" t="s">
        <v>2803</v>
      </c>
      <c r="B213" s="1479">
        <v>417</v>
      </c>
      <c r="C213" s="1116">
        <v>4864124</v>
      </c>
      <c r="D213" s="543" t="s">
        <v>2804</v>
      </c>
      <c r="E213" s="1373">
        <v>181399.08</v>
      </c>
      <c r="F213" s="974" t="s">
        <v>566</v>
      </c>
      <c r="G213" s="293">
        <f t="shared" si="96"/>
        <v>0</v>
      </c>
      <c r="H213" s="201">
        <v>0</v>
      </c>
      <c r="I213" s="201">
        <f t="shared" si="97"/>
        <v>0</v>
      </c>
      <c r="J213" s="293">
        <f t="shared" si="98"/>
        <v>181399.08</v>
      </c>
      <c r="K213" s="541" t="s">
        <v>551</v>
      </c>
      <c r="L213" s="974">
        <v>16551.9502195147</v>
      </c>
      <c r="M213" s="293">
        <f t="shared" si="99"/>
        <v>164847.12978048529</v>
      </c>
      <c r="N213" s="293">
        <f t="shared" si="100"/>
        <v>0</v>
      </c>
      <c r="O213" s="200">
        <v>2</v>
      </c>
    </row>
    <row r="214" spans="1:15" s="463" customFormat="1">
      <c r="A214" s="1343" t="s">
        <v>2805</v>
      </c>
      <c r="B214" s="1479">
        <v>417</v>
      </c>
      <c r="C214" s="1116">
        <v>4864125</v>
      </c>
      <c r="D214" s="543" t="s">
        <v>2802</v>
      </c>
      <c r="E214" s="1373">
        <v>18335.97</v>
      </c>
      <c r="F214" s="974" t="s">
        <v>566</v>
      </c>
      <c r="G214" s="293">
        <f t="shared" si="96"/>
        <v>0</v>
      </c>
      <c r="H214" s="201">
        <v>0</v>
      </c>
      <c r="I214" s="201">
        <f t="shared" si="97"/>
        <v>0</v>
      </c>
      <c r="J214" s="293">
        <f t="shared" si="98"/>
        <v>18335.97</v>
      </c>
      <c r="K214" s="541" t="s">
        <v>551</v>
      </c>
      <c r="L214" s="974">
        <v>3060.8143792863998</v>
      </c>
      <c r="M214" s="293">
        <f t="shared" si="99"/>
        <v>15275.155620713602</v>
      </c>
      <c r="N214" s="293">
        <f t="shared" si="100"/>
        <v>0</v>
      </c>
      <c r="O214" s="200">
        <v>2</v>
      </c>
    </row>
    <row r="215" spans="1:15" s="463" customFormat="1">
      <c r="A215" s="1445"/>
      <c r="B215" s="1450"/>
      <c r="C215" s="1451"/>
      <c r="D215" s="1449"/>
      <c r="E215" s="1364"/>
      <c r="F215" s="1034"/>
      <c r="G215" s="1034"/>
      <c r="H215" s="705"/>
      <c r="I215" s="705"/>
      <c r="J215" s="1034"/>
      <c r="K215" s="1076"/>
      <c r="L215" s="1034"/>
      <c r="M215" s="1034"/>
      <c r="N215" s="1034"/>
      <c r="O215" s="1076"/>
    </row>
    <row r="216" spans="1:15" s="463" customFormat="1">
      <c r="A216" s="1074"/>
      <c r="B216" s="1363"/>
      <c r="C216" s="1359"/>
      <c r="D216" s="1075"/>
      <c r="E216" s="1365"/>
      <c r="F216" s="1034"/>
      <c r="G216" s="1034"/>
      <c r="H216" s="705"/>
      <c r="I216" s="705"/>
      <c r="J216" s="1034"/>
      <c r="K216" s="1076"/>
      <c r="L216" s="1361"/>
      <c r="M216" s="1034"/>
      <c r="N216" s="1034"/>
      <c r="O216" s="1076"/>
    </row>
    <row r="217" spans="1:15" ht="13">
      <c r="A217" s="202">
        <v>25</v>
      </c>
      <c r="B217" s="1533" t="s">
        <v>899</v>
      </c>
      <c r="C217" s="1524"/>
      <c r="D217" s="1525"/>
      <c r="E217" s="305">
        <f>SUM(E189:E216)</f>
        <v>53837128.859999985</v>
      </c>
      <c r="F217" s="314"/>
      <c r="G217" s="305">
        <f>SUM(G189:G216)</f>
        <v>0</v>
      </c>
      <c r="H217" s="305">
        <f>SUM(H189:H216)</f>
        <v>0</v>
      </c>
      <c r="I217" s="305">
        <f>SUM(I189:I216)</f>
        <v>0</v>
      </c>
      <c r="J217" s="305">
        <f>SUM(J189:J216)</f>
        <v>53837128.859999985</v>
      </c>
      <c r="K217" s="314"/>
      <c r="L217" s="305">
        <f>SUM(L189:L216)</f>
        <v>10335787.619623408</v>
      </c>
      <c r="M217" s="305">
        <f>SUM(M189:M216)</f>
        <v>43501341.240376592</v>
      </c>
      <c r="N217" s="305">
        <f>SUM(N189:N216)</f>
        <v>0</v>
      </c>
      <c r="O217" s="191"/>
    </row>
    <row r="218" spans="1:15" ht="13">
      <c r="A218" s="202">
        <v>26</v>
      </c>
      <c r="B218" s="1533" t="s">
        <v>900</v>
      </c>
      <c r="C218" s="1524"/>
      <c r="D218" s="1525"/>
      <c r="E218" s="1073">
        <v>9277393</v>
      </c>
      <c r="F218" s="292"/>
      <c r="G218" s="290"/>
      <c r="H218" s="306"/>
      <c r="I218" s="306"/>
      <c r="J218" s="290"/>
      <c r="K218" s="306"/>
      <c r="L218" s="290"/>
      <c r="M218" s="290"/>
      <c r="N218" s="290"/>
      <c r="O218" s="189"/>
    </row>
    <row r="219" spans="1:15" ht="25.5" customHeight="1">
      <c r="A219" s="202">
        <v>27</v>
      </c>
      <c r="B219" s="1543" t="s">
        <v>1230</v>
      </c>
      <c r="C219" s="1544"/>
      <c r="D219" s="1545"/>
      <c r="E219" s="1073">
        <v>63114522</v>
      </c>
      <c r="F219" s="346" t="s">
        <v>328</v>
      </c>
    </row>
    <row r="220" spans="1:15">
      <c r="A220" s="210"/>
    </row>
    <row r="221" spans="1:15" ht="13">
      <c r="B221" s="40" t="s">
        <v>901</v>
      </c>
    </row>
    <row r="222" spans="1:15">
      <c r="A222" s="200" t="s">
        <v>902</v>
      </c>
      <c r="B222" s="1536">
        <v>418.1</v>
      </c>
      <c r="C222" s="1537"/>
      <c r="D222" s="212" t="s">
        <v>903</v>
      </c>
      <c r="E222" s="1481"/>
      <c r="F222" s="974" t="s">
        <v>566</v>
      </c>
      <c r="G222" s="293">
        <f>IF(F222=$G$2,E222,0)</f>
        <v>0</v>
      </c>
      <c r="H222" s="200">
        <v>0</v>
      </c>
      <c r="I222" s="201">
        <f t="shared" ref="I222:I225" si="101">G222-H222</f>
        <v>0</v>
      </c>
      <c r="J222" s="293">
        <f>IF(F222=$J$2,E222,0)</f>
        <v>0</v>
      </c>
      <c r="K222" s="331" t="s">
        <v>551</v>
      </c>
      <c r="L222" s="297"/>
      <c r="M222" s="201">
        <f>J222-L222</f>
        <v>0</v>
      </c>
      <c r="N222" s="293">
        <f>IF(F222=$N$2,E222,0)</f>
        <v>0</v>
      </c>
      <c r="O222" s="204" t="s">
        <v>904</v>
      </c>
    </row>
    <row r="223" spans="1:15">
      <c r="A223" s="200" t="s">
        <v>905</v>
      </c>
      <c r="B223" s="1536">
        <v>418.1</v>
      </c>
      <c r="C223" s="1537"/>
      <c r="D223" s="212" t="s">
        <v>906</v>
      </c>
      <c r="E223" s="1481"/>
      <c r="F223" s="974" t="s">
        <v>566</v>
      </c>
      <c r="G223" s="293">
        <f>IF(F223=$G$2,E223,0)</f>
        <v>0</v>
      </c>
      <c r="H223" s="200">
        <v>0</v>
      </c>
      <c r="I223" s="201">
        <f t="shared" si="101"/>
        <v>0</v>
      </c>
      <c r="J223" s="293">
        <f>IF(F223=$J$2,E223,0)</f>
        <v>0</v>
      </c>
      <c r="K223" s="331" t="s">
        <v>607</v>
      </c>
      <c r="L223" s="297"/>
      <c r="M223" s="201">
        <f>J223-L223</f>
        <v>0</v>
      </c>
      <c r="N223" s="293">
        <f>IF(F223=$N$2,E223,0)</f>
        <v>0</v>
      </c>
      <c r="O223" s="204" t="s">
        <v>904</v>
      </c>
    </row>
    <row r="224" spans="1:15">
      <c r="A224" s="200" t="s">
        <v>907</v>
      </c>
      <c r="B224" s="1536">
        <v>418.1</v>
      </c>
      <c r="C224" s="1537"/>
      <c r="D224" s="543" t="s">
        <v>1660</v>
      </c>
      <c r="E224" s="1481"/>
      <c r="F224" s="974" t="s">
        <v>566</v>
      </c>
      <c r="G224" s="293">
        <f>IF(F224=$G$2,E224,0)</f>
        <v>0</v>
      </c>
      <c r="H224" s="200">
        <v>0</v>
      </c>
      <c r="I224" s="201">
        <f t="shared" si="101"/>
        <v>0</v>
      </c>
      <c r="J224" s="293">
        <f>IF(F224=$J$2,E224,0)</f>
        <v>0</v>
      </c>
      <c r="K224" s="544" t="s">
        <v>607</v>
      </c>
      <c r="L224" s="297"/>
      <c r="M224" s="201">
        <f>J224-L224</f>
        <v>0</v>
      </c>
      <c r="N224" s="293">
        <f>IF(F224=$N$2,E224,0)</f>
        <v>0</v>
      </c>
      <c r="O224" s="541" t="s">
        <v>1661</v>
      </c>
    </row>
    <row r="225" spans="1:16">
      <c r="A225" s="200" t="s">
        <v>909</v>
      </c>
      <c r="B225" s="1536">
        <v>418.1</v>
      </c>
      <c r="C225" s="1537"/>
      <c r="D225" s="212" t="s">
        <v>908</v>
      </c>
      <c r="E225" s="1373">
        <v>-526</v>
      </c>
      <c r="F225" s="974" t="s">
        <v>565</v>
      </c>
      <c r="G225" s="293">
        <f>IF(F225=$G$2,E225,0)</f>
        <v>-526</v>
      </c>
      <c r="H225" s="200">
        <v>0</v>
      </c>
      <c r="I225" s="201">
        <f t="shared" si="101"/>
        <v>-526</v>
      </c>
      <c r="J225" s="293">
        <f>IF(F225=$J$2,E225,0)</f>
        <v>0</v>
      </c>
      <c r="K225" s="331"/>
      <c r="L225" s="297"/>
      <c r="M225" s="201">
        <f>J225-L225</f>
        <v>0</v>
      </c>
      <c r="N225" s="293">
        <f>IF(F225=$N$2,E225,0)</f>
        <v>0</v>
      </c>
      <c r="O225" s="200">
        <v>13</v>
      </c>
    </row>
    <row r="226" spans="1:16">
      <c r="A226" s="542" t="s">
        <v>1177</v>
      </c>
      <c r="B226" s="836">
        <v>418.1</v>
      </c>
      <c r="C226" s="891"/>
      <c r="D226" s="543" t="s">
        <v>1795</v>
      </c>
      <c r="E226" s="1386">
        <v>745034.55999999947</v>
      </c>
      <c r="F226" s="1373" t="s">
        <v>565</v>
      </c>
      <c r="G226" s="1375">
        <f>IF(F226=$G$2,E226,0)</f>
        <v>745034.55999999947</v>
      </c>
      <c r="H226" s="1376">
        <f>E226*$D$267</f>
        <v>45372.604703999968</v>
      </c>
      <c r="I226" s="1376">
        <f>G226-H226</f>
        <v>699661.95529599953</v>
      </c>
      <c r="J226" s="1375">
        <f>IF(F226=$J$2,E226,0)</f>
        <v>0</v>
      </c>
      <c r="K226" s="331"/>
      <c r="L226" s="297"/>
      <c r="M226" s="201">
        <f>J226-L226</f>
        <v>0</v>
      </c>
      <c r="N226" s="293">
        <f>IF(F226=$N$2,E226,0)</f>
        <v>0</v>
      </c>
      <c r="O226" s="542" t="s">
        <v>2154</v>
      </c>
    </row>
    <row r="227" spans="1:16">
      <c r="A227" s="298"/>
      <c r="B227" s="338"/>
      <c r="C227" s="339"/>
      <c r="D227" s="340"/>
      <c r="E227" s="1392"/>
      <c r="F227" s="1374"/>
      <c r="G227" s="1374"/>
      <c r="H227" s="1379"/>
      <c r="I227" s="1379"/>
      <c r="J227" s="1374"/>
      <c r="K227" s="341"/>
      <c r="L227" s="297"/>
      <c r="M227" s="342"/>
      <c r="N227" s="297"/>
      <c r="O227" s="298"/>
    </row>
    <row r="228" spans="1:16">
      <c r="A228" s="298"/>
      <c r="B228" s="338"/>
      <c r="C228" s="339"/>
      <c r="D228" s="340"/>
      <c r="E228" s="1392"/>
      <c r="F228" s="1374"/>
      <c r="G228" s="1374"/>
      <c r="H228" s="1379"/>
      <c r="I228" s="1379"/>
      <c r="J228" s="1374"/>
      <c r="K228" s="341"/>
      <c r="L228" s="297"/>
      <c r="M228" s="342"/>
      <c r="N228" s="297"/>
      <c r="O228" s="298"/>
    </row>
    <row r="229" spans="1:16" ht="13">
      <c r="A229" s="204">
        <v>29</v>
      </c>
      <c r="B229" s="1533" t="s">
        <v>910</v>
      </c>
      <c r="C229" s="1524"/>
      <c r="D229" s="1525"/>
      <c r="E229" s="1393">
        <f>SUM(E222:E228)</f>
        <v>744508.55999999947</v>
      </c>
      <c r="F229" s="1394"/>
      <c r="G229" s="1393">
        <f>SUM(G222:G228)</f>
        <v>744508.55999999947</v>
      </c>
      <c r="H229" s="1393">
        <f>SUM(H222:H228)</f>
        <v>45372.604703999968</v>
      </c>
      <c r="I229" s="1393">
        <f>SUM(I222:I228)</f>
        <v>699135.95529599953</v>
      </c>
      <c r="J229" s="1393">
        <f>SUM(J222:J228)</f>
        <v>0</v>
      </c>
      <c r="K229" s="315"/>
      <c r="L229" s="390">
        <f>SUM(L222:L228)</f>
        <v>0</v>
      </c>
      <c r="M229" s="390">
        <f>SUM(M222:M228)</f>
        <v>0</v>
      </c>
      <c r="N229" s="390">
        <f>SUM(N222:N228)</f>
        <v>0</v>
      </c>
      <c r="O229" s="191"/>
      <c r="P229" s="14"/>
    </row>
    <row r="230" spans="1:16" ht="13">
      <c r="A230" s="204">
        <v>30</v>
      </c>
      <c r="B230" s="1533" t="s">
        <v>1734</v>
      </c>
      <c r="C230" s="1524"/>
      <c r="D230" s="1525"/>
      <c r="E230" s="1395">
        <f>E231-E229</f>
        <v>-745034.55999999947</v>
      </c>
      <c r="F230" s="1396"/>
      <c r="G230" s="1396"/>
      <c r="H230" s="1396"/>
      <c r="I230" s="1396"/>
      <c r="J230" s="1397"/>
      <c r="K230" s="348"/>
      <c r="L230" s="347"/>
      <c r="M230" s="347"/>
      <c r="N230" s="347"/>
      <c r="O230" s="189"/>
    </row>
    <row r="231" spans="1:16" ht="25.5" customHeight="1">
      <c r="A231" s="204">
        <v>31</v>
      </c>
      <c r="B231" s="1538" t="s">
        <v>1229</v>
      </c>
      <c r="C231" s="1539"/>
      <c r="D231" s="1539"/>
      <c r="E231" s="1398">
        <v>-526</v>
      </c>
      <c r="F231" s="1396"/>
      <c r="G231" s="1396"/>
      <c r="H231" s="1396"/>
      <c r="I231" s="1396"/>
      <c r="J231" s="1397"/>
      <c r="K231" s="348"/>
      <c r="L231" s="347"/>
      <c r="M231" s="347"/>
      <c r="N231" s="347"/>
      <c r="O231" s="189"/>
    </row>
    <row r="232" spans="1:16">
      <c r="A232" s="210"/>
    </row>
    <row r="233" spans="1:16" ht="13">
      <c r="A233" s="204">
        <v>32</v>
      </c>
      <c r="B233" s="319"/>
      <c r="C233" s="318"/>
      <c r="D233" s="221" t="s">
        <v>911</v>
      </c>
      <c r="E233" s="1120">
        <f>E8+E37+E44+E80+E147+E175+E180+E185+E217+E229</f>
        <v>869163830.28999984</v>
      </c>
      <c r="F233" s="392"/>
      <c r="G233" s="1120">
        <f>G8+G37+G44+G80+G147+G175+G180+G185+G217+G229</f>
        <v>260350453.58350301</v>
      </c>
      <c r="H233" s="1120">
        <f>H8+H37+H44+H80+H147+H175+H180+H185+H217+H229</f>
        <v>38825253.462376997</v>
      </c>
      <c r="I233" s="1120">
        <f>I8+I37+I44+I80+I147+I175+I180+I185+I217+I229</f>
        <v>221525200.12112603</v>
      </c>
      <c r="J233" s="1120">
        <f>J8+J37+J44+J80+J147+J175+J180+J185+J217+J229</f>
        <v>80186919.459999979</v>
      </c>
      <c r="K233" s="392"/>
      <c r="L233" s="1120">
        <f>L8+L37+L44+L80+L147+L175+L180+L185+L217+L229</f>
        <v>16671389.000000004</v>
      </c>
      <c r="M233" s="391">
        <f>M8+M37+M44+M80+M147+M175+M180+M185+M217+M229</f>
        <v>63515530.459999993</v>
      </c>
      <c r="N233" s="391">
        <f>N8+N37+N44+N80+N147+N175+N180+N185+N217+N229</f>
        <v>528626457.24649698</v>
      </c>
      <c r="O233" s="190"/>
    </row>
    <row r="234" spans="1:16">
      <c r="A234" s="222"/>
      <c r="B234" s="223"/>
      <c r="C234" s="222"/>
      <c r="E234" s="210"/>
      <c r="F234" s="210"/>
      <c r="G234" s="294"/>
      <c r="J234" s="310"/>
      <c r="K234" s="309"/>
      <c r="N234" s="294"/>
    </row>
    <row r="235" spans="1:16">
      <c r="A235" s="222"/>
      <c r="B235" s="223"/>
      <c r="C235" s="222"/>
      <c r="E235" s="210"/>
      <c r="F235" s="210" t="s">
        <v>154</v>
      </c>
      <c r="H235" s="209"/>
      <c r="J235" s="310"/>
      <c r="K235" s="309"/>
      <c r="N235" s="294"/>
    </row>
    <row r="236" spans="1:16">
      <c r="A236" s="204">
        <v>33</v>
      </c>
      <c r="B236" s="337"/>
      <c r="C236" s="337"/>
      <c r="D236" s="333" t="s">
        <v>912</v>
      </c>
      <c r="E236" s="330">
        <f>L233</f>
        <v>16671389.000000004</v>
      </c>
      <c r="F236" s="332" t="s">
        <v>913</v>
      </c>
      <c r="G236" s="294"/>
      <c r="N236" s="294"/>
    </row>
    <row r="237" spans="1:16">
      <c r="A237" s="200">
        <v>34</v>
      </c>
      <c r="B237" s="337"/>
      <c r="C237" s="337"/>
      <c r="D237" s="333" t="s">
        <v>915</v>
      </c>
      <c r="E237" s="330">
        <f>E236*(5.425/16.671)</f>
        <v>5425126.5865874887</v>
      </c>
      <c r="F237" s="892" t="s">
        <v>1171</v>
      </c>
      <c r="G237" s="309"/>
      <c r="N237" s="294"/>
    </row>
    <row r="238" spans="1:16">
      <c r="A238" s="200">
        <v>35</v>
      </c>
      <c r="B238" s="337"/>
      <c r="C238" s="337"/>
      <c r="D238" s="335"/>
      <c r="E238" s="288"/>
      <c r="F238" s="893"/>
      <c r="G238" s="309"/>
      <c r="N238" s="294"/>
    </row>
    <row r="239" spans="1:16">
      <c r="A239" s="200">
        <v>36</v>
      </c>
      <c r="B239" s="337"/>
      <c r="C239" s="337"/>
      <c r="D239" s="333" t="s">
        <v>916</v>
      </c>
      <c r="E239" s="330">
        <f>SUMIF(K4:K228,"=A",M4:M228)</f>
        <v>36608562.6679141</v>
      </c>
      <c r="F239" s="894" t="s">
        <v>917</v>
      </c>
      <c r="G239" s="309"/>
      <c r="N239" s="294"/>
    </row>
    <row r="240" spans="1:16">
      <c r="A240" s="200">
        <v>37</v>
      </c>
      <c r="B240" s="327"/>
      <c r="C240" s="327"/>
      <c r="D240" s="333" t="s">
        <v>918</v>
      </c>
      <c r="E240" s="330">
        <f>0.1*E239</f>
        <v>3660856.2667914103</v>
      </c>
      <c r="F240" s="66" t="str">
        <f>"= Line "&amp;A239&amp;"D * 10%"</f>
        <v>= Line 36D * 10%</v>
      </c>
      <c r="G240" s="41"/>
      <c r="H240" s="312"/>
      <c r="I240" s="313"/>
    </row>
    <row r="241" spans="1:254">
      <c r="A241" s="200">
        <v>38</v>
      </c>
      <c r="B241" s="327"/>
      <c r="C241" s="327"/>
      <c r="D241" s="333" t="s">
        <v>919</v>
      </c>
      <c r="E241" s="330">
        <f>SUMIF(K4:K228,"=P",M4:M228)</f>
        <v>26898389.651676647</v>
      </c>
      <c r="F241" s="895" t="s">
        <v>920</v>
      </c>
      <c r="G241" s="41"/>
      <c r="H241" s="210"/>
      <c r="I241" s="313"/>
    </row>
    <row r="242" spans="1:254">
      <c r="A242" s="200">
        <v>39</v>
      </c>
      <c r="B242" s="327"/>
      <c r="C242" s="327"/>
      <c r="D242" s="333" t="s">
        <v>921</v>
      </c>
      <c r="E242" s="330">
        <f>0.3*E241</f>
        <v>8069516.8955029938</v>
      </c>
      <c r="F242" s="66" t="str">
        <f>"= Line "&amp;A241&amp;"D * 30%"</f>
        <v>= Line 38D * 30%</v>
      </c>
      <c r="G242" s="41"/>
      <c r="H242" s="312"/>
      <c r="I242" s="313"/>
    </row>
    <row r="243" spans="1:254">
      <c r="A243" s="200">
        <v>40</v>
      </c>
      <c r="B243" s="327"/>
      <c r="C243" s="327"/>
      <c r="D243" s="333" t="s">
        <v>922</v>
      </c>
      <c r="E243" s="330">
        <f>E240+E242</f>
        <v>11730373.162294405</v>
      </c>
      <c r="F243" s="66" t="str">
        <f>"= Line "&amp;A240&amp;"D + Line "&amp;A242&amp;"D"</f>
        <v>= Line 37D + Line 39D</v>
      </c>
      <c r="G243" s="308"/>
    </row>
    <row r="244" spans="1:254">
      <c r="A244" s="200">
        <v>41</v>
      </c>
      <c r="B244" s="327"/>
      <c r="C244" s="327"/>
      <c r="D244" s="333" t="s">
        <v>923</v>
      </c>
      <c r="E244" s="334">
        <f>5.425/16.671</f>
        <v>0.32541539199808051</v>
      </c>
      <c r="F244" s="894" t="s">
        <v>914</v>
      </c>
      <c r="G244" s="308"/>
    </row>
    <row r="245" spans="1:254">
      <c r="A245" s="200">
        <v>42</v>
      </c>
      <c r="B245" s="327"/>
      <c r="C245" s="327"/>
      <c r="D245" s="333" t="s">
        <v>924</v>
      </c>
      <c r="E245" s="330">
        <f>E243*E244</f>
        <v>3817243.9808917968</v>
      </c>
      <c r="F245" s="66" t="str">
        <f>"= Line "&amp;A243&amp;"D * Line "&amp;A244&amp;"D"</f>
        <v>= Line 40D * Line 41D</v>
      </c>
      <c r="G245" s="308"/>
    </row>
    <row r="246" spans="1:254" ht="12.75" customHeight="1">
      <c r="A246" s="200">
        <v>43</v>
      </c>
      <c r="B246" s="327"/>
      <c r="C246" s="327"/>
      <c r="D246" s="336" t="s">
        <v>1735</v>
      </c>
      <c r="E246" s="390">
        <f>E245+E237</f>
        <v>9242370.5674792863</v>
      </c>
      <c r="F246" s="66" t="str">
        <f>"= Line "&amp;A237&amp;"D + Line "&amp;A245&amp;"D"</f>
        <v>= Line 34D + Line 42D</v>
      </c>
      <c r="G246" s="308"/>
    </row>
    <row r="247" spans="1:254">
      <c r="A247" s="41"/>
      <c r="D247" s="308"/>
      <c r="E247" s="896"/>
      <c r="F247" s="894"/>
      <c r="G247" s="308"/>
    </row>
    <row r="248" spans="1:254">
      <c r="A248" s="41"/>
      <c r="D248" s="219"/>
      <c r="E248" s="225" t="s">
        <v>175</v>
      </c>
      <c r="F248" s="225" t="s">
        <v>154</v>
      </c>
      <c r="G248" s="217"/>
      <c r="I248" s="220"/>
      <c r="J248" s="41"/>
      <c r="K248" s="220"/>
      <c r="L248" s="219"/>
      <c r="M248" s="225"/>
      <c r="N248" s="225"/>
      <c r="O248" s="217"/>
      <c r="P248" s="218"/>
      <c r="Q248" s="220"/>
      <c r="R248" s="219"/>
      <c r="S248" s="225"/>
      <c r="T248" s="225"/>
      <c r="U248" s="217"/>
      <c r="V248" s="218"/>
      <c r="W248" s="220"/>
      <c r="X248" s="41"/>
      <c r="Y248" s="220"/>
      <c r="Z248" s="219"/>
      <c r="AA248" s="225"/>
      <c r="AB248" s="225"/>
      <c r="AC248" s="217"/>
      <c r="AD248" s="218"/>
      <c r="AE248" s="220"/>
      <c r="AF248" s="41"/>
      <c r="AG248" s="220"/>
      <c r="AH248" s="219"/>
      <c r="AI248" s="225"/>
      <c r="AJ248" s="225"/>
      <c r="AK248" s="217"/>
      <c r="AL248" s="218"/>
      <c r="AM248" s="220"/>
      <c r="AN248" s="41"/>
      <c r="AO248" s="220"/>
      <c r="AP248" s="219"/>
      <c r="AQ248" s="225"/>
      <c r="AR248" s="225"/>
      <c r="AS248" s="217"/>
      <c r="AT248" s="218"/>
      <c r="AU248" s="220"/>
      <c r="AV248" s="41"/>
      <c r="AW248" s="220"/>
      <c r="AX248" s="219"/>
      <c r="AY248" s="225"/>
      <c r="AZ248" s="225"/>
      <c r="BA248" s="217"/>
      <c r="BB248" s="218"/>
      <c r="BC248" s="220"/>
      <c r="BD248" s="41"/>
      <c r="BE248" s="220"/>
      <c r="BF248" s="219"/>
      <c r="BG248" s="225"/>
      <c r="BH248" s="225"/>
      <c r="BI248" s="217"/>
      <c r="BJ248" s="218"/>
      <c r="BK248" s="220"/>
      <c r="BL248" s="41"/>
      <c r="BM248" s="220"/>
      <c r="BN248" s="219"/>
      <c r="BO248" s="225"/>
      <c r="BP248" s="225"/>
      <c r="BQ248" s="217"/>
      <c r="BR248" s="218"/>
      <c r="BS248" s="220"/>
      <c r="BT248" s="41"/>
      <c r="BU248" s="220"/>
      <c r="BV248" s="219"/>
      <c r="BW248" s="225"/>
      <c r="BX248" s="225"/>
      <c r="BY248" s="217"/>
      <c r="BZ248" s="218"/>
      <c r="CA248" s="220"/>
      <c r="CB248" s="41"/>
      <c r="CC248" s="220"/>
      <c r="CD248" s="219"/>
      <c r="CE248" s="225"/>
      <c r="CF248" s="225"/>
      <c r="CG248" s="217"/>
      <c r="CH248" s="218"/>
      <c r="CI248" s="220"/>
      <c r="CJ248" s="41"/>
      <c r="CK248" s="220"/>
      <c r="CL248" s="219"/>
      <c r="CM248" s="225"/>
      <c r="CN248" s="225"/>
      <c r="CO248" s="217"/>
      <c r="CP248" s="218"/>
      <c r="CQ248" s="220"/>
      <c r="CR248" s="41"/>
      <c r="CS248" s="220"/>
      <c r="CT248" s="219"/>
      <c r="CU248" s="225"/>
      <c r="CV248" s="225"/>
      <c r="CW248" s="217"/>
      <c r="CX248" s="218"/>
      <c r="CY248" s="220"/>
      <c r="CZ248" s="41"/>
      <c r="DA248" s="220"/>
      <c r="DB248" s="219"/>
      <c r="DC248" s="225"/>
      <c r="DD248" s="225"/>
      <c r="DE248" s="217"/>
      <c r="DF248" s="218"/>
      <c r="DG248" s="220"/>
      <c r="DH248" s="41"/>
      <c r="DI248" s="220"/>
      <c r="DJ248" s="219"/>
      <c r="DK248" s="225"/>
      <c r="DL248" s="225"/>
      <c r="DM248" s="217"/>
      <c r="DN248" s="218"/>
      <c r="DO248" s="220"/>
      <c r="DP248" s="41"/>
      <c r="DQ248" s="220"/>
      <c r="DR248" s="219"/>
      <c r="DS248" s="225"/>
      <c r="DT248" s="225"/>
      <c r="DU248" s="217"/>
      <c r="DV248" s="218"/>
      <c r="DW248" s="220"/>
      <c r="DX248" s="41"/>
      <c r="DY248" s="220"/>
      <c r="DZ248" s="219"/>
      <c r="EA248" s="225"/>
      <c r="EB248" s="225"/>
      <c r="EC248" s="217"/>
      <c r="ED248" s="218"/>
      <c r="EE248" s="220"/>
      <c r="EF248" s="41"/>
      <c r="EG248" s="220"/>
      <c r="EH248" s="219"/>
      <c r="EI248" s="225"/>
      <c r="EJ248" s="225"/>
      <c r="EK248" s="217"/>
      <c r="EL248" s="218"/>
      <c r="EM248" s="220"/>
      <c r="EN248" s="41"/>
      <c r="EO248" s="220"/>
      <c r="EP248" s="219"/>
      <c r="EQ248" s="225"/>
      <c r="ER248" s="225"/>
      <c r="ES248" s="217"/>
      <c r="ET248" s="218"/>
      <c r="EU248" s="220"/>
      <c r="EV248" s="41"/>
      <c r="EW248" s="220"/>
      <c r="EX248" s="219"/>
      <c r="EY248" s="225"/>
      <c r="EZ248" s="225"/>
      <c r="FA248" s="217"/>
      <c r="FB248" s="218"/>
      <c r="FC248" s="220"/>
      <c r="FD248" s="41"/>
      <c r="FE248" s="220"/>
      <c r="FF248" s="219"/>
      <c r="FG248" s="225"/>
      <c r="FH248" s="225"/>
      <c r="FI248" s="217"/>
      <c r="FJ248" s="218"/>
      <c r="FK248" s="220"/>
      <c r="FL248" s="41"/>
      <c r="FM248" s="220"/>
      <c r="FN248" s="219"/>
      <c r="FO248" s="225"/>
      <c r="FP248" s="225"/>
      <c r="FQ248" s="217"/>
      <c r="FR248" s="218"/>
      <c r="FS248" s="220"/>
      <c r="FT248" s="41"/>
      <c r="FU248" s="220"/>
      <c r="FV248" s="219"/>
      <c r="FW248" s="225"/>
      <c r="FX248" s="225"/>
      <c r="FY248" s="217"/>
      <c r="FZ248" s="218"/>
      <c r="GA248" s="220"/>
      <c r="GB248" s="41"/>
      <c r="GC248" s="220"/>
      <c r="GD248" s="219"/>
      <c r="GE248" s="225"/>
      <c r="GF248" s="225"/>
      <c r="GG248" s="217"/>
      <c r="GH248" s="218"/>
      <c r="GI248" s="220"/>
      <c r="GJ248" s="41"/>
      <c r="GK248" s="220"/>
      <c r="GL248" s="219"/>
      <c r="GM248" s="225"/>
      <c r="GN248" s="225"/>
      <c r="GO248" s="217"/>
      <c r="GP248" s="218"/>
      <c r="GQ248" s="220"/>
      <c r="GR248" s="41"/>
      <c r="GS248" s="220"/>
      <c r="GT248" s="219"/>
      <c r="GU248" s="225"/>
      <c r="GV248" s="225"/>
      <c r="GW248" s="217"/>
      <c r="GX248" s="218"/>
      <c r="GY248" s="220"/>
      <c r="GZ248" s="41"/>
      <c r="HA248" s="220"/>
      <c r="HB248" s="219"/>
      <c r="HC248" s="225"/>
      <c r="HD248" s="225"/>
      <c r="HE248" s="217"/>
      <c r="HF248" s="218"/>
      <c r="HG248" s="220"/>
      <c r="HH248" s="41"/>
      <c r="HI248" s="220"/>
      <c r="HJ248" s="219"/>
      <c r="HK248" s="225"/>
      <c r="HL248" s="225"/>
      <c r="HM248" s="217"/>
      <c r="HN248" s="218"/>
      <c r="HO248" s="220"/>
      <c r="HP248" s="41"/>
      <c r="HQ248" s="220"/>
      <c r="HR248" s="219"/>
      <c r="HS248" s="225"/>
      <c r="HT248" s="225"/>
      <c r="HU248" s="217"/>
      <c r="HV248" s="218"/>
      <c r="HW248" s="220"/>
      <c r="HX248" s="41"/>
      <c r="HY248" s="220"/>
      <c r="HZ248" s="219"/>
      <c r="IA248" s="225"/>
      <c r="IB248" s="225"/>
      <c r="IC248" s="217"/>
      <c r="ID248" s="218"/>
      <c r="IE248" s="220"/>
      <c r="IF248" s="41"/>
      <c r="IG248" s="220"/>
      <c r="IH248" s="219"/>
      <c r="II248" s="225"/>
      <c r="IJ248" s="225"/>
      <c r="IK248" s="217"/>
      <c r="IL248" s="218"/>
      <c r="IM248" s="220"/>
      <c r="IN248" s="41"/>
      <c r="IO248" s="220"/>
      <c r="IP248" s="219"/>
      <c r="IQ248" s="225"/>
      <c r="IR248" s="225"/>
      <c r="IS248" s="217"/>
      <c r="IT248" s="218"/>
    </row>
    <row r="249" spans="1:254" ht="13">
      <c r="A249" s="200">
        <v>44</v>
      </c>
      <c r="B249" s="40" t="s">
        <v>947</v>
      </c>
      <c r="D249" s="219"/>
      <c r="E249" s="393">
        <f>H233+E246</f>
        <v>48067624.029856279</v>
      </c>
      <c r="F249" s="702" t="s">
        <v>2028</v>
      </c>
      <c r="G249" s="217"/>
      <c r="J249" s="40"/>
      <c r="K249" s="220"/>
      <c r="L249" s="219"/>
      <c r="M249" s="224"/>
      <c r="N249" s="226"/>
      <c r="O249" s="217"/>
      <c r="P249" s="218"/>
      <c r="Q249" s="220"/>
      <c r="R249" s="219"/>
      <c r="S249" s="224"/>
      <c r="T249" s="226"/>
      <c r="U249" s="217"/>
      <c r="V249" s="218"/>
      <c r="W249" s="210"/>
      <c r="X249" s="40"/>
      <c r="Y249" s="220"/>
      <c r="Z249" s="219"/>
      <c r="AA249" s="224"/>
      <c r="AB249" s="226"/>
      <c r="AC249" s="217"/>
      <c r="AD249" s="218"/>
      <c r="AE249" s="210"/>
      <c r="AF249" s="40"/>
      <c r="AG249" s="220"/>
      <c r="AH249" s="219"/>
      <c r="AI249" s="224"/>
      <c r="AJ249" s="226"/>
      <c r="AK249" s="217"/>
      <c r="AL249" s="218"/>
      <c r="AM249" s="204"/>
      <c r="AN249" s="40"/>
      <c r="AO249" s="220"/>
      <c r="AP249" s="219"/>
      <c r="AQ249" s="224"/>
      <c r="AR249" s="226"/>
      <c r="AS249" s="217"/>
      <c r="AT249" s="218"/>
      <c r="AU249" s="204"/>
      <c r="AV249" s="40"/>
      <c r="AW249" s="220"/>
      <c r="AX249" s="219"/>
      <c r="AY249" s="224"/>
      <c r="AZ249" s="226"/>
      <c r="BA249" s="217"/>
      <c r="BB249" s="218"/>
      <c r="BC249" s="204"/>
      <c r="BD249" s="40"/>
      <c r="BE249" s="220"/>
      <c r="BF249" s="219"/>
      <c r="BG249" s="224"/>
      <c r="BH249" s="226"/>
      <c r="BI249" s="217"/>
      <c r="BJ249" s="218"/>
      <c r="BK249" s="204"/>
      <c r="BL249" s="40"/>
      <c r="BM249" s="220"/>
      <c r="BN249" s="219"/>
      <c r="BO249" s="224"/>
      <c r="BP249" s="226"/>
      <c r="BQ249" s="217"/>
      <c r="BR249" s="218"/>
      <c r="BS249" s="204"/>
      <c r="BT249" s="40"/>
      <c r="BU249" s="220"/>
      <c r="BV249" s="219"/>
      <c r="BW249" s="224"/>
      <c r="BX249" s="226"/>
      <c r="BY249" s="217"/>
      <c r="BZ249" s="218"/>
      <c r="CA249" s="204"/>
      <c r="CB249" s="40"/>
      <c r="CC249" s="220"/>
      <c r="CD249" s="219"/>
      <c r="CE249" s="224"/>
      <c r="CF249" s="226"/>
      <c r="CG249" s="217"/>
      <c r="CH249" s="218"/>
      <c r="CI249" s="204"/>
      <c r="CJ249" s="40"/>
      <c r="CK249" s="220"/>
      <c r="CL249" s="219"/>
      <c r="CM249" s="224"/>
      <c r="CN249" s="226"/>
      <c r="CO249" s="217"/>
      <c r="CP249" s="218"/>
      <c r="CQ249" s="204"/>
      <c r="CR249" s="40"/>
      <c r="CS249" s="220"/>
      <c r="CT249" s="219"/>
      <c r="CU249" s="224"/>
      <c r="CV249" s="226"/>
      <c r="CW249" s="217"/>
      <c r="CX249" s="218"/>
      <c r="CY249" s="204"/>
      <c r="CZ249" s="40"/>
      <c r="DA249" s="220"/>
      <c r="DB249" s="219"/>
      <c r="DC249" s="224"/>
      <c r="DD249" s="226"/>
      <c r="DE249" s="217"/>
      <c r="DF249" s="218"/>
      <c r="DG249" s="204"/>
      <c r="DH249" s="40"/>
      <c r="DI249" s="220"/>
      <c r="DJ249" s="219"/>
      <c r="DK249" s="224"/>
      <c r="DL249" s="226"/>
      <c r="DM249" s="217"/>
      <c r="DN249" s="218"/>
      <c r="DO249" s="204"/>
      <c r="DP249" s="40"/>
      <c r="DQ249" s="220"/>
      <c r="DR249" s="219"/>
      <c r="DS249" s="224"/>
      <c r="DT249" s="226"/>
      <c r="DU249" s="217"/>
      <c r="DV249" s="218"/>
      <c r="DW249" s="204"/>
      <c r="DX249" s="40"/>
      <c r="DY249" s="220"/>
      <c r="DZ249" s="219"/>
      <c r="EA249" s="224"/>
      <c r="EB249" s="226"/>
      <c r="EC249" s="217"/>
      <c r="ED249" s="218"/>
      <c r="EE249" s="204"/>
      <c r="EF249" s="40"/>
      <c r="EG249" s="220"/>
      <c r="EH249" s="219"/>
      <c r="EI249" s="224"/>
      <c r="EJ249" s="226"/>
      <c r="EK249" s="217"/>
      <c r="EL249" s="218"/>
      <c r="EM249" s="204"/>
      <c r="EN249" s="40"/>
      <c r="EO249" s="220"/>
      <c r="EP249" s="219"/>
      <c r="EQ249" s="224"/>
      <c r="ER249" s="226"/>
      <c r="ES249" s="217"/>
      <c r="ET249" s="218"/>
      <c r="EU249" s="204"/>
      <c r="EV249" s="40"/>
      <c r="EW249" s="220"/>
      <c r="EX249" s="219"/>
      <c r="EY249" s="224"/>
      <c r="EZ249" s="226"/>
      <c r="FA249" s="217"/>
      <c r="FB249" s="218"/>
      <c r="FC249" s="204"/>
      <c r="FD249" s="40"/>
      <c r="FE249" s="220"/>
      <c r="FF249" s="219"/>
      <c r="FG249" s="224"/>
      <c r="FH249" s="226"/>
      <c r="FI249" s="217"/>
      <c r="FJ249" s="218"/>
      <c r="FK249" s="204"/>
      <c r="FL249" s="40"/>
      <c r="FM249" s="220"/>
      <c r="FN249" s="219"/>
      <c r="FO249" s="224"/>
      <c r="FP249" s="226"/>
      <c r="FQ249" s="217"/>
      <c r="FR249" s="218"/>
      <c r="FS249" s="204"/>
      <c r="FT249" s="40"/>
      <c r="FU249" s="220"/>
      <c r="FV249" s="219"/>
      <c r="FW249" s="224"/>
      <c r="FX249" s="226"/>
      <c r="FY249" s="217"/>
      <c r="FZ249" s="218"/>
      <c r="GA249" s="204"/>
      <c r="GB249" s="40"/>
      <c r="GC249" s="220"/>
      <c r="GD249" s="219"/>
      <c r="GE249" s="224"/>
      <c r="GF249" s="226"/>
      <c r="GG249" s="217"/>
      <c r="GH249" s="218"/>
      <c r="GI249" s="204"/>
      <c r="GJ249" s="40"/>
      <c r="GK249" s="220"/>
      <c r="GL249" s="219"/>
      <c r="GM249" s="224"/>
      <c r="GN249" s="226"/>
      <c r="GO249" s="217"/>
      <c r="GP249" s="218"/>
      <c r="GQ249" s="204"/>
      <c r="GR249" s="40"/>
      <c r="GS249" s="220"/>
      <c r="GT249" s="219"/>
      <c r="GU249" s="224"/>
      <c r="GV249" s="226"/>
      <c r="GW249" s="217"/>
      <c r="GX249" s="218"/>
      <c r="GY249" s="204"/>
      <c r="GZ249" s="40"/>
      <c r="HA249" s="220"/>
      <c r="HB249" s="219"/>
      <c r="HC249" s="224"/>
      <c r="HD249" s="226"/>
      <c r="HE249" s="217"/>
      <c r="HF249" s="218"/>
      <c r="HG249" s="204"/>
      <c r="HH249" s="40"/>
      <c r="HI249" s="220"/>
      <c r="HJ249" s="219"/>
      <c r="HK249" s="224"/>
      <c r="HL249" s="226"/>
      <c r="HM249" s="217"/>
      <c r="HN249" s="218"/>
      <c r="HO249" s="204"/>
      <c r="HP249" s="40"/>
      <c r="HQ249" s="220"/>
      <c r="HR249" s="219"/>
      <c r="HS249" s="224"/>
      <c r="HT249" s="226"/>
      <c r="HU249" s="217"/>
      <c r="HV249" s="218"/>
      <c r="HW249" s="204"/>
      <c r="HX249" s="40"/>
      <c r="HY249" s="220"/>
      <c r="HZ249" s="219"/>
      <c r="IA249" s="224"/>
      <c r="IB249" s="226"/>
      <c r="IC249" s="217"/>
      <c r="ID249" s="218"/>
      <c r="IE249" s="204"/>
      <c r="IF249" s="40"/>
      <c r="IG249" s="220"/>
      <c r="IH249" s="219"/>
      <c r="II249" s="224"/>
      <c r="IJ249" s="226"/>
      <c r="IK249" s="217"/>
      <c r="IL249" s="218"/>
      <c r="IM249" s="204"/>
      <c r="IN249" s="40"/>
      <c r="IO249" s="220"/>
      <c r="IP249" s="219"/>
      <c r="IQ249" s="224"/>
      <c r="IR249" s="226"/>
      <c r="IS249" s="217"/>
      <c r="IT249" s="218"/>
    </row>
    <row r="250" spans="1:254">
      <c r="D250" s="308"/>
      <c r="E250" s="295"/>
      <c r="F250" s="332"/>
    </row>
    <row r="252" spans="1:254">
      <c r="A252" s="220" t="s">
        <v>230</v>
      </c>
    </row>
    <row r="253" spans="1:254" ht="12.75" customHeight="1">
      <c r="A253" s="86" t="s">
        <v>925</v>
      </c>
      <c r="B253" s="1534" t="s">
        <v>1463</v>
      </c>
      <c r="C253" s="1535"/>
      <c r="D253" s="1535"/>
    </row>
    <row r="254" spans="1:254" ht="77.25" customHeight="1">
      <c r="A254" s="86" t="s">
        <v>926</v>
      </c>
      <c r="B254" s="1520" t="s">
        <v>1812</v>
      </c>
      <c r="C254" s="1521"/>
      <c r="D254" s="1521"/>
      <c r="E254" s="1529"/>
      <c r="F254" s="1529"/>
    </row>
    <row r="255" spans="1:254" ht="12.75" customHeight="1">
      <c r="A255" s="86" t="s">
        <v>927</v>
      </c>
      <c r="B255" s="1526" t="s">
        <v>928</v>
      </c>
      <c r="C255" s="1527"/>
      <c r="D255" s="1527"/>
      <c r="E255" s="1528"/>
      <c r="F255" s="1528"/>
    </row>
    <row r="256" spans="1:254" ht="12.75" customHeight="1">
      <c r="A256" s="72" t="s">
        <v>929</v>
      </c>
      <c r="B256" s="1520" t="s">
        <v>1505</v>
      </c>
      <c r="C256" s="1527"/>
      <c r="D256" s="1527"/>
      <c r="E256" s="1528"/>
      <c r="F256" s="1528"/>
    </row>
    <row r="257" spans="1:8" ht="12.75" customHeight="1">
      <c r="A257" s="86" t="s">
        <v>930</v>
      </c>
      <c r="B257" s="1526" t="s">
        <v>931</v>
      </c>
      <c r="C257" s="1527"/>
      <c r="D257" s="1527"/>
      <c r="E257" s="1528"/>
      <c r="F257" s="1528"/>
    </row>
    <row r="258" spans="1:8" ht="12.75" customHeight="1">
      <c r="A258" s="72" t="s">
        <v>932</v>
      </c>
      <c r="B258" s="1526" t="s">
        <v>933</v>
      </c>
      <c r="C258" s="1527"/>
      <c r="D258" s="1527"/>
      <c r="E258" s="1528"/>
      <c r="F258" s="1528"/>
    </row>
    <row r="259" spans="1:8" ht="12.75" customHeight="1">
      <c r="A259" s="72" t="s">
        <v>934</v>
      </c>
      <c r="B259" s="1520" t="s">
        <v>1706</v>
      </c>
      <c r="C259" s="1521"/>
      <c r="D259" s="1521"/>
      <c r="E259" s="1522"/>
      <c r="F259" s="1522"/>
    </row>
    <row r="260" spans="1:8" ht="12.75" customHeight="1">
      <c r="A260" s="72"/>
      <c r="B260" s="1522"/>
      <c r="C260" s="1522"/>
      <c r="D260" s="1522"/>
      <c r="E260" s="1522"/>
      <c r="F260" s="1522"/>
    </row>
    <row r="261" spans="1:8" ht="12.75" customHeight="1">
      <c r="A261" s="72"/>
      <c r="B261" s="1526" t="s">
        <v>935</v>
      </c>
      <c r="C261" s="1527"/>
      <c r="D261" s="976">
        <v>6.0900000000000003E-2</v>
      </c>
      <c r="E261" s="1473" t="s">
        <v>1731</v>
      </c>
      <c r="F261" s="961" t="s">
        <v>2900</v>
      </c>
      <c r="G261" s="567"/>
    </row>
    <row r="262" spans="1:8" ht="26.25" customHeight="1">
      <c r="A262" s="72" t="s">
        <v>936</v>
      </c>
      <c r="B262" s="1526" t="s">
        <v>937</v>
      </c>
      <c r="C262" s="1527"/>
      <c r="D262" s="1527"/>
      <c r="E262" s="1528"/>
      <c r="F262" s="1528"/>
    </row>
    <row r="263" spans="1:8" ht="27.75" customHeight="1">
      <c r="A263" s="72" t="s">
        <v>938</v>
      </c>
      <c r="B263" s="1526" t="s">
        <v>939</v>
      </c>
      <c r="C263" s="1527"/>
      <c r="D263" s="1527"/>
      <c r="E263" s="1528"/>
      <c r="F263" s="1528"/>
    </row>
    <row r="264" spans="1:8" ht="25.5" customHeight="1">
      <c r="A264" s="86" t="s">
        <v>940</v>
      </c>
      <c r="B264" s="1526" t="s">
        <v>941</v>
      </c>
      <c r="C264" s="1527"/>
      <c r="D264" s="1527"/>
      <c r="E264" s="1528"/>
      <c r="F264" s="1528"/>
    </row>
    <row r="265" spans="1:8" ht="40.4" customHeight="1">
      <c r="A265" s="72" t="s">
        <v>942</v>
      </c>
      <c r="B265" s="1520" t="s">
        <v>1732</v>
      </c>
      <c r="C265" s="1521"/>
      <c r="D265" s="1521"/>
      <c r="E265" s="1529"/>
      <c r="F265" s="1529"/>
      <c r="G265" s="308"/>
    </row>
    <row r="266" spans="1:8" ht="38.25" customHeight="1">
      <c r="A266" s="72" t="s">
        <v>943</v>
      </c>
      <c r="B266" s="1520" t="s">
        <v>1707</v>
      </c>
      <c r="C266" s="1521"/>
      <c r="D266" s="1521"/>
      <c r="E266" s="1522"/>
      <c r="F266" s="1522"/>
      <c r="G266" s="1522"/>
    </row>
    <row r="267" spans="1:8" ht="12.75" customHeight="1">
      <c r="A267" s="72"/>
      <c r="B267" s="1526" t="s">
        <v>935</v>
      </c>
      <c r="C267" s="1527"/>
      <c r="D267" s="976">
        <v>6.0900000000000003E-2</v>
      </c>
      <c r="E267" s="1473" t="s">
        <v>1731</v>
      </c>
      <c r="F267" s="961" t="s">
        <v>2900</v>
      </c>
      <c r="G267" s="567"/>
    </row>
    <row r="268" spans="1:8" ht="12.75" customHeight="1">
      <c r="A268" s="72" t="s">
        <v>944</v>
      </c>
      <c r="B268" s="1520" t="s">
        <v>2026</v>
      </c>
      <c r="C268" s="1521"/>
      <c r="D268" s="1521"/>
      <c r="E268" s="1522"/>
      <c r="F268" s="1522"/>
      <c r="G268" s="1522"/>
      <c r="H268" s="1522"/>
    </row>
    <row r="269" spans="1:8" ht="12.75" customHeight="1">
      <c r="A269" s="72" t="s">
        <v>945</v>
      </c>
      <c r="B269" s="1520" t="s">
        <v>2027</v>
      </c>
      <c r="C269" s="1521"/>
      <c r="D269" s="1521"/>
      <c r="E269" s="1522"/>
      <c r="F269" s="1522"/>
      <c r="G269" s="1522"/>
    </row>
    <row r="270" spans="1:8" ht="27" customHeight="1">
      <c r="A270" s="545" t="s">
        <v>1662</v>
      </c>
      <c r="B270" s="1520" t="s">
        <v>1747</v>
      </c>
      <c r="C270" s="1521"/>
      <c r="D270" s="1521"/>
      <c r="E270" s="1529"/>
      <c r="F270" s="1529"/>
      <c r="G270" s="308"/>
    </row>
    <row r="271" spans="1:8">
      <c r="A271" s="545" t="s">
        <v>1733</v>
      </c>
      <c r="B271" s="532" t="s">
        <v>1773</v>
      </c>
      <c r="C271" s="41"/>
      <c r="E271" s="41"/>
      <c r="F271" s="41"/>
      <c r="G271" s="308"/>
    </row>
    <row r="272" spans="1:8">
      <c r="A272" s="545" t="s">
        <v>1752</v>
      </c>
      <c r="B272" s="532" t="s">
        <v>1796</v>
      </c>
      <c r="C272" s="41"/>
      <c r="E272" s="308"/>
      <c r="F272" s="308"/>
      <c r="G272" s="308"/>
    </row>
    <row r="273" spans="1:7">
      <c r="A273" s="41"/>
      <c r="B273" s="532" t="s">
        <v>1797</v>
      </c>
      <c r="C273" s="41"/>
      <c r="E273" s="308"/>
      <c r="F273" s="308"/>
      <c r="G273" s="308"/>
    </row>
    <row r="274" spans="1:7">
      <c r="A274" s="41"/>
      <c r="B274" s="532" t="s">
        <v>1798</v>
      </c>
      <c r="C274" s="41"/>
      <c r="E274" s="308"/>
      <c r="F274" s="308"/>
      <c r="G274" s="308"/>
    </row>
    <row r="275" spans="1:7">
      <c r="A275" s="41"/>
      <c r="B275" s="532" t="s">
        <v>1799</v>
      </c>
      <c r="C275" s="41"/>
      <c r="E275" s="308"/>
      <c r="F275" s="308"/>
      <c r="G275" s="308"/>
    </row>
  </sheetData>
  <autoFilter ref="A1:O275" xr:uid="{00000000-0009-0000-0000-00001A000000}"/>
  <mergeCells count="45">
    <mergeCell ref="B270:F270"/>
    <mergeCell ref="J2:M2"/>
    <mergeCell ref="G2:I2"/>
    <mergeCell ref="B219:D219"/>
    <mergeCell ref="B176:D176"/>
    <mergeCell ref="B81:D81"/>
    <mergeCell ref="B45:D45"/>
    <mergeCell ref="B38:D38"/>
    <mergeCell ref="B218:D218"/>
    <mergeCell ref="B185:D185"/>
    <mergeCell ref="B8:D8"/>
    <mergeCell ref="B9:D9"/>
    <mergeCell ref="B44:D44"/>
    <mergeCell ref="B37:D37"/>
    <mergeCell ref="B80:D80"/>
    <mergeCell ref="B148:D148"/>
    <mergeCell ref="B255:F255"/>
    <mergeCell ref="B256:F256"/>
    <mergeCell ref="B258:F258"/>
    <mergeCell ref="B257:F257"/>
    <mergeCell ref="B262:F262"/>
    <mergeCell ref="B254:F254"/>
    <mergeCell ref="B222:C222"/>
    <mergeCell ref="B223:C223"/>
    <mergeCell ref="B225:C225"/>
    <mergeCell ref="B229:D229"/>
    <mergeCell ref="B231:D231"/>
    <mergeCell ref="B230:D230"/>
    <mergeCell ref="B224:C224"/>
    <mergeCell ref="B268:H268"/>
    <mergeCell ref="B269:G269"/>
    <mergeCell ref="B147:D147"/>
    <mergeCell ref="B264:F264"/>
    <mergeCell ref="B265:F265"/>
    <mergeCell ref="B267:C267"/>
    <mergeCell ref="B266:G266"/>
    <mergeCell ref="B181:D181"/>
    <mergeCell ref="B217:D217"/>
    <mergeCell ref="B186:D186"/>
    <mergeCell ref="B253:D253"/>
    <mergeCell ref="B180:D180"/>
    <mergeCell ref="B175:D175"/>
    <mergeCell ref="B261:C261"/>
    <mergeCell ref="B259:F260"/>
    <mergeCell ref="B263:F263"/>
  </mergeCells>
  <conditionalFormatting sqref="A257:A258 C182:C184 D86 C177:C179 C272:C65581 A262:A263 A265:A268 C250:C252 C233:C247 A270:A271 C146 C174 C2:C7 C39:C43 C46:C70 C82:C132 C149:C166 C186:C193 C10:C29 C36">
    <cfRule type="cellIs" dxfId="14" priority="16" stopIfTrue="1" operator="between">
      <formula>4990000</formula>
      <formula>4999999</formula>
    </cfRule>
  </conditionalFormatting>
  <conditionalFormatting sqref="A269">
    <cfRule type="cellIs" dxfId="13" priority="15" stopIfTrue="1" operator="between">
      <formula>4990000</formula>
      <formula>4999999</formula>
    </cfRule>
  </conditionalFormatting>
  <conditionalFormatting sqref="A259:A261">
    <cfRule type="cellIs" dxfId="12" priority="14" stopIfTrue="1" operator="between">
      <formula>4990000</formula>
      <formula>4999999</formula>
    </cfRule>
  </conditionalFormatting>
  <conditionalFormatting sqref="K248:K249 Q248:Q249 Y248:Y249 AG248:AG249 AO248:AO249 AW248:AW249 BE248:BE249 BM248:BM249 BU248:BU249 CC248:CC249 CK248:CK249 CS248:CS249 DA248:DA249 DI248:DI249 DQ248:DQ249 DY248:DY249 EG248:EG249 EO248:EO249 EW248:EW249 FE248:FE249 FM248:FM249 FU248:FU249 GC248:GC249 GK248:GK249 GS248:GS249 HA248:HA249 HI248:HI249 HQ248:HQ249 HY248:HY249 IG248:IG249 IO248:IO249">
    <cfRule type="cellIs" dxfId="11" priority="13" stopIfTrue="1" operator="between">
      <formula>4990000</formula>
      <formula>4999999</formula>
    </cfRule>
  </conditionalFormatting>
  <conditionalFormatting sqref="C248:C249">
    <cfRule type="cellIs" dxfId="10" priority="12" stopIfTrue="1" operator="between">
      <formula>4990000</formula>
      <formula>4999999</formula>
    </cfRule>
  </conditionalFormatting>
  <conditionalFormatting sqref="A272">
    <cfRule type="cellIs" dxfId="9" priority="11" stopIfTrue="1" operator="between">
      <formula>4990000</formula>
      <formula>4999999</formula>
    </cfRule>
  </conditionalFormatting>
  <conditionalFormatting sqref="C71:C73">
    <cfRule type="cellIs" dxfId="8" priority="10" stopIfTrue="1" operator="between">
      <formula>4990000</formula>
      <formula>4999999</formula>
    </cfRule>
  </conditionalFormatting>
  <conditionalFormatting sqref="C133:C139">
    <cfRule type="cellIs" dxfId="7" priority="9" stopIfTrue="1" operator="between">
      <formula>4990000</formula>
      <formula>4999999</formula>
    </cfRule>
  </conditionalFormatting>
  <conditionalFormatting sqref="C167:C168">
    <cfRule type="cellIs" dxfId="6" priority="8" stopIfTrue="1" operator="between">
      <formula>4990000</formula>
      <formula>4999999</formula>
    </cfRule>
  </conditionalFormatting>
  <conditionalFormatting sqref="C169">
    <cfRule type="cellIs" dxfId="5" priority="7" stopIfTrue="1" operator="between">
      <formula>4990000</formula>
      <formula>4999999</formula>
    </cfRule>
  </conditionalFormatting>
  <conditionalFormatting sqref="C30:C35">
    <cfRule type="cellIs" dxfId="4" priority="5" stopIfTrue="1" operator="between">
      <formula>4990000</formula>
      <formula>4999999</formula>
    </cfRule>
  </conditionalFormatting>
  <conditionalFormatting sqref="C142:C143">
    <cfRule type="cellIs" dxfId="3" priority="4" stopIfTrue="1" operator="between">
      <formula>4990000</formula>
      <formula>4999999</formula>
    </cfRule>
  </conditionalFormatting>
  <conditionalFormatting sqref="C172:C173">
    <cfRule type="cellIs" dxfId="2" priority="3" stopIfTrue="1" operator="between">
      <formula>4990000</formula>
      <formula>4999999</formula>
    </cfRule>
  </conditionalFormatting>
  <conditionalFormatting sqref="C76:C79">
    <cfRule type="cellIs" dxfId="1" priority="2" stopIfTrue="1" operator="between">
      <formula>4990000</formula>
      <formula>4999999</formula>
    </cfRule>
  </conditionalFormatting>
  <conditionalFormatting sqref="C144:C145">
    <cfRule type="cellIs" dxfId="0" priority="1" stopIfTrue="1" operator="between">
      <formula>4990000</formula>
      <formula>4999999</formula>
    </cfRule>
  </conditionalFormatting>
  <pageMargins left="0.7" right="0.7" top="0.75" bottom="0.75" header="0.3" footer="0.3"/>
  <pageSetup scale="45" orientation="landscape" cellComments="asDisplayed" r:id="rId1"/>
  <headerFooter>
    <oddHeader>&amp;CSchedule 21
Revenue Credits
&amp;RTO2022 Draft Annual Update 
Attachment 1</oddHeader>
    <oddFooter>&amp;R21-RevenueCredits</oddFooter>
  </headerFooter>
  <rowBreaks count="3" manualBreakCount="3">
    <brk id="81" max="16383" man="1"/>
    <brk id="148" max="16383" man="1"/>
    <brk id="219" max="16383" man="1"/>
  </rowBreaks>
  <ignoredErrors>
    <ignoredError sqref="G136" formula="1"/>
    <ignoredError sqref="C156"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heetViews>
  <sheetFormatPr defaultColWidth="9.453125" defaultRowHeight="12.5"/>
  <cols>
    <col min="1" max="1" width="4.54296875" style="464" customWidth="1"/>
    <col min="2" max="2" width="14" style="463" customWidth="1"/>
    <col min="3" max="3" width="26.54296875" style="463" customWidth="1"/>
    <col min="4" max="4" width="28.54296875" style="463" customWidth="1"/>
    <col min="5" max="5" width="16.453125" style="463" bestFit="1" customWidth="1"/>
    <col min="6" max="6" width="20.54296875" style="1099" customWidth="1"/>
    <col min="7" max="7" width="9.54296875" style="463" customWidth="1"/>
    <col min="8" max="16384" width="9.453125" style="463"/>
  </cols>
  <sheetData>
    <row r="1" spans="1:8" ht="13">
      <c r="A1" s="83" t="s">
        <v>1066</v>
      </c>
      <c r="C1" s="83"/>
      <c r="D1" s="83"/>
      <c r="E1" s="83"/>
    </row>
    <row r="2" spans="1:8" ht="13">
      <c r="A2" s="83"/>
      <c r="C2" s="68" t="s">
        <v>2531</v>
      </c>
      <c r="D2" s="1488" t="s">
        <v>2806</v>
      </c>
      <c r="E2" s="858" t="s">
        <v>1713</v>
      </c>
      <c r="F2" s="1489">
        <v>2020</v>
      </c>
    </row>
    <row r="3" spans="1:8" ht="13">
      <c r="B3" s="83" t="s">
        <v>1098</v>
      </c>
      <c r="C3" s="83"/>
      <c r="D3" s="1227"/>
      <c r="E3" s="83"/>
    </row>
    <row r="4" spans="1:8" ht="13">
      <c r="A4" s="51" t="s">
        <v>329</v>
      </c>
      <c r="C4" s="1234"/>
      <c r="D4" s="1227"/>
      <c r="E4" s="3" t="s">
        <v>957</v>
      </c>
      <c r="F4" s="1109" t="s">
        <v>168</v>
      </c>
    </row>
    <row r="5" spans="1:8" ht="13">
      <c r="A5" s="230">
        <v>1</v>
      </c>
      <c r="B5" s="533" t="s">
        <v>1067</v>
      </c>
      <c r="C5" s="533"/>
      <c r="E5" s="710">
        <v>36762569</v>
      </c>
      <c r="F5" s="1033" t="s">
        <v>212</v>
      </c>
    </row>
    <row r="6" spans="1:8" ht="13">
      <c r="A6" s="230">
        <v>2</v>
      </c>
      <c r="B6" s="463" t="s">
        <v>1068</v>
      </c>
      <c r="E6" s="357">
        <f>E7-E5</f>
        <v>144313294</v>
      </c>
      <c r="F6" s="1033" t="s">
        <v>2272</v>
      </c>
      <c r="H6" s="1033"/>
    </row>
    <row r="7" spans="1:8" ht="13">
      <c r="A7" s="230">
        <v>3</v>
      </c>
      <c r="B7" s="463" t="s">
        <v>2342</v>
      </c>
      <c r="C7" s="533"/>
      <c r="D7" s="533"/>
      <c r="E7" s="510">
        <v>181075863</v>
      </c>
      <c r="F7" s="467" t="s">
        <v>1216</v>
      </c>
      <c r="H7" s="1033"/>
    </row>
    <row r="8" spans="1:8" ht="14">
      <c r="A8" s="1110"/>
      <c r="B8" s="1100"/>
      <c r="C8" s="1101"/>
      <c r="D8" s="1101"/>
      <c r="E8" s="1097"/>
      <c r="F8" s="1102"/>
      <c r="G8" s="1103"/>
    </row>
    <row r="9" spans="1:8" ht="14">
      <c r="A9" s="1110"/>
      <c r="B9" s="83" t="s">
        <v>1099</v>
      </c>
      <c r="C9" s="1101"/>
      <c r="D9" s="1101"/>
      <c r="E9" s="1097"/>
      <c r="F9" s="1104"/>
      <c r="G9" s="1103"/>
    </row>
    <row r="10" spans="1:8" ht="14">
      <c r="A10" s="549"/>
      <c r="B10" s="533"/>
      <c r="C10" s="533"/>
      <c r="D10" s="533"/>
      <c r="E10" s="1098"/>
      <c r="F10" s="1104"/>
      <c r="G10" s="1103"/>
    </row>
    <row r="11" spans="1:8" ht="14">
      <c r="A11" s="549">
        <v>4</v>
      </c>
      <c r="B11" s="533" t="s">
        <v>1067</v>
      </c>
      <c r="C11" s="533"/>
      <c r="D11" s="533"/>
      <c r="E11" s="949">
        <v>19178430</v>
      </c>
      <c r="F11" s="1033" t="s">
        <v>281</v>
      </c>
      <c r="G11" s="1103"/>
    </row>
    <row r="12" spans="1:8" ht="14">
      <c r="A12" s="549">
        <v>5</v>
      </c>
      <c r="B12" s="533" t="s">
        <v>1068</v>
      </c>
      <c r="C12" s="533"/>
      <c r="D12" s="533"/>
      <c r="E12" s="357">
        <f>E13-E11</f>
        <v>171906779</v>
      </c>
      <c r="F12" s="1033" t="s">
        <v>2273</v>
      </c>
      <c r="G12" s="1103"/>
    </row>
    <row r="13" spans="1:8" ht="14">
      <c r="A13" s="549">
        <v>6</v>
      </c>
      <c r="B13" s="463" t="s">
        <v>2342</v>
      </c>
      <c r="C13" s="533"/>
      <c r="D13" s="533"/>
      <c r="E13" s="510">
        <v>191085209</v>
      </c>
      <c r="F13" s="467" t="s">
        <v>1069</v>
      </c>
      <c r="G13" s="1103"/>
    </row>
    <row r="14" spans="1:8" ht="13">
      <c r="A14" s="230"/>
      <c r="B14" s="533"/>
      <c r="C14" s="533"/>
      <c r="D14" s="533"/>
      <c r="E14" s="1098"/>
      <c r="F14" s="1033"/>
    </row>
    <row r="15" spans="1:8" ht="13">
      <c r="A15" s="230">
        <v>7</v>
      </c>
      <c r="B15" s="533" t="s">
        <v>1070</v>
      </c>
      <c r="C15" s="533"/>
      <c r="D15" s="533"/>
      <c r="E15" s="1098">
        <f>(E5+E11)/2</f>
        <v>27970499.5</v>
      </c>
      <c r="F15" s="467" t="str">
        <f>"(Line "&amp;A5&amp;" + Line "&amp;A11&amp;") / 2"</f>
        <v>(Line 1 + Line 4) / 2</v>
      </c>
      <c r="G15" s="660"/>
    </row>
    <row r="16" spans="1:8" ht="13">
      <c r="A16" s="230"/>
      <c r="C16" s="1105"/>
      <c r="D16" s="373"/>
      <c r="E16" s="1098"/>
      <c r="F16" s="1033"/>
    </row>
    <row r="17" spans="1:6" ht="13">
      <c r="A17" s="230">
        <v>8</v>
      </c>
      <c r="B17" s="463" t="s">
        <v>1071</v>
      </c>
      <c r="C17" s="1105"/>
      <c r="D17" s="1105"/>
      <c r="E17" s="1108">
        <v>2371003</v>
      </c>
      <c r="F17" s="1033" t="s">
        <v>951</v>
      </c>
    </row>
    <row r="18" spans="1:6" ht="13">
      <c r="A18" s="230">
        <v>9</v>
      </c>
      <c r="B18" s="463" t="s">
        <v>1072</v>
      </c>
      <c r="C18" s="1105"/>
      <c r="D18" s="1105"/>
      <c r="E18" s="357">
        <f>E19-E17</f>
        <v>821450941</v>
      </c>
      <c r="F18" s="1033" t="s">
        <v>2274</v>
      </c>
    </row>
    <row r="19" spans="1:6" ht="13">
      <c r="A19" s="230">
        <v>10</v>
      </c>
      <c r="B19" s="463" t="s">
        <v>2341</v>
      </c>
      <c r="C19" s="1105"/>
      <c r="D19" s="1105"/>
      <c r="E19" s="510">
        <v>823821944</v>
      </c>
      <c r="F19" s="467" t="s">
        <v>1073</v>
      </c>
    </row>
    <row r="20" spans="1:6">
      <c r="C20" s="1105"/>
      <c r="D20" s="1105"/>
    </row>
    <row r="21" spans="1:6">
      <c r="C21" s="1105"/>
      <c r="D21" s="1105"/>
    </row>
    <row r="22" spans="1:6" ht="13">
      <c r="A22" s="51" t="s">
        <v>230</v>
      </c>
    </row>
    <row r="23" spans="1:6">
      <c r="A23" s="464">
        <v>1</v>
      </c>
      <c r="B23" s="463" t="s">
        <v>1097</v>
      </c>
    </row>
    <row r="24" spans="1:6">
      <c r="A24" s="464">
        <v>2</v>
      </c>
      <c r="B24" s="463" t="s">
        <v>1100</v>
      </c>
    </row>
    <row r="25" spans="1:6">
      <c r="A25" s="464">
        <v>3</v>
      </c>
      <c r="B25" s="463" t="s">
        <v>1659</v>
      </c>
    </row>
    <row r="26" spans="1:6">
      <c r="A26" s="464">
        <v>4</v>
      </c>
      <c r="B26" s="463" t="s">
        <v>1978</v>
      </c>
      <c r="E26" s="1106"/>
    </row>
    <row r="27" spans="1:6">
      <c r="B27" s="463" t="s">
        <v>1977</v>
      </c>
      <c r="E27" s="1106"/>
    </row>
    <row r="28" spans="1:6">
      <c r="E28" s="1106"/>
    </row>
    <row r="29" spans="1:6">
      <c r="A29" s="463"/>
      <c r="E29" s="1106"/>
    </row>
    <row r="30" spans="1:6">
      <c r="A30" s="463"/>
      <c r="E30" s="1106"/>
    </row>
    <row r="31" spans="1:6">
      <c r="A31" s="463"/>
      <c r="E31" s="1106"/>
    </row>
    <row r="32" spans="1:6">
      <c r="A32" s="463"/>
      <c r="E32" s="1106"/>
    </row>
    <row r="36" spans="1:5">
      <c r="A36" s="463"/>
      <c r="C36" s="1107"/>
      <c r="D36" s="1107"/>
      <c r="E36" s="1107"/>
    </row>
    <row r="37" spans="1:5">
      <c r="A37" s="463"/>
      <c r="C37" s="1107"/>
      <c r="D37" s="1107"/>
      <c r="E37" s="1107"/>
    </row>
    <row r="38" spans="1:5">
      <c r="A38" s="463"/>
      <c r="C38" s="1107"/>
      <c r="D38" s="1107"/>
      <c r="E38" s="1107"/>
    </row>
    <row r="39" spans="1:5">
      <c r="A39" s="463"/>
      <c r="C39" s="1107"/>
      <c r="D39" s="1107"/>
      <c r="E39" s="1107"/>
    </row>
    <row r="40" spans="1:5">
      <c r="A40" s="463"/>
      <c r="C40" s="1107"/>
      <c r="D40" s="1107"/>
      <c r="E40" s="1107"/>
    </row>
    <row r="41" spans="1:5">
      <c r="A41" s="463"/>
      <c r="C41" s="1107"/>
      <c r="D41" s="1107"/>
      <c r="E41" s="1107"/>
    </row>
    <row r="42" spans="1:5">
      <c r="A42" s="463"/>
      <c r="C42" s="1107"/>
      <c r="D42" s="1107"/>
      <c r="E42" s="1107"/>
    </row>
    <row r="43" spans="1:5">
      <c r="A43" s="463"/>
      <c r="C43" s="1107"/>
      <c r="D43" s="1107"/>
      <c r="E43" s="1107"/>
    </row>
    <row r="44" spans="1:5">
      <c r="A44" s="463"/>
      <c r="C44" s="1107"/>
      <c r="D44" s="1107"/>
      <c r="E44" s="1107"/>
    </row>
    <row r="45" spans="1:5">
      <c r="A45" s="463"/>
      <c r="C45" s="1107"/>
      <c r="D45" s="1107"/>
      <c r="E45" s="1107"/>
    </row>
    <row r="46" spans="1:5">
      <c r="A46" s="463"/>
      <c r="C46" s="1107"/>
      <c r="D46" s="1107"/>
      <c r="E46" s="1107"/>
    </row>
    <row r="47" spans="1:5">
      <c r="A47" s="463"/>
      <c r="C47" s="1107"/>
      <c r="D47" s="1107"/>
      <c r="E47" s="1107"/>
    </row>
    <row r="48" spans="1:5">
      <c r="A48" s="463"/>
      <c r="C48" s="1107"/>
      <c r="D48" s="1107"/>
      <c r="E48" s="1107"/>
    </row>
    <row r="51" spans="1:5">
      <c r="A51" s="463"/>
      <c r="E51" s="1107"/>
    </row>
  </sheetData>
  <pageMargins left="0.7" right="0.7" top="0.75" bottom="0.75" header="0.3" footer="0.3"/>
  <pageSetup scale="75" orientation="portrait" cellComments="asDisplayed" r:id="rId1"/>
  <headerFooter>
    <oddHeader>&amp;CSchedule 22
Network Upgrade Credits and Interest Expense
&amp;RTO2022 Draft Annual Update 
Attachment 1</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9"/>
  <sheetViews>
    <sheetView zoomScaleNormal="100" workbookViewId="0"/>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11" ht="13">
      <c r="A1" s="668" t="s">
        <v>1698</v>
      </c>
      <c r="B1" s="669"/>
      <c r="C1" s="669"/>
      <c r="D1" s="669"/>
      <c r="E1" s="669"/>
      <c r="F1" s="669"/>
      <c r="G1" s="669"/>
      <c r="H1" s="14"/>
      <c r="I1" s="14"/>
      <c r="J1" s="14"/>
      <c r="K1" s="14"/>
    </row>
    <row r="2" spans="1:11">
      <c r="A2" s="14"/>
      <c r="B2" s="14"/>
      <c r="C2" s="14"/>
      <c r="D2" s="14"/>
      <c r="E2" s="14"/>
      <c r="F2" s="14"/>
      <c r="G2" s="14"/>
      <c r="H2" s="14"/>
      <c r="I2" s="14"/>
      <c r="J2" s="14"/>
      <c r="K2" s="14"/>
    </row>
    <row r="3" spans="1:11" ht="13">
      <c r="A3" s="670" t="s">
        <v>329</v>
      </c>
      <c r="B3" s="669"/>
      <c r="C3" s="669"/>
      <c r="D3" s="669"/>
      <c r="E3" s="669"/>
      <c r="F3" s="669"/>
      <c r="G3" s="669"/>
      <c r="H3" s="14"/>
      <c r="I3" s="14"/>
      <c r="J3" s="14"/>
      <c r="K3" s="14"/>
    </row>
    <row r="4" spans="1:11" ht="13">
      <c r="A4" s="671">
        <v>1</v>
      </c>
      <c r="B4" s="565" t="s">
        <v>1687</v>
      </c>
      <c r="C4" s="669"/>
      <c r="D4" s="669"/>
      <c r="E4" s="669"/>
      <c r="F4" s="669"/>
      <c r="G4" s="669"/>
      <c r="H4" s="14"/>
      <c r="I4" s="14"/>
      <c r="J4" s="14"/>
      <c r="K4" s="14"/>
    </row>
    <row r="5" spans="1:11" ht="13">
      <c r="A5" s="671">
        <v>2</v>
      </c>
      <c r="B5" s="565" t="s">
        <v>1688</v>
      </c>
      <c r="C5" s="669"/>
      <c r="D5" s="669"/>
      <c r="E5" s="669"/>
      <c r="F5" s="669"/>
      <c r="G5" s="669"/>
      <c r="H5" s="14"/>
      <c r="I5" s="14"/>
      <c r="J5" s="14"/>
      <c r="K5" s="14"/>
    </row>
    <row r="6" spans="1:11" ht="13">
      <c r="A6" s="671">
        <v>3</v>
      </c>
      <c r="B6" s="565" t="s">
        <v>1689</v>
      </c>
      <c r="C6" s="669"/>
      <c r="D6" s="669"/>
      <c r="E6" s="669"/>
      <c r="F6" s="669"/>
      <c r="G6" s="669"/>
      <c r="H6" s="14"/>
      <c r="I6" s="14"/>
      <c r="J6" s="14"/>
      <c r="K6" s="14"/>
    </row>
    <row r="7" spans="1:11" ht="13">
      <c r="A7" s="671">
        <v>4</v>
      </c>
      <c r="B7" s="669"/>
      <c r="C7" s="669"/>
      <c r="D7" s="669"/>
      <c r="E7" s="669"/>
      <c r="F7" s="669"/>
      <c r="G7" s="669"/>
      <c r="H7" s="14"/>
      <c r="I7" s="14"/>
      <c r="J7" s="14"/>
      <c r="K7" s="14"/>
    </row>
    <row r="8" spans="1:11" ht="13">
      <c r="A8" s="671">
        <v>5</v>
      </c>
      <c r="B8" s="565" t="s">
        <v>408</v>
      </c>
      <c r="C8" s="669"/>
      <c r="D8" s="669"/>
      <c r="E8" s="669"/>
      <c r="F8" s="669"/>
      <c r="G8" s="669"/>
      <c r="H8" s="14"/>
      <c r="I8" s="14"/>
      <c r="J8" s="14"/>
      <c r="K8" s="14"/>
    </row>
    <row r="9" spans="1:11" ht="13">
      <c r="A9" s="671">
        <v>6</v>
      </c>
      <c r="B9" s="565" t="s">
        <v>407</v>
      </c>
      <c r="C9" s="669"/>
      <c r="D9" s="669"/>
      <c r="E9" s="669"/>
      <c r="F9" s="669"/>
      <c r="G9" s="669"/>
      <c r="H9" s="14"/>
      <c r="I9" s="14"/>
      <c r="J9" s="14"/>
      <c r="K9" s="14"/>
    </row>
    <row r="10" spans="1:11" ht="13">
      <c r="A10" s="671">
        <v>7</v>
      </c>
      <c r="B10" s="669"/>
      <c r="C10" s="669"/>
      <c r="D10" s="669"/>
      <c r="E10" s="669"/>
      <c r="F10" s="669"/>
      <c r="G10" s="669"/>
      <c r="H10" s="14"/>
      <c r="I10" s="14"/>
      <c r="J10" s="14"/>
      <c r="K10" s="14"/>
    </row>
    <row r="11" spans="1:11" ht="13">
      <c r="A11" s="671">
        <v>8</v>
      </c>
      <c r="B11" s="565" t="s">
        <v>1690</v>
      </c>
      <c r="C11" s="669"/>
      <c r="D11" s="669"/>
      <c r="E11" s="669"/>
      <c r="F11" s="669"/>
      <c r="G11" s="669"/>
      <c r="H11" s="14"/>
      <c r="I11" s="14"/>
      <c r="J11" s="14"/>
      <c r="K11" s="14"/>
    </row>
    <row r="12" spans="1:11" ht="13">
      <c r="A12" s="671">
        <v>9</v>
      </c>
      <c r="B12" s="565" t="s">
        <v>1691</v>
      </c>
      <c r="C12" s="669"/>
      <c r="D12" s="669"/>
      <c r="E12" s="669"/>
      <c r="F12" s="669"/>
      <c r="G12" s="669"/>
      <c r="H12" s="14"/>
      <c r="I12" s="14"/>
      <c r="J12" s="14"/>
      <c r="K12" s="14"/>
    </row>
    <row r="13" spans="1:11" ht="13">
      <c r="A13" s="671">
        <v>10</v>
      </c>
      <c r="B13" s="565" t="s">
        <v>1692</v>
      </c>
      <c r="C13" s="669"/>
      <c r="D13" s="669"/>
      <c r="E13" s="669"/>
      <c r="F13" s="669"/>
      <c r="G13" s="669"/>
      <c r="H13" s="14"/>
      <c r="I13" s="14"/>
      <c r="J13" s="14"/>
      <c r="K13" s="14"/>
    </row>
    <row r="14" spans="1:11" ht="13">
      <c r="A14" s="671">
        <v>11</v>
      </c>
      <c r="B14" s="669"/>
      <c r="C14" s="669"/>
      <c r="D14" s="669"/>
      <c r="E14" s="669"/>
      <c r="F14" s="669"/>
      <c r="G14" s="669"/>
      <c r="H14" s="14"/>
      <c r="I14" s="14"/>
      <c r="J14" s="14"/>
      <c r="K14" s="14"/>
    </row>
    <row r="15" spans="1:11" ht="13">
      <c r="A15" s="671">
        <v>12</v>
      </c>
      <c r="B15" s="565"/>
      <c r="C15" s="669"/>
      <c r="D15" s="669"/>
      <c r="E15" s="671" t="s">
        <v>63</v>
      </c>
      <c r="F15" s="669"/>
      <c r="G15" s="669"/>
      <c r="H15" s="14"/>
      <c r="I15" s="14"/>
      <c r="J15" s="14"/>
      <c r="K15" s="14"/>
    </row>
    <row r="16" spans="1:11" ht="13">
      <c r="A16" s="671">
        <v>13</v>
      </c>
      <c r="B16" s="669"/>
      <c r="C16" s="669"/>
      <c r="D16" s="669"/>
      <c r="E16" s="897" t="s">
        <v>175</v>
      </c>
      <c r="F16" s="669"/>
      <c r="G16" s="898" t="s">
        <v>1857</v>
      </c>
      <c r="H16" s="14"/>
      <c r="I16" s="14"/>
      <c r="J16" s="14"/>
      <c r="K16" s="14"/>
    </row>
    <row r="17" spans="1:11" ht="13">
      <c r="A17" s="671">
        <v>14</v>
      </c>
      <c r="B17" s="565" t="s">
        <v>409</v>
      </c>
      <c r="C17" s="669"/>
      <c r="D17" s="669"/>
      <c r="E17" s="560">
        <f>D29</f>
        <v>0</v>
      </c>
      <c r="F17" s="669"/>
      <c r="G17" s="565" t="s">
        <v>498</v>
      </c>
      <c r="H17" s="14"/>
      <c r="I17" s="14"/>
      <c r="J17" s="14"/>
      <c r="K17" s="14"/>
    </row>
    <row r="18" spans="1:11" ht="13">
      <c r="A18" s="671">
        <v>15</v>
      </c>
      <c r="B18" s="565" t="s">
        <v>1612</v>
      </c>
      <c r="C18" s="669"/>
      <c r="D18" s="669"/>
      <c r="E18" s="560">
        <f>(C29+D29)/2</f>
        <v>0</v>
      </c>
      <c r="F18" s="669"/>
      <c r="G18" s="565" t="s">
        <v>1858</v>
      </c>
      <c r="H18" s="14"/>
      <c r="I18" s="14"/>
      <c r="J18" s="14"/>
      <c r="K18" s="14"/>
    </row>
    <row r="19" spans="1:11" ht="13">
      <c r="A19" s="671">
        <v>16</v>
      </c>
      <c r="B19" s="565" t="s">
        <v>1693</v>
      </c>
      <c r="C19" s="669"/>
      <c r="D19" s="669"/>
      <c r="E19" s="560">
        <f>E29</f>
        <v>0</v>
      </c>
      <c r="F19" s="669"/>
      <c r="G19" s="565" t="s">
        <v>1859</v>
      </c>
      <c r="H19" s="14"/>
      <c r="I19" s="14"/>
      <c r="J19" s="14"/>
      <c r="K19" s="14"/>
    </row>
    <row r="20" spans="1:11" ht="13">
      <c r="A20" s="671"/>
      <c r="B20" s="565"/>
      <c r="C20" s="669"/>
      <c r="D20" s="669"/>
      <c r="E20" s="560"/>
      <c r="F20" s="669"/>
      <c r="G20" s="669"/>
      <c r="H20" s="14"/>
      <c r="I20" s="14"/>
      <c r="J20" s="14"/>
      <c r="K20" s="14"/>
    </row>
    <row r="21" spans="1:11" ht="13">
      <c r="A21" s="671"/>
      <c r="B21" s="669"/>
      <c r="C21" s="677" t="s">
        <v>358</v>
      </c>
      <c r="D21" s="677" t="s">
        <v>342</v>
      </c>
      <c r="E21" s="677" t="s">
        <v>343</v>
      </c>
      <c r="F21" s="669"/>
      <c r="G21" s="669"/>
      <c r="H21" s="14"/>
      <c r="I21" s="14"/>
      <c r="J21" s="14"/>
      <c r="K21" s="14"/>
    </row>
    <row r="22" spans="1:11" ht="13">
      <c r="A22" s="671"/>
      <c r="B22" s="669"/>
      <c r="C22" s="671" t="s">
        <v>63</v>
      </c>
      <c r="D22" s="671" t="s">
        <v>63</v>
      </c>
      <c r="E22" s="671" t="s">
        <v>63</v>
      </c>
      <c r="F22" s="669"/>
      <c r="G22" s="669"/>
      <c r="H22" s="14"/>
      <c r="I22" s="14"/>
      <c r="J22" s="14"/>
      <c r="K22" s="14"/>
    </row>
    <row r="23" spans="1:11" ht="14.5">
      <c r="A23" s="671"/>
      <c r="B23" s="671" t="s">
        <v>410</v>
      </c>
      <c r="C23" s="671" t="s">
        <v>380</v>
      </c>
      <c r="D23" s="671" t="s">
        <v>299</v>
      </c>
      <c r="E23" s="899" t="s">
        <v>1694</v>
      </c>
      <c r="F23" s="669"/>
      <c r="G23" s="900" t="s">
        <v>1860</v>
      </c>
      <c r="H23" s="853"/>
      <c r="I23" s="14"/>
      <c r="J23" s="14"/>
      <c r="K23" s="14"/>
    </row>
    <row r="24" spans="1:11" ht="13">
      <c r="A24" s="671"/>
      <c r="B24" s="671" t="s">
        <v>411</v>
      </c>
      <c r="C24" s="671" t="s">
        <v>413</v>
      </c>
      <c r="D24" s="671" t="s">
        <v>413</v>
      </c>
      <c r="E24" s="671" t="s">
        <v>414</v>
      </c>
      <c r="F24" s="669"/>
      <c r="G24" s="900" t="s">
        <v>1861</v>
      </c>
      <c r="H24" s="853"/>
      <c r="I24" s="14"/>
      <c r="J24" s="14"/>
      <c r="K24" s="14"/>
    </row>
    <row r="25" spans="1:11" ht="13">
      <c r="A25" s="671"/>
      <c r="B25" s="897" t="s">
        <v>412</v>
      </c>
      <c r="C25" s="897" t="s">
        <v>412</v>
      </c>
      <c r="D25" s="897" t="s">
        <v>412</v>
      </c>
      <c r="E25" s="897" t="s">
        <v>1695</v>
      </c>
      <c r="F25" s="669"/>
      <c r="G25" s="901" t="s">
        <v>1862</v>
      </c>
      <c r="H25" s="853"/>
      <c r="I25" s="14"/>
      <c r="J25" s="14"/>
      <c r="K25" s="14"/>
    </row>
    <row r="26" spans="1:11" ht="13">
      <c r="A26" s="556">
        <v>17</v>
      </c>
      <c r="B26" s="561"/>
      <c r="C26" s="562"/>
      <c r="D26" s="562"/>
      <c r="E26" s="562"/>
      <c r="F26" s="554"/>
      <c r="G26" s="576"/>
      <c r="H26" s="96"/>
    </row>
    <row r="27" spans="1:11" ht="13">
      <c r="A27" s="556">
        <v>18</v>
      </c>
      <c r="B27" s="561"/>
      <c r="C27" s="562"/>
      <c r="D27" s="562"/>
      <c r="E27" s="562"/>
      <c r="F27" s="554"/>
      <c r="G27" s="576"/>
      <c r="H27" s="96"/>
    </row>
    <row r="28" spans="1:11" ht="13">
      <c r="A28" s="556">
        <v>19</v>
      </c>
      <c r="B28" s="561"/>
      <c r="C28" s="563"/>
      <c r="D28" s="563"/>
      <c r="E28" s="563"/>
      <c r="F28" s="554"/>
      <c r="G28" s="576"/>
      <c r="H28" s="96"/>
    </row>
    <row r="29" spans="1:11" ht="13">
      <c r="A29" s="556">
        <v>20</v>
      </c>
      <c r="B29" s="557" t="s">
        <v>197</v>
      </c>
      <c r="C29" s="564">
        <f>SUM(C26:C28)</f>
        <v>0</v>
      </c>
      <c r="D29" s="564">
        <f>SUM(D26:D28)</f>
        <v>0</v>
      </c>
      <c r="E29" s="564">
        <f>SUM(E26:E28)</f>
        <v>0</v>
      </c>
      <c r="F29" s="554"/>
      <c r="G29" s="557" t="s">
        <v>325</v>
      </c>
    </row>
    <row r="30" spans="1:11" ht="13">
      <c r="A30" s="556"/>
      <c r="B30" s="554"/>
      <c r="C30" s="554"/>
      <c r="D30" s="554"/>
      <c r="E30" s="554"/>
      <c r="F30" s="554"/>
      <c r="G30" s="554"/>
    </row>
    <row r="31" spans="1:11" ht="13">
      <c r="A31" s="556"/>
      <c r="B31" s="553" t="s">
        <v>377</v>
      </c>
      <c r="C31" s="554"/>
      <c r="D31" s="554"/>
      <c r="E31" s="554"/>
      <c r="F31" s="554"/>
      <c r="G31" s="554"/>
    </row>
    <row r="32" spans="1:11" ht="13">
      <c r="A32" s="556"/>
      <c r="B32" s="565" t="s">
        <v>1696</v>
      </c>
      <c r="C32" s="669"/>
      <c r="D32" s="669"/>
      <c r="E32" s="669"/>
      <c r="F32" s="669"/>
      <c r="G32" s="669"/>
      <c r="H32" s="14"/>
    </row>
    <row r="33" spans="1:8" ht="13">
      <c r="A33" s="556"/>
      <c r="B33" s="565" t="s">
        <v>415</v>
      </c>
      <c r="C33" s="14"/>
      <c r="D33" s="14"/>
      <c r="E33" s="14"/>
      <c r="F33" s="14"/>
      <c r="G33" s="14"/>
      <c r="H33" s="14"/>
    </row>
    <row r="34" spans="1:8" ht="13">
      <c r="A34" s="556"/>
      <c r="B34" s="902" t="s">
        <v>499</v>
      </c>
      <c r="C34" s="14"/>
      <c r="D34" s="14"/>
      <c r="E34" s="14"/>
      <c r="F34" s="14"/>
      <c r="G34" s="14"/>
      <c r="H34" s="14"/>
    </row>
    <row r="35" spans="1:8" ht="13">
      <c r="A35" s="556"/>
      <c r="B35" s="902" t="s">
        <v>500</v>
      </c>
      <c r="C35" s="14"/>
      <c r="D35" s="14"/>
      <c r="E35" s="853"/>
      <c r="F35" s="14"/>
      <c r="G35" s="14"/>
      <c r="H35" s="14"/>
    </row>
    <row r="36" spans="1:8" ht="13">
      <c r="A36" s="556"/>
      <c r="B36" s="565" t="s">
        <v>416</v>
      </c>
      <c r="C36" s="14"/>
      <c r="D36" s="14"/>
      <c r="E36" s="14"/>
      <c r="F36" s="14"/>
      <c r="G36" s="14"/>
      <c r="H36" s="14"/>
    </row>
    <row r="37" spans="1:8" ht="13">
      <c r="A37" s="556"/>
    </row>
    <row r="38" spans="1:8" ht="13">
      <c r="A38" s="556"/>
      <c r="B38" s="554"/>
    </row>
    <row r="39" spans="1:8" ht="13">
      <c r="A39" s="556"/>
      <c r="B39" s="554"/>
    </row>
  </sheetData>
  <pageMargins left="0.7" right="0.7" top="0.75" bottom="0.75" header="0.3" footer="0.3"/>
  <pageSetup orientation="landscape" cellComments="asDisplayed" r:id="rId1"/>
  <headerFooter>
    <oddHeader>&amp;CSchedule 23
Regulatory Assets and Liabilities
&amp;RTO2022 Draft Annual Update 
Attachment 1</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3"/>
  <sheetViews>
    <sheetView zoomScaleNormal="100" workbookViewId="0"/>
  </sheetViews>
  <sheetFormatPr defaultRowHeight="12.5"/>
  <cols>
    <col min="1" max="1" width="3.54296875" customWidth="1"/>
    <col min="2" max="2" width="45.54296875" customWidth="1"/>
    <col min="3" max="3" width="13.54296875" bestFit="1" customWidth="1"/>
  </cols>
  <sheetData>
    <row r="1" spans="1:6" ht="13">
      <c r="A1" s="1" t="s">
        <v>1417</v>
      </c>
    </row>
    <row r="3" spans="1:6">
      <c r="A3" s="463" t="s">
        <v>1634</v>
      </c>
    </row>
    <row r="5" spans="1:6" ht="13">
      <c r="B5" s="3" t="s">
        <v>174</v>
      </c>
      <c r="C5" s="3" t="s">
        <v>175</v>
      </c>
    </row>
    <row r="6" spans="1:6">
      <c r="B6" t="s">
        <v>95</v>
      </c>
      <c r="C6" s="7">
        <f>'1-BaseTRR'!K144</f>
        <v>1271624717.9504054</v>
      </c>
    </row>
    <row r="7" spans="1:6">
      <c r="B7" t="s">
        <v>318</v>
      </c>
      <c r="C7" s="7">
        <f>'1-BaseTRR'!K150</f>
        <v>111283192.67208581</v>
      </c>
    </row>
    <row r="8" spans="1:6" ht="13">
      <c r="B8" t="s">
        <v>96</v>
      </c>
      <c r="C8" s="100">
        <f>'1-BaseTRR'!K151</f>
        <v>98421523.947972402</v>
      </c>
      <c r="E8" s="1"/>
    </row>
    <row r="9" spans="1:6" ht="13">
      <c r="B9" s="465" t="s">
        <v>1869</v>
      </c>
      <c r="C9" s="91">
        <f>'1-BaseTRR'!K152</f>
        <v>-83133820</v>
      </c>
      <c r="E9" s="1"/>
    </row>
    <row r="10" spans="1:6">
      <c r="B10" t="s">
        <v>1635</v>
      </c>
      <c r="C10" s="7">
        <f>SUM(C6:C9)</f>
        <v>1398195614.5704634</v>
      </c>
    </row>
    <row r="12" spans="1:6">
      <c r="A12" t="s">
        <v>544</v>
      </c>
    </row>
    <row r="14" spans="1:6">
      <c r="B14" t="s">
        <v>203</v>
      </c>
    </row>
    <row r="15" spans="1:6">
      <c r="B15" s="467" t="s">
        <v>1768</v>
      </c>
      <c r="E15" s="14"/>
      <c r="F15" s="14"/>
    </row>
    <row r="16" spans="1:6">
      <c r="B16" s="16"/>
    </row>
    <row r="17" spans="2:2">
      <c r="B17" t="s">
        <v>543</v>
      </c>
    </row>
    <row r="18" spans="2:2">
      <c r="B18" s="465" t="s">
        <v>1769</v>
      </c>
    </row>
    <row r="19" spans="2:2">
      <c r="B19" s="16"/>
    </row>
    <row r="20" spans="2:2">
      <c r="B20" s="65" t="s">
        <v>1195</v>
      </c>
    </row>
    <row r="21" spans="2:2">
      <c r="B21" s="462" t="s">
        <v>1770</v>
      </c>
    </row>
    <row r="23" spans="2:2">
      <c r="B23" s="465" t="s">
        <v>1870</v>
      </c>
    </row>
  </sheetData>
  <phoneticPr fontId="23" type="noConversion"/>
  <pageMargins left="0.75" right="0.75" top="1.25" bottom="1" header="0.5" footer="0.5"/>
  <pageSetup orientation="landscape" r:id="rId1"/>
  <headerFooter alignWithMargins="0">
    <oddHeader>&amp;COverview
&amp;RTO2022 Draft Annual Update 
Attachment 1</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202"/>
  <sheetViews>
    <sheetView zoomScaleNormal="100" workbookViewId="0"/>
  </sheetViews>
  <sheetFormatPr defaultRowHeight="12.5"/>
  <cols>
    <col min="1" max="2" width="4.54296875" customWidth="1"/>
    <col min="3" max="3" width="28.54296875" customWidth="1"/>
    <col min="4" max="8" width="14.54296875" customWidth="1"/>
  </cols>
  <sheetData>
    <row r="1" spans="1:9" ht="14.5">
      <c r="A1" s="1" t="s">
        <v>1231</v>
      </c>
      <c r="I1" s="363"/>
    </row>
    <row r="3" spans="1:9" ht="13">
      <c r="B3" s="1" t="s">
        <v>1493</v>
      </c>
    </row>
    <row r="4" spans="1:9" ht="13">
      <c r="B4" s="1"/>
    </row>
    <row r="5" spans="1:9" ht="13">
      <c r="B5" s="1"/>
      <c r="C5" s="1" t="s">
        <v>1382</v>
      </c>
      <c r="D5" s="84" t="s">
        <v>358</v>
      </c>
      <c r="E5" s="84" t="s">
        <v>342</v>
      </c>
      <c r="F5" s="84" t="s">
        <v>343</v>
      </c>
    </row>
    <row r="6" spans="1:9" ht="14.5">
      <c r="D6" s="237" t="s">
        <v>63</v>
      </c>
      <c r="E6" s="237" t="s">
        <v>63</v>
      </c>
      <c r="F6" s="237" t="s">
        <v>198</v>
      </c>
    </row>
    <row r="7" spans="1:9" ht="14.5">
      <c r="C7" s="1"/>
      <c r="D7" s="237" t="s">
        <v>299</v>
      </c>
      <c r="E7" s="237" t="s">
        <v>229</v>
      </c>
      <c r="F7" s="237" t="s">
        <v>199</v>
      </c>
    </row>
    <row r="8" spans="1:9" ht="13">
      <c r="A8" s="3" t="s">
        <v>329</v>
      </c>
      <c r="C8" s="3" t="s">
        <v>224</v>
      </c>
      <c r="D8" s="3" t="s">
        <v>175</v>
      </c>
      <c r="E8" s="3" t="s">
        <v>175</v>
      </c>
      <c r="F8" s="3" t="s">
        <v>175</v>
      </c>
      <c r="G8" s="3" t="s">
        <v>179</v>
      </c>
    </row>
    <row r="9" spans="1:9" ht="13">
      <c r="A9" s="2">
        <v>1</v>
      </c>
      <c r="C9" s="93" t="s">
        <v>1244</v>
      </c>
      <c r="D9" s="63">
        <f>'10-CWIP'!E25</f>
        <v>160227</v>
      </c>
      <c r="E9" s="63">
        <f>'10-CWIP'!E26</f>
        <v>158247.98461538463</v>
      </c>
      <c r="F9" s="63">
        <f>'10-CWIP'!K113</f>
        <v>7624571.0523076914</v>
      </c>
      <c r="G9" s="46" t="str">
        <f>"10-CWIP, Lines "&amp;'10-CWIP'!A25&amp;", "&amp;'10-CWIP'!A26&amp;", "&amp;'10-CWIP'!A113&amp;""</f>
        <v>10-CWIP, Lines 13, 14, 80</v>
      </c>
    </row>
    <row r="10" spans="1:9" ht="13">
      <c r="A10" s="2">
        <f>A9+1</f>
        <v>2</v>
      </c>
      <c r="C10" s="93" t="s">
        <v>1245</v>
      </c>
      <c r="D10" s="63">
        <f>'10-CWIP'!F25</f>
        <v>0</v>
      </c>
      <c r="E10" s="63">
        <f>'10-CWIP'!F26</f>
        <v>0</v>
      </c>
      <c r="F10" s="63">
        <f>'10-CWIP'!K146</f>
        <v>0</v>
      </c>
      <c r="G10" s="46" t="str">
        <f>"10-CWIP, Lines "&amp;'10-CWIP'!A25&amp;", "&amp;'10-CWIP'!A26&amp;", "&amp;'10-CWIP'!A146&amp;""</f>
        <v>10-CWIP, Lines 13, 14, 106</v>
      </c>
    </row>
    <row r="11" spans="1:9" ht="13">
      <c r="A11" s="2">
        <f t="shared" ref="A11:A21" si="0">A10+1</f>
        <v>3</v>
      </c>
      <c r="C11" s="461" t="s">
        <v>1249</v>
      </c>
      <c r="D11" s="63">
        <f>'10-CWIP'!G25</f>
        <v>5772572.9199999999</v>
      </c>
      <c r="E11" s="63">
        <f>'10-CWIP'!G26</f>
        <v>5634482.1292307684</v>
      </c>
      <c r="F11" s="63">
        <f>'10-CWIP'!K179</f>
        <v>2437769.2307692319</v>
      </c>
      <c r="G11" s="46" t="str">
        <f>"10-CWIP, Lines "&amp;'10-CWIP'!A25&amp;", "&amp;'10-CWIP'!A26&amp;", "&amp;'10-CWIP'!A179&amp;""</f>
        <v>10-CWIP, Lines 13, 14, 132</v>
      </c>
    </row>
    <row r="12" spans="1:9" ht="13">
      <c r="A12" s="2">
        <f t="shared" si="0"/>
        <v>4</v>
      </c>
      <c r="C12" s="461" t="s">
        <v>1250</v>
      </c>
      <c r="D12" s="63">
        <f>'10-CWIP'!H25</f>
        <v>650835316.65999997</v>
      </c>
      <c r="E12" s="63">
        <f>'10-CWIP'!H26</f>
        <v>561949690.21384621</v>
      </c>
      <c r="F12" s="63">
        <f>'10-CWIP'!K212</f>
        <v>-650835316.65999985</v>
      </c>
      <c r="G12" s="46" t="str">
        <f>"10-CWIP, Lines "&amp;'10-CWIP'!A25&amp;", "&amp;'10-CWIP'!A26&amp;", "&amp;'10-CWIP'!A212&amp;""</f>
        <v>10-CWIP, Lines 13, 14, 158</v>
      </c>
    </row>
    <row r="13" spans="1:9" ht="13">
      <c r="A13" s="2">
        <f t="shared" si="0"/>
        <v>5</v>
      </c>
      <c r="C13" s="93" t="s">
        <v>1246</v>
      </c>
      <c r="D13" s="63">
        <f>'10-CWIP'!I25</f>
        <v>0</v>
      </c>
      <c r="E13" s="63">
        <f>'10-CWIP'!I26</f>
        <v>0</v>
      </c>
      <c r="F13" s="63">
        <f>'10-CWIP'!K245</f>
        <v>0</v>
      </c>
      <c r="G13" s="46" t="str">
        <f>"10-CWIP, Lines "&amp;'10-CWIP'!A25&amp;", "&amp;'10-CWIP'!A26&amp;", "&amp;'10-CWIP'!A245&amp;""</f>
        <v>10-CWIP, Lines 13, 14, 184</v>
      </c>
    </row>
    <row r="14" spans="1:9" ht="13">
      <c r="A14" s="2">
        <f t="shared" si="0"/>
        <v>6</v>
      </c>
      <c r="C14" s="93" t="s">
        <v>1247</v>
      </c>
      <c r="D14" s="63">
        <f>'10-CWIP'!D45</f>
        <v>0</v>
      </c>
      <c r="E14" s="63">
        <f>'10-CWIP'!D46</f>
        <v>0</v>
      </c>
      <c r="F14" s="63">
        <f>'10-CWIP'!K278</f>
        <v>0</v>
      </c>
      <c r="G14" s="46" t="str">
        <f>"10-CWIP, Lines "&amp;'10-CWIP'!A45&amp;", "&amp;'10-CWIP'!A46&amp;", "&amp;'10-CWIP'!A278&amp;""</f>
        <v>10-CWIP, Lines 27, 28, 210</v>
      </c>
    </row>
    <row r="15" spans="1:9" ht="13">
      <c r="A15" s="2">
        <f t="shared" si="0"/>
        <v>7</v>
      </c>
      <c r="C15" s="93" t="s">
        <v>1248</v>
      </c>
      <c r="D15" s="63">
        <f>'10-CWIP'!E45</f>
        <v>5327831.78</v>
      </c>
      <c r="E15" s="63">
        <f>'10-CWIP'!E46</f>
        <v>1882516.0330769231</v>
      </c>
      <c r="F15" s="63">
        <f>'10-CWIP'!K311</f>
        <v>-5327831.7800000021</v>
      </c>
      <c r="G15" s="46" t="str">
        <f>"10-CWIP, Lines "&amp;'10-CWIP'!A45&amp;", "&amp;'10-CWIP'!A46&amp;", "&amp;'10-CWIP'!A311&amp;""</f>
        <v>10-CWIP, Lines 27, 28, 236</v>
      </c>
    </row>
    <row r="16" spans="1:9" ht="13">
      <c r="A16" s="2">
        <f t="shared" si="0"/>
        <v>8</v>
      </c>
      <c r="C16" s="842" t="s">
        <v>2425</v>
      </c>
      <c r="D16" s="63">
        <f>'10-CWIP'!F45</f>
        <v>130044184.2</v>
      </c>
      <c r="E16" s="63">
        <f>'10-CWIP'!F46</f>
        <v>82731749.68923077</v>
      </c>
      <c r="F16" s="63">
        <f>'10-CWIP'!K344</f>
        <v>-127003605.75269237</v>
      </c>
      <c r="G16" s="46" t="str">
        <f>"10-CWIP, Lines "&amp;'10-CWIP'!A45&amp;", "&amp;'10-CWIP'!A46&amp;", "&amp;'10-CWIP'!A344&amp;""</f>
        <v>10-CWIP, Lines 27, 28, 262</v>
      </c>
    </row>
    <row r="17" spans="1:8" ht="13">
      <c r="A17" s="2">
        <f t="shared" si="0"/>
        <v>9</v>
      </c>
      <c r="C17" s="842" t="s">
        <v>2426</v>
      </c>
      <c r="D17" s="63">
        <f>'10-CWIP'!G45</f>
        <v>23818399.359999999</v>
      </c>
      <c r="E17" s="63">
        <f>'10-CWIP'!G46</f>
        <v>22821065.029999997</v>
      </c>
      <c r="F17" s="63">
        <f>'10-CWIP'!K377</f>
        <v>1577239.0467230794</v>
      </c>
      <c r="G17" s="46" t="str">
        <f>"10-CWIP, Lines "&amp;'10-CWIP'!A45&amp;", "&amp;'10-CWIP'!A46&amp;", "&amp;'10-CWIP'!A377&amp;""</f>
        <v>10-CWIP, Lines 27, 28, 288</v>
      </c>
    </row>
    <row r="18" spans="1:8" ht="13">
      <c r="A18" s="2">
        <f t="shared" si="0"/>
        <v>10</v>
      </c>
      <c r="C18" s="842" t="s">
        <v>2427</v>
      </c>
      <c r="D18" s="871">
        <f>'10-CWIP'!H45</f>
        <v>134608216.12</v>
      </c>
      <c r="E18" s="871">
        <f>'10-CWIP'!H46</f>
        <v>111791646.83615384</v>
      </c>
      <c r="F18" s="871">
        <f>'10-CWIP'!K410</f>
        <v>-91657226.751538485</v>
      </c>
      <c r="G18" s="46" t="str">
        <f>"10-CWIP, Lines "&amp;'10-CWIP'!A45&amp;", "&amp;'10-CWIP'!A46&amp;", "&amp;'10-CWIP'!A410&amp;""</f>
        <v>10-CWIP, Lines 27, 28, 314</v>
      </c>
    </row>
    <row r="19" spans="1:8" ht="13">
      <c r="A19" s="2">
        <f t="shared" si="0"/>
        <v>11</v>
      </c>
      <c r="C19" s="1441" t="s">
        <v>2807</v>
      </c>
      <c r="D19" s="508">
        <f>'10-CWIP'!I45</f>
        <v>23607954.079999998</v>
      </c>
      <c r="E19" s="508">
        <f>'10-CWIP'!I46</f>
        <v>5363187.307692308</v>
      </c>
      <c r="F19" s="1098">
        <f>'10-CWIP'!K443</f>
        <v>43070582.672003858</v>
      </c>
      <c r="G19" s="46" t="str">
        <f>"10-CWIP, Lines "&amp;'10-CWIP'!A45&amp;", "&amp;'10-CWIP'!A46&amp;", "&amp;'10-CWIP'!A443&amp;""</f>
        <v>10-CWIP, Lines 27, 28, 340</v>
      </c>
      <c r="H19" s="14"/>
    </row>
    <row r="20" spans="1:8" s="955" customFormat="1" ht="13">
      <c r="A20" s="549">
        <f t="shared" si="0"/>
        <v>12</v>
      </c>
      <c r="C20" s="396"/>
      <c r="D20" s="357">
        <f>'10-CWIP'!J45</f>
        <v>0</v>
      </c>
      <c r="E20" s="357" t="str">
        <f>'10-CWIP'!J46</f>
        <v>---</v>
      </c>
      <c r="F20" s="58">
        <f>'10-CWIP'!K476</f>
        <v>0</v>
      </c>
      <c r="G20" s="46" t="str">
        <f>"10-CWIP, Lines "&amp;'10-CWIP'!A45&amp;", "&amp;'10-CWIP'!A46&amp;", "&amp;'10-CWIP'!A476&amp;""</f>
        <v>10-CWIP, Lines 27, 28, 366</v>
      </c>
      <c r="H20" s="14"/>
    </row>
    <row r="21" spans="1:8" ht="13">
      <c r="A21" s="549">
        <f t="shared" si="0"/>
        <v>13</v>
      </c>
      <c r="C21" s="93" t="s">
        <v>197</v>
      </c>
      <c r="D21" s="63">
        <f>SUM(D9:D20)</f>
        <v>974174702.12</v>
      </c>
      <c r="E21" s="63">
        <f>SUM(E9:E20)</f>
        <v>792332585.2238462</v>
      </c>
      <c r="F21" s="63">
        <f>SUM(F9:F20)</f>
        <v>-820113818.9424268</v>
      </c>
      <c r="G21" s="46" t="str">
        <f>"Sum of Lines "&amp;A9&amp;" to "&amp;A20&amp;""</f>
        <v>Sum of Lines 1 to 12</v>
      </c>
      <c r="H21" s="14"/>
    </row>
    <row r="22" spans="1:8" ht="13">
      <c r="A22" s="2"/>
      <c r="C22" s="1"/>
    </row>
    <row r="23" spans="1:8" ht="14.5">
      <c r="A23" s="2"/>
      <c r="C23" s="1" t="s">
        <v>1243</v>
      </c>
      <c r="D23" s="237" t="s">
        <v>299</v>
      </c>
      <c r="E23" s="237" t="s">
        <v>229</v>
      </c>
      <c r="F23" s="13"/>
    </row>
    <row r="24" spans="1:8" ht="13">
      <c r="D24" s="3" t="s">
        <v>175</v>
      </c>
      <c r="E24" s="3" t="s">
        <v>175</v>
      </c>
      <c r="F24" s="3" t="s">
        <v>179</v>
      </c>
    </row>
    <row r="25" spans="1:8" ht="13">
      <c r="A25" s="2">
        <f>A21+1</f>
        <v>14</v>
      </c>
      <c r="C25" s="93" t="s">
        <v>1383</v>
      </c>
      <c r="D25" s="7">
        <f>D21</f>
        <v>974174702.12</v>
      </c>
      <c r="E25" s="7">
        <f>E21</f>
        <v>792332585.2238462</v>
      </c>
      <c r="F25" s="112" t="str">
        <f>"Line "&amp;A21&amp;""</f>
        <v>Line 13</v>
      </c>
      <c r="G25" s="14"/>
    </row>
    <row r="26" spans="1:8" ht="13">
      <c r="A26" s="2">
        <f>A25+1</f>
        <v>15</v>
      </c>
      <c r="C26" s="93" t="s">
        <v>1232</v>
      </c>
      <c r="D26" s="8">
        <f>'1-BaseTRR'!K93</f>
        <v>7.3079585284127238E-2</v>
      </c>
      <c r="E26" s="8">
        <f>'1-BaseTRR'!K93</f>
        <v>7.3079585284127238E-2</v>
      </c>
      <c r="F26" s="112" t="str">
        <f>"1-BaseTRR, Line "&amp;'1-BaseTRR'!A93&amp;""</f>
        <v>1-BaseTRR, Line 54</v>
      </c>
      <c r="G26" s="14"/>
    </row>
    <row r="27" spans="1:8" ht="13">
      <c r="A27" s="2">
        <f>A26+1</f>
        <v>16</v>
      </c>
      <c r="C27" s="37" t="s">
        <v>1384</v>
      </c>
      <c r="D27" s="7">
        <f>D25*D26</f>
        <v>71192283.225217789</v>
      </c>
      <c r="E27" s="7">
        <f>E25*E26</f>
        <v>57903336.735259078</v>
      </c>
      <c r="F27" s="112" t="str">
        <f>"Line "&amp;A25&amp;" * Line "&amp;A26&amp;""</f>
        <v>Line 14 * Line 15</v>
      </c>
      <c r="G27" s="14"/>
    </row>
    <row r="28" spans="1:8">
      <c r="F28" s="14"/>
    </row>
    <row r="29" spans="1:8" ht="13">
      <c r="C29" s="1" t="s">
        <v>86</v>
      </c>
      <c r="F29" s="14"/>
    </row>
    <row r="30" spans="1:8" ht="14.5">
      <c r="D30" s="237" t="s">
        <v>299</v>
      </c>
      <c r="E30" s="237" t="s">
        <v>229</v>
      </c>
      <c r="F30" s="14"/>
    </row>
    <row r="31" spans="1:8" ht="13">
      <c r="D31" s="3" t="s">
        <v>175</v>
      </c>
      <c r="E31" s="3" t="s">
        <v>175</v>
      </c>
      <c r="F31" s="122" t="s">
        <v>179</v>
      </c>
    </row>
    <row r="32" spans="1:8" ht="14.5">
      <c r="A32" s="237">
        <f>A27+1</f>
        <v>17</v>
      </c>
      <c r="C32" s="93" t="s">
        <v>1383</v>
      </c>
      <c r="D32" s="7">
        <f>D21</f>
        <v>974174702.12</v>
      </c>
      <c r="E32" s="7">
        <f>E21</f>
        <v>792332585.2238462</v>
      </c>
      <c r="F32" s="112" t="str">
        <f>"Line "&amp;A21&amp;""</f>
        <v>Line 13</v>
      </c>
      <c r="G32" s="14"/>
    </row>
    <row r="33" spans="1:7" ht="13">
      <c r="A33" s="2">
        <f t="shared" ref="A33:A39" si="1">A32+1</f>
        <v>18</v>
      </c>
      <c r="C33" s="356" t="s">
        <v>1385</v>
      </c>
      <c r="D33" s="8">
        <f>'1-BaseTRR'!K95</f>
        <v>5.2391182605339905E-2</v>
      </c>
      <c r="E33" s="8">
        <f>'1-BaseTRR'!K95</f>
        <v>5.2391182605339905E-2</v>
      </c>
      <c r="F33" s="112" t="str">
        <f>"1-BaseTRR, Line "&amp;'1-BaseTRR'!A95&amp;""</f>
        <v>1-BaseTRR, Line 55</v>
      </c>
      <c r="G33" s="14"/>
    </row>
    <row r="34" spans="1:7" ht="13">
      <c r="A34" s="2">
        <f t="shared" si="1"/>
        <v>19</v>
      </c>
      <c r="C34" s="356" t="s">
        <v>1040</v>
      </c>
      <c r="D34" s="8">
        <f>'1-BaseTRR'!K104</f>
        <v>0.27983599999999997</v>
      </c>
      <c r="E34" s="8">
        <f>'1-BaseTRR'!K104</f>
        <v>0.27983599999999997</v>
      </c>
      <c r="F34" s="112" t="str">
        <f>"1-BaseTRR, Line "&amp;'1-BaseTRR'!A104&amp;""</f>
        <v>1-BaseTRR, Line 59</v>
      </c>
      <c r="G34" s="14"/>
    </row>
    <row r="35" spans="1:7" ht="13">
      <c r="A35" s="2">
        <f t="shared" si="1"/>
        <v>20</v>
      </c>
      <c r="C35" s="356" t="s">
        <v>262</v>
      </c>
      <c r="D35" s="63">
        <f>((D25*D33)*(D34/(1-D34)))</f>
        <v>19832032.508295149</v>
      </c>
      <c r="E35" s="63">
        <f>((E25*E33)*(E34/(1-E34)))</f>
        <v>16130131.026134202</v>
      </c>
      <c r="F35" s="462" t="str">
        <f>"Formula on Line "&amp;A37&amp;""</f>
        <v>Formula on Line 22</v>
      </c>
      <c r="G35" s="14"/>
    </row>
    <row r="36" spans="1:7" ht="13">
      <c r="A36" s="2">
        <f t="shared" si="1"/>
        <v>21</v>
      </c>
      <c r="C36" s="14"/>
      <c r="D36" s="14"/>
      <c r="E36" s="14"/>
      <c r="F36" s="14"/>
      <c r="G36" s="14"/>
    </row>
    <row r="37" spans="1:7" ht="13">
      <c r="A37" s="2">
        <f t="shared" si="1"/>
        <v>22</v>
      </c>
      <c r="C37" s="46" t="str">
        <f>"Income Taxes = [(RB * ER) * (CTR/(1 – CTR)], or [(L"&amp;A25&amp;" * L"&amp;A33&amp;") * (L"&amp;A34&amp;" / (1 - L"&amp;A34&amp;")]"</f>
        <v>Income Taxes = [(RB * ER) * (CTR/(1 – CTR)], or [(L14 * L18) * (L19 / (1 - L19)]</v>
      </c>
      <c r="D37" s="14"/>
      <c r="E37" s="63"/>
      <c r="F37" s="15"/>
      <c r="G37" s="14"/>
    </row>
    <row r="38" spans="1:7" ht="13">
      <c r="A38" s="2">
        <f t="shared" si="1"/>
        <v>23</v>
      </c>
      <c r="C38" s="462" t="s">
        <v>1759</v>
      </c>
      <c r="D38" s="14"/>
      <c r="E38" s="63"/>
      <c r="F38" s="15"/>
      <c r="G38" s="14"/>
    </row>
    <row r="39" spans="1:7" ht="13">
      <c r="A39" s="2">
        <f t="shared" si="1"/>
        <v>24</v>
      </c>
      <c r="D39" s="13"/>
      <c r="E39" s="7"/>
      <c r="F39" s="12"/>
      <c r="G39" s="13"/>
    </row>
    <row r="40" spans="1:7" ht="13">
      <c r="C40" s="1" t="s">
        <v>1240</v>
      </c>
    </row>
    <row r="41" spans="1:7" ht="13">
      <c r="D41" s="3" t="s">
        <v>171</v>
      </c>
      <c r="E41" s="3" t="s">
        <v>179</v>
      </c>
    </row>
    <row r="42" spans="1:7" ht="13">
      <c r="A42" s="2">
        <f>A39+1</f>
        <v>25</v>
      </c>
      <c r="C42" s="356" t="s">
        <v>489</v>
      </c>
      <c r="D42" s="63">
        <f>'15-IncentiveAdder'!G17</f>
        <v>6595.7198638087975</v>
      </c>
      <c r="E42" s="112" t="str">
        <f>"15-IncentiveAdder, Line "&amp;'15-IncentiveAdder'!A17&amp;""</f>
        <v>15-IncentiveAdder, Line 3</v>
      </c>
      <c r="F42" s="14"/>
      <c r="G42" s="14"/>
    </row>
    <row r="43" spans="1:7">
      <c r="C43" s="14"/>
      <c r="D43" s="14"/>
      <c r="E43" s="14"/>
      <c r="F43" s="14"/>
      <c r="G43" s="14"/>
    </row>
    <row r="44" spans="1:7" ht="13">
      <c r="C44" s="903" t="s">
        <v>336</v>
      </c>
      <c r="D44" s="14"/>
      <c r="E44" s="14"/>
      <c r="F44" s="14"/>
      <c r="G44" s="14"/>
    </row>
    <row r="45" spans="1:7" ht="14.5">
      <c r="C45" s="14"/>
      <c r="D45" s="904" t="s">
        <v>299</v>
      </c>
      <c r="E45" s="904" t="s">
        <v>229</v>
      </c>
      <c r="F45" s="14"/>
      <c r="G45" s="14"/>
    </row>
    <row r="46" spans="1:7" ht="13">
      <c r="C46" s="14"/>
      <c r="D46" s="122" t="s">
        <v>175</v>
      </c>
      <c r="E46" s="122" t="s">
        <v>175</v>
      </c>
      <c r="F46" s="14"/>
      <c r="G46" s="14"/>
    </row>
    <row r="47" spans="1:7" ht="13">
      <c r="A47" s="2">
        <f>A42+1</f>
        <v>26</v>
      </c>
      <c r="C47" s="356" t="s">
        <v>1386</v>
      </c>
      <c r="D47" s="63">
        <f>D9</f>
        <v>160227</v>
      </c>
      <c r="E47" s="63">
        <f>E9</f>
        <v>158247.98461538463</v>
      </c>
      <c r="F47" s="112" t="str">
        <f>"Line "&amp;A9&amp;""</f>
        <v>Line 1</v>
      </c>
      <c r="G47" s="14"/>
    </row>
    <row r="48" spans="1:7" ht="13">
      <c r="A48" s="2">
        <f>A47+1</f>
        <v>27</v>
      </c>
      <c r="C48" s="356" t="s">
        <v>1234</v>
      </c>
      <c r="D48" s="78">
        <f>'15-IncentiveAdder'!E26</f>
        <v>1.2500000000000001E-2</v>
      </c>
      <c r="E48" s="78">
        <f>'15-IncentiveAdder'!E26</f>
        <v>1.2500000000000001E-2</v>
      </c>
      <c r="F48" s="112" t="str">
        <f>"15-IncentiveAdder, Line "&amp;'15-IncentiveAdder'!A26&amp;""</f>
        <v>15-IncentiveAdder, Line 5</v>
      </c>
      <c r="G48" s="14"/>
    </row>
    <row r="49" spans="1:7" ht="13">
      <c r="A49" s="2">
        <f>A48+1</f>
        <v>28</v>
      </c>
      <c r="C49" s="356" t="s">
        <v>1387</v>
      </c>
      <c r="D49" s="63">
        <f>(D47/1000000)*($D$42*(D48/0.01))</f>
        <v>1321.0155082731155</v>
      </c>
      <c r="E49" s="63">
        <f>(E47/1000000)*($D$42*(E48/0.01))</f>
        <v>1304.6992194192519</v>
      </c>
      <c r="F49" s="462" t="str">
        <f>"Formula on Line "&amp;A58&amp;""</f>
        <v>Formula on Line 33</v>
      </c>
      <c r="G49" s="14"/>
    </row>
    <row r="50" spans="1:7">
      <c r="C50" s="368"/>
      <c r="D50" s="14"/>
      <c r="E50" s="14"/>
      <c r="F50" s="14"/>
      <c r="G50" s="14"/>
    </row>
    <row r="51" spans="1:7" ht="13">
      <c r="C51" s="903" t="s">
        <v>1241</v>
      </c>
      <c r="D51" s="14"/>
      <c r="E51" s="122"/>
      <c r="F51" s="122"/>
      <c r="G51" s="14"/>
    </row>
    <row r="52" spans="1:7" ht="14.5">
      <c r="C52" s="14"/>
      <c r="D52" s="904" t="s">
        <v>299</v>
      </c>
      <c r="E52" s="904" t="s">
        <v>229</v>
      </c>
      <c r="F52" s="14"/>
      <c r="G52" s="14"/>
    </row>
    <row r="53" spans="1:7" ht="13">
      <c r="C53" s="14"/>
      <c r="D53" s="122" t="s">
        <v>175</v>
      </c>
      <c r="E53" s="122" t="s">
        <v>175</v>
      </c>
      <c r="F53" s="14"/>
      <c r="G53" s="14"/>
    </row>
    <row r="54" spans="1:7" ht="13">
      <c r="A54" s="2">
        <f>A49+1</f>
        <v>29</v>
      </c>
      <c r="C54" s="842" t="s">
        <v>1408</v>
      </c>
      <c r="D54" s="63">
        <f>D10</f>
        <v>0</v>
      </c>
      <c r="E54" s="63">
        <f>E10</f>
        <v>0</v>
      </c>
      <c r="F54" s="112" t="str">
        <f>"Line "&amp;A10&amp;""</f>
        <v>Line 2</v>
      </c>
      <c r="G54" s="14"/>
    </row>
    <row r="55" spans="1:7" ht="13">
      <c r="A55" s="2">
        <f>A54+1</f>
        <v>30</v>
      </c>
      <c r="C55" s="356" t="s">
        <v>1234</v>
      </c>
      <c r="D55" s="78">
        <f>'15-IncentiveAdder'!E27</f>
        <v>0.01</v>
      </c>
      <c r="E55" s="78">
        <f>'15-IncentiveAdder'!E27</f>
        <v>0.01</v>
      </c>
      <c r="F55" s="112" t="str">
        <f>"15-IncentiveAdder, Line "&amp;'15-IncentiveAdder'!A27&amp;""</f>
        <v>15-IncentiveAdder, Line 6</v>
      </c>
      <c r="G55" s="14"/>
    </row>
    <row r="56" spans="1:7" ht="13">
      <c r="A56" s="2">
        <f>A55+1</f>
        <v>31</v>
      </c>
      <c r="C56" s="356" t="s">
        <v>1387</v>
      </c>
      <c r="D56" s="63">
        <f>(D54/1000000)*($D$42*(D55/0.01))</f>
        <v>0</v>
      </c>
      <c r="E56" s="63">
        <f>(E54/1000000)*($D$42*(E55/0.01))</f>
        <v>0</v>
      </c>
      <c r="F56" s="462" t="str">
        <f>"Formula on Line "&amp;A58&amp;""</f>
        <v>Formula on Line 33</v>
      </c>
      <c r="G56" s="14"/>
    </row>
    <row r="57" spans="1:7" ht="13">
      <c r="A57" s="2">
        <f>A56+1</f>
        <v>32</v>
      </c>
      <c r="C57" s="14"/>
      <c r="D57" s="108"/>
      <c r="E57" s="63"/>
      <c r="F57" s="46"/>
      <c r="G57" s="14"/>
    </row>
    <row r="58" spans="1:7" ht="13">
      <c r="A58" s="2">
        <f>A57+1</f>
        <v>33</v>
      </c>
      <c r="C58" s="841" t="s">
        <v>1835</v>
      </c>
      <c r="D58" s="63"/>
      <c r="E58" s="46"/>
      <c r="F58" s="14"/>
      <c r="G58" s="14"/>
    </row>
    <row r="60" spans="1:7" ht="13">
      <c r="C60" s="1" t="s">
        <v>1494</v>
      </c>
    </row>
    <row r="61" spans="1:7" ht="13">
      <c r="C61" s="1"/>
    </row>
    <row r="62" spans="1:7" ht="14.5">
      <c r="C62" s="1"/>
      <c r="E62" s="237" t="s">
        <v>279</v>
      </c>
    </row>
    <row r="63" spans="1:7" ht="14.5">
      <c r="C63" s="1"/>
      <c r="D63" s="237" t="s">
        <v>1389</v>
      </c>
      <c r="E63" s="237" t="s">
        <v>955</v>
      </c>
    </row>
    <row r="64" spans="1:7" ht="13">
      <c r="D64" s="3" t="s">
        <v>175</v>
      </c>
      <c r="E64" s="3" t="s">
        <v>175</v>
      </c>
      <c r="F64" s="3" t="s">
        <v>179</v>
      </c>
    </row>
    <row r="65" spans="1:10" ht="13">
      <c r="A65" s="2">
        <f>A58+1</f>
        <v>34</v>
      </c>
      <c r="C65" s="93" t="s">
        <v>1233</v>
      </c>
      <c r="D65" s="7">
        <f>D27</f>
        <v>71192283.225217789</v>
      </c>
      <c r="E65" s="7">
        <f>E27</f>
        <v>57903336.735259078</v>
      </c>
      <c r="F65" s="112" t="str">
        <f>"Line "&amp;A27&amp;""</f>
        <v>Line 16</v>
      </c>
      <c r="G65" s="14"/>
    </row>
    <row r="66" spans="1:10" ht="13">
      <c r="A66" s="2">
        <f>A65+1</f>
        <v>35</v>
      </c>
      <c r="C66" s="93" t="s">
        <v>262</v>
      </c>
      <c r="D66" s="7">
        <f>D35</f>
        <v>19832032.508295149</v>
      </c>
      <c r="E66" s="7">
        <f>E35</f>
        <v>16130131.026134202</v>
      </c>
      <c r="F66" s="112" t="str">
        <f>"Line "&amp;A35&amp;""</f>
        <v>Line 20</v>
      </c>
      <c r="G66" s="14"/>
    </row>
    <row r="67" spans="1:10" ht="13">
      <c r="A67" s="2">
        <f>A66+1</f>
        <v>36</v>
      </c>
      <c r="C67" s="93" t="s">
        <v>1235</v>
      </c>
      <c r="D67" s="7">
        <f>D49</f>
        <v>1321.0155082731155</v>
      </c>
      <c r="E67" s="7">
        <f>E49</f>
        <v>1304.6992194192519</v>
      </c>
      <c r="F67" s="112" t="str">
        <f>"Line "&amp;A49&amp;""</f>
        <v>Line 28</v>
      </c>
      <c r="G67" s="14"/>
    </row>
    <row r="68" spans="1:10" ht="13">
      <c r="A68" s="2">
        <f>A67+1</f>
        <v>37</v>
      </c>
      <c r="C68" s="93" t="s">
        <v>1236</v>
      </c>
      <c r="D68" s="100">
        <f>D56</f>
        <v>0</v>
      </c>
      <c r="E68" s="229">
        <f>E56</f>
        <v>0</v>
      </c>
      <c r="F68" s="112" t="str">
        <f>"Line "&amp;A56&amp;""</f>
        <v>Line 31</v>
      </c>
      <c r="G68" s="14"/>
    </row>
    <row r="69" spans="1:10" ht="13">
      <c r="A69" s="456">
        <f t="shared" ref="A69:A70" si="2">A68+1</f>
        <v>38</v>
      </c>
      <c r="C69" s="93" t="s">
        <v>1435</v>
      </c>
      <c r="D69" s="91">
        <f>SUM(D65:D68)*('28-FFU'!D22+'28-FFU'!E22)</f>
        <v>2066939.8114728294</v>
      </c>
      <c r="E69" s="91">
        <f>SUM(E65:E68)*('28-FFU'!D22)</f>
        <v>684679.34067985357</v>
      </c>
      <c r="F69" s="46" t="s">
        <v>359</v>
      </c>
      <c r="G69" s="14"/>
    </row>
    <row r="70" spans="1:10" ht="13">
      <c r="A70" s="456">
        <f t="shared" si="2"/>
        <v>39</v>
      </c>
      <c r="C70" s="93" t="s">
        <v>4</v>
      </c>
      <c r="D70" s="7">
        <f>SUM(D65:D69)</f>
        <v>93092576.56049405</v>
      </c>
      <c r="E70" s="7">
        <f>SUM(E65:E69)</f>
        <v>74719451.801292554</v>
      </c>
      <c r="F70" s="46" t="str">
        <f>"Sum Lines "&amp;A65&amp;" to "&amp;A69&amp;""</f>
        <v>Sum Lines 34 to 38</v>
      </c>
      <c r="G70" s="14"/>
    </row>
    <row r="71" spans="1:10" ht="13">
      <c r="A71" s="2"/>
      <c r="D71" s="93"/>
      <c r="E71" s="7"/>
      <c r="F71" s="13"/>
    </row>
    <row r="72" spans="1:10" ht="12.75" customHeight="1">
      <c r="A72" s="2"/>
      <c r="C72" s="363" t="s">
        <v>1495</v>
      </c>
      <c r="D72" s="93"/>
      <c r="E72" s="7"/>
      <c r="F72" s="13"/>
    </row>
    <row r="73" spans="1:10" ht="13">
      <c r="A73" s="2"/>
      <c r="D73" s="93"/>
      <c r="E73" s="7"/>
      <c r="F73" s="13"/>
    </row>
    <row r="74" spans="1:10" ht="12.75" customHeight="1">
      <c r="A74" s="2"/>
      <c r="C74" s="363" t="s">
        <v>1390</v>
      </c>
      <c r="D74" s="93"/>
      <c r="E74" s="7"/>
      <c r="F74" s="13"/>
    </row>
    <row r="75" spans="1:10" ht="14.5">
      <c r="A75" s="2"/>
      <c r="C75" s="363"/>
      <c r="D75" s="84" t="s">
        <v>358</v>
      </c>
      <c r="E75" s="84" t="s">
        <v>342</v>
      </c>
      <c r="F75" s="84" t="s">
        <v>343</v>
      </c>
      <c r="G75" s="84" t="s">
        <v>344</v>
      </c>
      <c r="H75" s="84" t="s">
        <v>345</v>
      </c>
    </row>
    <row r="76" spans="1:10" ht="14.5">
      <c r="A76" s="2"/>
      <c r="C76" s="363"/>
      <c r="D76" s="2" t="s">
        <v>1391</v>
      </c>
      <c r="E76" s="452" t="s">
        <v>1392</v>
      </c>
      <c r="F76" s="2"/>
      <c r="H76" s="95" t="s">
        <v>1441</v>
      </c>
    </row>
    <row r="77" spans="1:10" ht="14.5">
      <c r="A77" s="2"/>
      <c r="C77" s="3" t="s">
        <v>224</v>
      </c>
      <c r="D77" s="3" t="s">
        <v>1393</v>
      </c>
      <c r="E77" s="388" t="s">
        <v>1394</v>
      </c>
      <c r="F77" s="3" t="s">
        <v>9</v>
      </c>
      <c r="G77" s="3" t="s">
        <v>1398</v>
      </c>
      <c r="H77" s="3" t="s">
        <v>196</v>
      </c>
      <c r="I77" s="3" t="s">
        <v>179</v>
      </c>
    </row>
    <row r="78" spans="1:10" ht="13">
      <c r="A78" s="2">
        <f>A70+1</f>
        <v>40</v>
      </c>
      <c r="C78" s="93" t="s">
        <v>1244</v>
      </c>
      <c r="D78" s="1093">
        <f t="shared" ref="D78:D88" si="3">$D$27*(D9/$D$21)</f>
        <v>11709.322711319855</v>
      </c>
      <c r="E78" s="1093">
        <f t="shared" ref="E78:E87" si="4">$D$35*(D9/$D$21)</f>
        <v>3261.8657267443423</v>
      </c>
      <c r="F78" s="1093">
        <f>D49</f>
        <v>1321.0155082731155</v>
      </c>
      <c r="G78" s="63">
        <f>(D78+E78+F78)*('28-FFU'!$D$22+'28-FFU'!$E$22)</f>
        <v>369.95077602334305</v>
      </c>
      <c r="H78" s="458">
        <f>SUM(D78:G78)</f>
        <v>16662.154722360658</v>
      </c>
      <c r="I78" s="46" t="s">
        <v>360</v>
      </c>
      <c r="J78" s="14"/>
    </row>
    <row r="79" spans="1:10" ht="13">
      <c r="A79" s="2">
        <f t="shared" ref="A79:A90" si="5">A78+1</f>
        <v>41</v>
      </c>
      <c r="C79" s="93" t="s">
        <v>1245</v>
      </c>
      <c r="D79" s="1093">
        <f t="shared" si="3"/>
        <v>0</v>
      </c>
      <c r="E79" s="1093">
        <f t="shared" si="4"/>
        <v>0</v>
      </c>
      <c r="F79" s="1093">
        <f>D56</f>
        <v>0</v>
      </c>
      <c r="G79" s="63">
        <f>(D79+E79+F79)*('28-FFU'!$D$22+'28-FFU'!$E$22)</f>
        <v>0</v>
      </c>
      <c r="H79" s="458">
        <f t="shared" ref="H79:H87" si="6">SUM(D79:G79)</f>
        <v>0</v>
      </c>
      <c r="I79" s="46" t="s">
        <v>360</v>
      </c>
      <c r="J79" s="14"/>
    </row>
    <row r="80" spans="1:10" ht="13">
      <c r="A80" s="2">
        <f t="shared" si="5"/>
        <v>42</v>
      </c>
      <c r="C80" s="461" t="s">
        <v>1249</v>
      </c>
      <c r="D80" s="1093">
        <f t="shared" si="3"/>
        <v>421857.2350159834</v>
      </c>
      <c r="E80" s="1093">
        <f t="shared" si="4"/>
        <v>117516.75911600735</v>
      </c>
      <c r="F80" s="1093">
        <v>0</v>
      </c>
      <c r="G80" s="63">
        <f>(D80+E80+F80)*('28-FFU'!$D$22+'28-FFU'!$E$22)</f>
        <v>12247.687811494619</v>
      </c>
      <c r="H80" s="458">
        <f t="shared" si="6"/>
        <v>551621.68194348528</v>
      </c>
      <c r="I80" s="46" t="s">
        <v>360</v>
      </c>
      <c r="J80" s="14"/>
    </row>
    <row r="81" spans="1:10" ht="13">
      <c r="A81" s="2">
        <f t="shared" si="5"/>
        <v>43</v>
      </c>
      <c r="C81" s="461" t="s">
        <v>1250</v>
      </c>
      <c r="D81" s="1093">
        <f t="shared" si="3"/>
        <v>47562775.029776424</v>
      </c>
      <c r="E81" s="1093">
        <f t="shared" si="4"/>
        <v>13249561.017606614</v>
      </c>
      <c r="F81" s="1093">
        <v>0</v>
      </c>
      <c r="G81" s="63">
        <f>(D81+E81+F81)*('28-FFU'!$D$22+'28-FFU'!$E$22)</f>
        <v>1380879.5290448966</v>
      </c>
      <c r="H81" s="458">
        <f t="shared" si="6"/>
        <v>62193215.576427937</v>
      </c>
      <c r="I81" s="46" t="s">
        <v>360</v>
      </c>
      <c r="J81" s="14"/>
    </row>
    <row r="82" spans="1:10" ht="13">
      <c r="A82" s="2">
        <f t="shared" si="5"/>
        <v>44</v>
      </c>
      <c r="C82" s="93" t="s">
        <v>1246</v>
      </c>
      <c r="D82" s="1093">
        <f t="shared" si="3"/>
        <v>0</v>
      </c>
      <c r="E82" s="1093">
        <f t="shared" si="4"/>
        <v>0</v>
      </c>
      <c r="F82" s="1093">
        <v>0</v>
      </c>
      <c r="G82" s="63">
        <f>(D82+E82+F82)*('28-FFU'!$D$22+'28-FFU'!$E$22)</f>
        <v>0</v>
      </c>
      <c r="H82" s="458">
        <f t="shared" si="6"/>
        <v>0</v>
      </c>
      <c r="I82" s="46" t="s">
        <v>360</v>
      </c>
      <c r="J82" s="14"/>
    </row>
    <row r="83" spans="1:10" ht="13">
      <c r="A83" s="2">
        <f t="shared" si="5"/>
        <v>45</v>
      </c>
      <c r="C83" s="93" t="s">
        <v>1247</v>
      </c>
      <c r="D83" s="1093">
        <f t="shared" si="3"/>
        <v>0</v>
      </c>
      <c r="E83" s="1093">
        <f t="shared" si="4"/>
        <v>0</v>
      </c>
      <c r="F83" s="1093">
        <v>0</v>
      </c>
      <c r="G83" s="63">
        <f>(D83+E83+F83)*('28-FFU'!$D$22+'28-FFU'!$E$22)</f>
        <v>0</v>
      </c>
      <c r="H83" s="458">
        <f t="shared" si="6"/>
        <v>0</v>
      </c>
      <c r="I83" s="46" t="s">
        <v>360</v>
      </c>
      <c r="J83" s="14"/>
    </row>
    <row r="84" spans="1:10" ht="13">
      <c r="A84" s="2">
        <f t="shared" si="5"/>
        <v>46</v>
      </c>
      <c r="C84" s="93" t="s">
        <v>1248</v>
      </c>
      <c r="D84" s="1093">
        <f t="shared" si="3"/>
        <v>389355.7369459935</v>
      </c>
      <c r="E84" s="1093">
        <f t="shared" si="4"/>
        <v>108462.81763398992</v>
      </c>
      <c r="F84" s="1093">
        <v>0</v>
      </c>
      <c r="G84" s="63">
        <f>(D84+E84+F84)*('28-FFU'!$D$22+'28-FFU'!$E$22)</f>
        <v>11304.079005657619</v>
      </c>
      <c r="H84" s="458">
        <f t="shared" si="6"/>
        <v>509122.63358564104</v>
      </c>
      <c r="I84" s="46" t="s">
        <v>360</v>
      </c>
      <c r="J84" s="14"/>
    </row>
    <row r="85" spans="1:10" ht="13">
      <c r="A85" s="2">
        <f t="shared" si="5"/>
        <v>47</v>
      </c>
      <c r="C85" s="842" t="s">
        <v>2425</v>
      </c>
      <c r="D85" s="1093">
        <f t="shared" si="3"/>
        <v>9503575.0499486513</v>
      </c>
      <c r="E85" s="1093">
        <f t="shared" si="4"/>
        <v>2647410.6574073541</v>
      </c>
      <c r="F85" s="1093">
        <v>0</v>
      </c>
      <c r="G85" s="63">
        <f>(D85+E85+F85)*('28-FFU'!$D$22+'28-FFU'!$E$22)</f>
        <v>275915.19273213466</v>
      </c>
      <c r="H85" s="458">
        <f t="shared" si="6"/>
        <v>12426900.900088141</v>
      </c>
      <c r="I85" s="46" t="s">
        <v>360</v>
      </c>
      <c r="J85" s="14"/>
    </row>
    <row r="86" spans="1:10" ht="13">
      <c r="A86" s="2">
        <f t="shared" si="5"/>
        <v>48</v>
      </c>
      <c r="C86" s="842" t="s">
        <v>2426</v>
      </c>
      <c r="D86" s="1093">
        <f t="shared" si="3"/>
        <v>1740638.7473605215</v>
      </c>
      <c r="E86" s="1093">
        <f t="shared" si="4"/>
        <v>484889.69111506408</v>
      </c>
      <c r="F86" s="1093">
        <v>0</v>
      </c>
      <c r="G86" s="63">
        <f>(D86+E86+F86)*('28-FFU'!$D$22+'28-FFU'!$E$22)</f>
        <v>50535.57981399796</v>
      </c>
      <c r="H86" s="458">
        <f t="shared" si="6"/>
        <v>2276064.0182895837</v>
      </c>
      <c r="I86" s="46" t="s">
        <v>360</v>
      </c>
      <c r="J86" s="14"/>
    </row>
    <row r="87" spans="1:10" ht="13">
      <c r="A87" s="2">
        <f t="shared" si="5"/>
        <v>49</v>
      </c>
      <c r="C87" s="842" t="s">
        <v>2427</v>
      </c>
      <c r="D87" s="1093">
        <f t="shared" si="3"/>
        <v>9837112.6098857708</v>
      </c>
      <c r="E87" s="1093">
        <f t="shared" si="4"/>
        <v>2740324.2069065967</v>
      </c>
      <c r="F87" s="1093">
        <v>0</v>
      </c>
      <c r="G87" s="63">
        <f>(D87+E87+F87)*('28-FFU'!$D$22+'28-FFU'!$E$22)</f>
        <v>285598.71494875074</v>
      </c>
      <c r="H87" s="458">
        <f t="shared" si="6"/>
        <v>12863035.531741118</v>
      </c>
      <c r="I87" s="46" t="s">
        <v>360</v>
      </c>
      <c r="J87" s="14"/>
    </row>
    <row r="88" spans="1:10" s="955" customFormat="1" ht="13">
      <c r="A88" s="109">
        <f t="shared" si="5"/>
        <v>50</v>
      </c>
      <c r="B88" s="14"/>
      <c r="C88" s="1441" t="s">
        <v>2807</v>
      </c>
      <c r="D88" s="1093">
        <f t="shared" si="3"/>
        <v>1725259.4935731196</v>
      </c>
      <c r="E88" s="1093">
        <f t="shared" ref="E88" si="7">$D$35*(D19/$D$21)</f>
        <v>480605.49278277851</v>
      </c>
      <c r="F88" s="1093">
        <v>0</v>
      </c>
      <c r="G88" s="63">
        <f>(D88+E88+F88)*('28-FFU'!$D$22+'28-FFU'!$E$22)</f>
        <v>50089.077339873722</v>
      </c>
      <c r="H88" s="458">
        <f t="shared" ref="H88" si="8">SUM(D88:G88)</f>
        <v>2255954.0636957716</v>
      </c>
      <c r="I88" s="462" t="s">
        <v>360</v>
      </c>
      <c r="J88" s="14"/>
    </row>
    <row r="89" spans="1:10" ht="13">
      <c r="A89" s="549">
        <f t="shared" si="5"/>
        <v>51</v>
      </c>
      <c r="C89" s="396"/>
      <c r="D89" s="1152" t="s">
        <v>76</v>
      </c>
      <c r="E89" s="1152" t="s">
        <v>76</v>
      </c>
      <c r="F89" s="1152" t="s">
        <v>76</v>
      </c>
      <c r="G89" s="1152" t="s">
        <v>76</v>
      </c>
      <c r="H89" s="1152" t="s">
        <v>76</v>
      </c>
      <c r="I89" s="46" t="s">
        <v>360</v>
      </c>
      <c r="J89" s="14"/>
    </row>
    <row r="90" spans="1:10" ht="13">
      <c r="A90" s="549">
        <f t="shared" si="5"/>
        <v>52</v>
      </c>
      <c r="C90" s="93" t="s">
        <v>197</v>
      </c>
      <c r="D90" s="104">
        <f>SUM(D78:D89)</f>
        <v>71192283.225217775</v>
      </c>
      <c r="E90" s="104">
        <f>SUM(E78:E89)</f>
        <v>19832032.508295152</v>
      </c>
      <c r="F90" s="104">
        <f>SUM(F78:F89)</f>
        <v>1321.0155082731155</v>
      </c>
      <c r="G90" s="104">
        <f>SUM(G78:G89)</f>
        <v>2066939.8114728292</v>
      </c>
      <c r="H90" s="104">
        <f>SUM(H78:H89)</f>
        <v>93092576.560494035</v>
      </c>
      <c r="I90" s="46" t="str">
        <f>"Sum L "&amp;A78&amp;" to L "&amp;A89&amp;""</f>
        <v>Sum L 40 to L 51</v>
      </c>
      <c r="J90" s="14"/>
    </row>
    <row r="91" spans="1:10" ht="13">
      <c r="A91" s="2"/>
      <c r="C91" s="93"/>
      <c r="D91" s="93"/>
      <c r="E91" s="7"/>
      <c r="F91" s="13"/>
    </row>
    <row r="92" spans="1:10" ht="14.5">
      <c r="A92" s="2"/>
      <c r="C92" s="363" t="s">
        <v>1496</v>
      </c>
      <c r="D92" s="93"/>
      <c r="E92" s="7"/>
      <c r="F92" s="13"/>
    </row>
    <row r="93" spans="1:10" ht="14.5">
      <c r="A93" s="2"/>
      <c r="C93" s="363"/>
      <c r="D93" s="84" t="s">
        <v>358</v>
      </c>
      <c r="E93" s="84" t="s">
        <v>342</v>
      </c>
      <c r="F93" s="84" t="s">
        <v>343</v>
      </c>
      <c r="G93" s="84" t="s">
        <v>344</v>
      </c>
      <c r="H93" s="84" t="s">
        <v>345</v>
      </c>
    </row>
    <row r="94" spans="1:10" ht="14.5">
      <c r="A94" s="2"/>
      <c r="C94" s="363"/>
      <c r="D94" s="109" t="s">
        <v>1391</v>
      </c>
      <c r="E94" s="1150" t="s">
        <v>1392</v>
      </c>
      <c r="F94" s="109"/>
      <c r="G94" s="14"/>
      <c r="H94" s="355" t="s">
        <v>1441</v>
      </c>
      <c r="I94" s="14"/>
      <c r="J94" s="14"/>
    </row>
    <row r="95" spans="1:10" ht="14.5">
      <c r="A95" s="2"/>
      <c r="C95" s="3" t="s">
        <v>224</v>
      </c>
      <c r="D95" s="122" t="s">
        <v>1393</v>
      </c>
      <c r="E95" s="1151" t="s">
        <v>1394</v>
      </c>
      <c r="F95" s="122" t="s">
        <v>9</v>
      </c>
      <c r="G95" s="122" t="s">
        <v>1398</v>
      </c>
      <c r="H95" s="122" t="s">
        <v>196</v>
      </c>
      <c r="I95" s="122" t="s">
        <v>179</v>
      </c>
      <c r="J95" s="14"/>
    </row>
    <row r="96" spans="1:10" ht="13">
      <c r="A96" s="2">
        <f>A90+1</f>
        <v>53</v>
      </c>
      <c r="C96" s="93" t="s">
        <v>1244</v>
      </c>
      <c r="D96" s="104">
        <f t="shared" ref="D96:D104" si="9">$E$27*(E9/$E$21)</f>
        <v>11564.697087741255</v>
      </c>
      <c r="E96" s="104">
        <f t="shared" ref="E96:E106" si="10">$E$35*(E9/$E$21)</f>
        <v>3221.5773705011584</v>
      </c>
      <c r="F96" s="1094">
        <f>E49</f>
        <v>1304.6992194192519</v>
      </c>
      <c r="G96" s="63">
        <f>(D96+E96+F96)*('28-FFU'!$D$22+'28-FFU'!$E$22)</f>
        <v>365.38139460010854</v>
      </c>
      <c r="H96" s="871">
        <f>SUM(D96:G96)</f>
        <v>16456.355072261773</v>
      </c>
      <c r="I96" s="46" t="s">
        <v>1151</v>
      </c>
      <c r="J96" s="14"/>
    </row>
    <row r="97" spans="1:10" ht="13">
      <c r="A97" s="2">
        <f t="shared" ref="A97:A108" si="11">A96+1</f>
        <v>54</v>
      </c>
      <c r="C97" s="93" t="s">
        <v>1245</v>
      </c>
      <c r="D97" s="104">
        <f t="shared" si="9"/>
        <v>0</v>
      </c>
      <c r="E97" s="104">
        <f t="shared" si="10"/>
        <v>0</v>
      </c>
      <c r="F97" s="1094">
        <f>E56</f>
        <v>0</v>
      </c>
      <c r="G97" s="63">
        <f>(D97+E97+F97)*('28-FFU'!$D$22+'28-FFU'!$E$22)</f>
        <v>0</v>
      </c>
      <c r="H97" s="871">
        <f t="shared" ref="H97:H104" si="12">SUM(D97:G97)</f>
        <v>0</v>
      </c>
      <c r="I97" s="46" t="s">
        <v>1151</v>
      </c>
      <c r="J97" s="14"/>
    </row>
    <row r="98" spans="1:10" ht="13">
      <c r="A98" s="2">
        <f t="shared" si="11"/>
        <v>55</v>
      </c>
      <c r="C98" s="461" t="s">
        <v>1249</v>
      </c>
      <c r="D98" s="104">
        <f t="shared" si="9"/>
        <v>411765.61729501077</v>
      </c>
      <c r="E98" s="104">
        <f t="shared" si="10"/>
        <v>114705.53742684648</v>
      </c>
      <c r="F98" s="1094">
        <v>0</v>
      </c>
      <c r="G98" s="63">
        <f>(D98+E98+F98)*('28-FFU'!$D$22+'28-FFU'!$E$22)</f>
        <v>11954.700105938886</v>
      </c>
      <c r="H98" s="871">
        <f t="shared" si="12"/>
        <v>538425.85482779611</v>
      </c>
      <c r="I98" s="46" t="s">
        <v>1151</v>
      </c>
      <c r="J98" s="14"/>
    </row>
    <row r="99" spans="1:10" ht="13">
      <c r="A99" s="2">
        <f t="shared" si="11"/>
        <v>56</v>
      </c>
      <c r="C99" s="461" t="s">
        <v>1250</v>
      </c>
      <c r="D99" s="104">
        <f t="shared" si="9"/>
        <v>41067050.311371654</v>
      </c>
      <c r="E99" s="104">
        <f t="shared" si="10"/>
        <v>11440047.149750952</v>
      </c>
      <c r="F99" s="1094">
        <v>0</v>
      </c>
      <c r="G99" s="63">
        <f>(D99+E99+F99)*('28-FFU'!$D$22+'28-FFU'!$E$22)</f>
        <v>1192290.5898095267</v>
      </c>
      <c r="H99" s="871">
        <f t="shared" si="12"/>
        <v>53699388.050932132</v>
      </c>
      <c r="I99" s="46" t="s">
        <v>1151</v>
      </c>
      <c r="J99" s="14"/>
    </row>
    <row r="100" spans="1:10" ht="13">
      <c r="A100" s="2">
        <f t="shared" si="11"/>
        <v>57</v>
      </c>
      <c r="C100" s="93" t="s">
        <v>1246</v>
      </c>
      <c r="D100" s="104">
        <f t="shared" si="9"/>
        <v>0</v>
      </c>
      <c r="E100" s="104">
        <f t="shared" si="10"/>
        <v>0</v>
      </c>
      <c r="F100" s="1094">
        <v>0</v>
      </c>
      <c r="G100" s="63">
        <f>(D100+E100+F100)*('28-FFU'!$D$22+'28-FFU'!$E$22)</f>
        <v>0</v>
      </c>
      <c r="H100" s="871">
        <f t="shared" si="12"/>
        <v>0</v>
      </c>
      <c r="I100" s="46" t="s">
        <v>1151</v>
      </c>
      <c r="J100" s="14"/>
    </row>
    <row r="101" spans="1:10" ht="13">
      <c r="A101" s="2">
        <f t="shared" si="11"/>
        <v>58</v>
      </c>
      <c r="C101" s="93" t="s">
        <v>1247</v>
      </c>
      <c r="D101" s="104">
        <f t="shared" si="9"/>
        <v>0</v>
      </c>
      <c r="E101" s="104">
        <f t="shared" si="10"/>
        <v>0</v>
      </c>
      <c r="F101" s="1094">
        <v>0</v>
      </c>
      <c r="G101" s="63">
        <f>(D101+E101+F101)*('28-FFU'!$D$22+'28-FFU'!$E$22)</f>
        <v>0</v>
      </c>
      <c r="H101" s="871">
        <f t="shared" si="12"/>
        <v>0</v>
      </c>
      <c r="I101" s="46" t="s">
        <v>1151</v>
      </c>
      <c r="J101" s="14"/>
    </row>
    <row r="102" spans="1:10" ht="13">
      <c r="A102" s="2">
        <f t="shared" si="11"/>
        <v>59</v>
      </c>
      <c r="C102" s="93" t="s">
        <v>1248</v>
      </c>
      <c r="D102" s="104">
        <f t="shared" si="9"/>
        <v>137573.4909879819</v>
      </c>
      <c r="E102" s="104">
        <f t="shared" si="10"/>
        <v>38323.843848666795</v>
      </c>
      <c r="F102" s="1094">
        <v>0</v>
      </c>
      <c r="G102" s="63">
        <f>(D102+E102+F102)*('28-FFU'!$D$22+'28-FFU'!$E$22)</f>
        <v>3994.1407398036708</v>
      </c>
      <c r="H102" s="871">
        <f t="shared" si="12"/>
        <v>179891.47557645236</v>
      </c>
      <c r="I102" s="46" t="s">
        <v>1151</v>
      </c>
      <c r="J102" s="14"/>
    </row>
    <row r="103" spans="1:10" ht="13">
      <c r="A103" s="2">
        <f t="shared" si="11"/>
        <v>60</v>
      </c>
      <c r="C103" s="842" t="s">
        <v>2425</v>
      </c>
      <c r="D103" s="104">
        <f t="shared" si="9"/>
        <v>6046001.9571192069</v>
      </c>
      <c r="E103" s="104">
        <f t="shared" si="10"/>
        <v>1684234.6098029281</v>
      </c>
      <c r="F103" s="1094">
        <v>0</v>
      </c>
      <c r="G103" s="63">
        <f>(D103+E103+F103)*('28-FFU'!$D$22+'28-FFU'!$E$22)</f>
        <v>175532.23776208539</v>
      </c>
      <c r="H103" s="871">
        <f t="shared" si="12"/>
        <v>7905768.8046842199</v>
      </c>
      <c r="I103" s="46" t="s">
        <v>1151</v>
      </c>
      <c r="J103" s="14"/>
    </row>
    <row r="104" spans="1:10" ht="13">
      <c r="A104" s="2">
        <f t="shared" si="11"/>
        <v>61</v>
      </c>
      <c r="C104" s="842" t="s">
        <v>2426</v>
      </c>
      <c r="D104" s="104">
        <f t="shared" si="9"/>
        <v>1667753.9681344985</v>
      </c>
      <c r="E104" s="104">
        <f t="shared" si="10"/>
        <v>464586.18003932445</v>
      </c>
      <c r="F104" s="1094">
        <v>0</v>
      </c>
      <c r="G104" s="63">
        <f>(D104+E104+F104)*('28-FFU'!$D$22+'28-FFU'!$E$22)</f>
        <v>48419.532137024456</v>
      </c>
      <c r="H104" s="871">
        <f t="shared" si="12"/>
        <v>2180759.6803108477</v>
      </c>
      <c r="I104" s="46" t="s">
        <v>1151</v>
      </c>
      <c r="J104" s="14"/>
    </row>
    <row r="105" spans="1:10" ht="13">
      <c r="A105" s="2">
        <f t="shared" si="11"/>
        <v>62</v>
      </c>
      <c r="C105" s="842" t="s">
        <v>2427</v>
      </c>
      <c r="D105" s="104">
        <f t="shared" ref="D105" si="13">$E$27*(E18/$E$21)</f>
        <v>8169687.1890157368</v>
      </c>
      <c r="E105" s="104">
        <f t="shared" si="10"/>
        <v>2275829.5502702906</v>
      </c>
      <c r="F105" s="1094">
        <v>0</v>
      </c>
      <c r="G105" s="63">
        <f>(D105+E105+F105)*('28-FFU'!$D$22+'28-FFU'!$E$22)</f>
        <v>237188.72145179808</v>
      </c>
      <c r="H105" s="871">
        <f t="shared" ref="H105" si="14">SUM(D105:G105)</f>
        <v>10682705.460737826</v>
      </c>
      <c r="I105" s="46" t="s">
        <v>1151</v>
      </c>
      <c r="J105" s="14"/>
    </row>
    <row r="106" spans="1:10" s="955" customFormat="1" ht="13">
      <c r="A106" s="109">
        <f t="shared" si="11"/>
        <v>63</v>
      </c>
      <c r="B106" s="14"/>
      <c r="C106" s="1441" t="s">
        <v>2807</v>
      </c>
      <c r="D106" s="104">
        <f>$E$27*(E19/$E$21)</f>
        <v>391939.50424724875</v>
      </c>
      <c r="E106" s="104">
        <f t="shared" si="10"/>
        <v>109182.57762469375</v>
      </c>
      <c r="F106" s="1094">
        <v>0</v>
      </c>
      <c r="G106" s="63">
        <f>(D106+E106+F106)*('28-FFU'!$D$22+'28-FFU'!$E$22)</f>
        <v>11379.092950320968</v>
      </c>
      <c r="H106" s="871">
        <f t="shared" ref="H106" si="15">SUM(D106:G106)</f>
        <v>512501.17482226348</v>
      </c>
      <c r="I106" s="46" t="s">
        <v>1151</v>
      </c>
      <c r="J106" s="14"/>
    </row>
    <row r="107" spans="1:10" ht="13">
      <c r="A107" s="549">
        <f t="shared" si="11"/>
        <v>64</v>
      </c>
      <c r="C107" s="396"/>
      <c r="D107" s="1152" t="s">
        <v>76</v>
      </c>
      <c r="E107" s="1152" t="s">
        <v>76</v>
      </c>
      <c r="F107" s="1152" t="s">
        <v>76</v>
      </c>
      <c r="G107" s="1152" t="s">
        <v>76</v>
      </c>
      <c r="H107" s="1152" t="s">
        <v>76</v>
      </c>
      <c r="I107" s="46" t="s">
        <v>1151</v>
      </c>
      <c r="J107" s="14"/>
    </row>
    <row r="108" spans="1:10" ht="13">
      <c r="A108" s="549">
        <f t="shared" si="11"/>
        <v>65</v>
      </c>
      <c r="C108" s="93" t="s">
        <v>197</v>
      </c>
      <c r="D108" s="63">
        <f>SUM(D96:D107)</f>
        <v>57903336.735259078</v>
      </c>
      <c r="E108" s="63">
        <f>SUM(E96:E107)</f>
        <v>16130131.026134202</v>
      </c>
      <c r="F108" s="63">
        <f>SUM(F96:F107)</f>
        <v>1304.6992194192519</v>
      </c>
      <c r="G108" s="104">
        <f>SUM(G96:G107)</f>
        <v>1681124.3963510983</v>
      </c>
      <c r="H108" s="63">
        <f>SUM(H96:H107)</f>
        <v>75715896.856963813</v>
      </c>
      <c r="I108" s="46" t="str">
        <f>"Sum of L "&amp;A96&amp;" to "&amp;A107&amp;""</f>
        <v>Sum of L 53 to 64</v>
      </c>
      <c r="J108" s="14"/>
    </row>
    <row r="109" spans="1:10">
      <c r="C109" s="93"/>
    </row>
    <row r="110" spans="1:10" ht="13">
      <c r="B110" s="1" t="s">
        <v>1242</v>
      </c>
    </row>
    <row r="111" spans="1:10" ht="13">
      <c r="B111" s="1"/>
    </row>
    <row r="112" spans="1:10" ht="14.5">
      <c r="B112" s="1"/>
      <c r="C112" s="363" t="s">
        <v>1395</v>
      </c>
    </row>
    <row r="113" spans="1:8" ht="13">
      <c r="E113" s="3" t="s">
        <v>171</v>
      </c>
      <c r="F113" s="3" t="s">
        <v>179</v>
      </c>
    </row>
    <row r="114" spans="1:8" ht="13">
      <c r="A114" s="2">
        <f>A108+1</f>
        <v>66</v>
      </c>
      <c r="D114" s="93" t="s">
        <v>353</v>
      </c>
      <c r="E114" s="7">
        <f>F21</f>
        <v>-820113818.9424268</v>
      </c>
      <c r="F114" s="112" t="str">
        <f>"Line "&amp;A21&amp;", Col 3"</f>
        <v>Line 13, Col 3</v>
      </c>
      <c r="G114" s="14"/>
      <c r="H114" s="14"/>
    </row>
    <row r="115" spans="1:8" ht="13">
      <c r="A115" s="2">
        <f>A114+1</f>
        <v>67</v>
      </c>
      <c r="D115" s="93" t="s">
        <v>351</v>
      </c>
      <c r="E115" s="371">
        <f>'2-IFPTRR'!D25</f>
        <v>9.3437363478466151E-2</v>
      </c>
      <c r="F115" s="46" t="str">
        <f>"2-IFPTRR, Line "&amp;'2-IFPTRR'!A25&amp;""</f>
        <v>2-IFPTRR, Line 16</v>
      </c>
      <c r="G115" s="14"/>
      <c r="H115" s="14"/>
    </row>
    <row r="116" spans="1:8" ht="13">
      <c r="A116" s="2">
        <f>A115+1</f>
        <v>68</v>
      </c>
      <c r="D116" s="93" t="s">
        <v>1436</v>
      </c>
      <c r="E116" s="7">
        <f>E114*E115</f>
        <v>-76629272.994236514</v>
      </c>
      <c r="F116" s="112" t="str">
        <f>"Line "&amp;A114&amp;" * Line "&amp;A115&amp;""</f>
        <v>Line 66 * Line 67</v>
      </c>
      <c r="G116" s="14"/>
      <c r="H116" s="14"/>
    </row>
    <row r="117" spans="1:8" ht="13">
      <c r="A117" s="456">
        <f>A116+1</f>
        <v>69</v>
      </c>
      <c r="D117" s="93" t="s">
        <v>1435</v>
      </c>
      <c r="E117" s="91">
        <f>E116*('28-FFU'!D22+'28-FFU'!E22)</f>
        <v>-1740038.3093470677</v>
      </c>
      <c r="F117" s="462" t="str">
        <f>"Line "&amp;A116&amp;" * (28-FFU, L"&amp;'28-FFU'!A22&amp;" FF Factor + U Factor)"</f>
        <v>Line 68 * (28-FFU, L5 FF Factor + U Factor)</v>
      </c>
      <c r="G117" s="14"/>
      <c r="H117" s="14"/>
    </row>
    <row r="118" spans="1:8" ht="13">
      <c r="A118" s="459">
        <f>A117+1</f>
        <v>70</v>
      </c>
      <c r="D118" s="93" t="s">
        <v>1437</v>
      </c>
      <c r="E118" s="7">
        <f>SUM(E116:E117)</f>
        <v>-78369311.303583577</v>
      </c>
      <c r="F118" s="112" t="str">
        <f>"Line "&amp;A116&amp;" + Line "&amp;A117&amp;""</f>
        <v>Line 68 + Line 69</v>
      </c>
      <c r="G118" s="14"/>
      <c r="H118" s="14"/>
    </row>
    <row r="119" spans="1:8" ht="13">
      <c r="A119" s="456"/>
      <c r="D119" s="93"/>
      <c r="E119" s="7"/>
    </row>
    <row r="120" spans="1:8" ht="14.5">
      <c r="A120" s="2"/>
      <c r="C120" s="363" t="s">
        <v>1396</v>
      </c>
      <c r="D120" s="93"/>
      <c r="E120" s="7"/>
      <c r="F120" s="16"/>
    </row>
    <row r="121" spans="1:8" ht="13">
      <c r="A121" s="2"/>
      <c r="D121" s="481" t="s">
        <v>175</v>
      </c>
      <c r="E121" s="481" t="s">
        <v>175</v>
      </c>
    </row>
    <row r="122" spans="1:8" ht="13">
      <c r="A122" s="2"/>
      <c r="C122" s="3" t="s">
        <v>224</v>
      </c>
      <c r="D122" s="3" t="s">
        <v>1466</v>
      </c>
      <c r="E122" s="3" t="s">
        <v>1467</v>
      </c>
      <c r="F122" s="3" t="s">
        <v>179</v>
      </c>
    </row>
    <row r="123" spans="1:8" ht="13">
      <c r="A123" s="2">
        <f>A118+1</f>
        <v>71</v>
      </c>
      <c r="C123" s="93" t="s">
        <v>1244</v>
      </c>
      <c r="D123" s="59">
        <f t="shared" ref="D123:D131" si="16">$E$116*(F9/$F$21)</f>
        <v>712419.81678186497</v>
      </c>
      <c r="E123" s="59">
        <f t="shared" ref="E123:E131" si="17">$E$118*(F9/$F$21)</f>
        <v>728596.89539817511</v>
      </c>
      <c r="F123" s="46" t="s">
        <v>1166</v>
      </c>
      <c r="G123" s="14"/>
    </row>
    <row r="124" spans="1:8" ht="13">
      <c r="A124" s="2">
        <f t="shared" ref="A124:A135" si="18">A123+1</f>
        <v>72</v>
      </c>
      <c r="C124" s="93" t="s">
        <v>1245</v>
      </c>
      <c r="D124" s="59">
        <f t="shared" si="16"/>
        <v>0</v>
      </c>
      <c r="E124" s="59">
        <f t="shared" si="17"/>
        <v>0</v>
      </c>
      <c r="F124" s="46" t="s">
        <v>1166</v>
      </c>
      <c r="G124" s="14"/>
    </row>
    <row r="125" spans="1:8" ht="13">
      <c r="A125" s="2">
        <f t="shared" si="18"/>
        <v>73</v>
      </c>
      <c r="C125" s="461" t="s">
        <v>1249</v>
      </c>
      <c r="D125" s="59">
        <f t="shared" si="16"/>
        <v>227778.72969200555</v>
      </c>
      <c r="E125" s="59">
        <f t="shared" si="17"/>
        <v>232950.95305041206</v>
      </c>
      <c r="F125" s="46" t="s">
        <v>1166</v>
      </c>
      <c r="G125" s="14"/>
    </row>
    <row r="126" spans="1:8" ht="13">
      <c r="A126" s="2">
        <f t="shared" si="18"/>
        <v>74</v>
      </c>
      <c r="C126" s="461" t="s">
        <v>1250</v>
      </c>
      <c r="D126" s="59">
        <f t="shared" si="16"/>
        <v>-60812336.047383025</v>
      </c>
      <c r="E126" s="59">
        <f t="shared" si="17"/>
        <v>-62193215.576427914</v>
      </c>
      <c r="F126" s="46" t="s">
        <v>1166</v>
      </c>
      <c r="G126" s="14"/>
    </row>
    <row r="127" spans="1:8" ht="13">
      <c r="A127" s="2">
        <f t="shared" si="18"/>
        <v>75</v>
      </c>
      <c r="C127" s="93" t="s">
        <v>1246</v>
      </c>
      <c r="D127" s="59">
        <f t="shared" si="16"/>
        <v>0</v>
      </c>
      <c r="E127" s="59">
        <f t="shared" si="17"/>
        <v>0</v>
      </c>
      <c r="F127" s="46" t="s">
        <v>1166</v>
      </c>
      <c r="G127" s="14"/>
    </row>
    <row r="128" spans="1:8" ht="13">
      <c r="A128" s="2">
        <f t="shared" si="18"/>
        <v>76</v>
      </c>
      <c r="C128" s="93" t="s">
        <v>1247</v>
      </c>
      <c r="D128" s="59">
        <f t="shared" si="16"/>
        <v>0</v>
      </c>
      <c r="E128" s="59">
        <f t="shared" si="17"/>
        <v>0</v>
      </c>
      <c r="F128" s="46" t="s">
        <v>1166</v>
      </c>
      <c r="G128" s="14"/>
    </row>
    <row r="129" spans="1:8" ht="13">
      <c r="A129" s="2">
        <f t="shared" si="18"/>
        <v>77</v>
      </c>
      <c r="C129" s="93" t="s">
        <v>1248</v>
      </c>
      <c r="D129" s="59">
        <f t="shared" si="16"/>
        <v>-497818.55457998352</v>
      </c>
      <c r="E129" s="59">
        <f t="shared" si="17"/>
        <v>-509122.6335856411</v>
      </c>
      <c r="F129" s="46" t="s">
        <v>1166</v>
      </c>
      <c r="G129" s="14"/>
    </row>
    <row r="130" spans="1:8" ht="13">
      <c r="A130" s="2">
        <f t="shared" si="18"/>
        <v>78</v>
      </c>
      <c r="C130" s="842" t="s">
        <v>2425</v>
      </c>
      <c r="D130" s="59">
        <f t="shared" si="16"/>
        <v>-11866882.073790131</v>
      </c>
      <c r="E130" s="59">
        <f t="shared" si="17"/>
        <v>-12136346.060776565</v>
      </c>
      <c r="F130" s="46" t="s">
        <v>1166</v>
      </c>
      <c r="G130" s="14"/>
    </row>
    <row r="131" spans="1:8" ht="13">
      <c r="A131" s="2">
        <f t="shared" si="18"/>
        <v>79</v>
      </c>
      <c r="C131" s="842" t="s">
        <v>2426</v>
      </c>
      <c r="D131" s="59">
        <f t="shared" si="16"/>
        <v>147373.05810109383</v>
      </c>
      <c r="E131" s="59">
        <f t="shared" si="17"/>
        <v>150719.49160935407</v>
      </c>
      <c r="F131" s="46" t="s">
        <v>1166</v>
      </c>
      <c r="G131" s="14"/>
    </row>
    <row r="132" spans="1:8" ht="13">
      <c r="A132" s="2">
        <f t="shared" si="18"/>
        <v>80</v>
      </c>
      <c r="C132" s="842" t="s">
        <v>2427</v>
      </c>
      <c r="D132" s="104">
        <f t="shared" ref="D132" si="19">$E$116*(F18/$F$21)</f>
        <v>-8564209.6114116926</v>
      </c>
      <c r="E132" s="104">
        <f t="shared" ref="E132" si="20">$E$118*(F18/$F$21)</f>
        <v>-8758679.0645442512</v>
      </c>
      <c r="F132" s="46" t="s">
        <v>1166</v>
      </c>
      <c r="G132" s="14"/>
    </row>
    <row r="133" spans="1:8" s="955" customFormat="1" ht="13">
      <c r="A133" s="549">
        <f t="shared" si="18"/>
        <v>81</v>
      </c>
      <c r="C133" s="1441" t="s">
        <v>2807</v>
      </c>
      <c r="D133" s="104">
        <f t="shared" ref="D133" si="21">$E$116*(F19/$F$21)</f>
        <v>4024401.6883533504</v>
      </c>
      <c r="E133" s="104">
        <f t="shared" ref="E133" si="22">$E$118*(F19/$F$21)</f>
        <v>4115784.6916928515</v>
      </c>
      <c r="F133" s="46" t="s">
        <v>1166</v>
      </c>
      <c r="G133" s="14"/>
    </row>
    <row r="134" spans="1:8" ht="13">
      <c r="A134" s="549">
        <f t="shared" si="18"/>
        <v>82</v>
      </c>
      <c r="C134" s="396"/>
      <c r="D134" s="451" t="s">
        <v>76</v>
      </c>
      <c r="E134" s="451" t="s">
        <v>76</v>
      </c>
      <c r="F134" s="46" t="s">
        <v>1166</v>
      </c>
      <c r="G134" s="14"/>
    </row>
    <row r="135" spans="1:8" ht="13">
      <c r="A135" s="549">
        <f t="shared" si="18"/>
        <v>83</v>
      </c>
      <c r="C135" s="93" t="s">
        <v>197</v>
      </c>
      <c r="D135" s="7">
        <f>SUM(D123:D134)</f>
        <v>-76629272.994236529</v>
      </c>
      <c r="E135" s="7">
        <f>SUM(E123:E134)</f>
        <v>-78369311.303583562</v>
      </c>
      <c r="F135" s="46" t="str">
        <f>"Sum of Lines "&amp;A123&amp;" to "&amp;A134&amp;""</f>
        <v>Sum of Lines 71 to 82</v>
      </c>
      <c r="G135" s="14"/>
    </row>
    <row r="137" spans="1:8" ht="13">
      <c r="B137" s="1" t="s">
        <v>1472</v>
      </c>
    </row>
    <row r="138" spans="1:8" ht="13">
      <c r="B138" s="1"/>
    </row>
    <row r="139" spans="1:8" ht="14.5">
      <c r="C139" s="363" t="s">
        <v>1395</v>
      </c>
    </row>
    <row r="140" spans="1:8" ht="13">
      <c r="E140" s="3" t="s">
        <v>171</v>
      </c>
      <c r="F140" s="3" t="s">
        <v>179</v>
      </c>
      <c r="H140" s="1"/>
    </row>
    <row r="141" spans="1:8" ht="13">
      <c r="A141" s="2">
        <f>A135+1</f>
        <v>84</v>
      </c>
      <c r="D141" s="93" t="s">
        <v>1251</v>
      </c>
      <c r="E141" s="7">
        <f>SUM(D65:D68)</f>
        <v>91025636.749021217</v>
      </c>
      <c r="F141" s="112" t="str">
        <f>"Sum Line "&amp;A65&amp;" to "&amp;A68&amp;""</f>
        <v>Sum Line 34 to 37</v>
      </c>
      <c r="G141" s="14"/>
    </row>
    <row r="142" spans="1:8" ht="13">
      <c r="A142" s="2">
        <f t="shared" ref="A142:A149" si="23">A141+1</f>
        <v>85</v>
      </c>
      <c r="D142" s="461" t="s">
        <v>1464</v>
      </c>
      <c r="E142" s="7">
        <f>E116</f>
        <v>-76629272.994236514</v>
      </c>
      <c r="F142" s="112" t="str">
        <f>"Line "&amp;A116&amp;""</f>
        <v>Line 68</v>
      </c>
      <c r="G142" s="14"/>
    </row>
    <row r="143" spans="1:8" ht="13">
      <c r="A143" s="2">
        <f t="shared" si="23"/>
        <v>86</v>
      </c>
      <c r="D143" s="93" t="s">
        <v>1252</v>
      </c>
      <c r="E143" s="7">
        <f>SUM(E141:E142)</f>
        <v>14396363.754784703</v>
      </c>
      <c r="F143" s="112" t="str">
        <f>"Line "&amp;A141&amp;" + Line "&amp;A142&amp;""</f>
        <v>Line 84 + Line 85</v>
      </c>
      <c r="G143" s="14"/>
    </row>
    <row r="144" spans="1:8" ht="13">
      <c r="A144" s="2">
        <f t="shared" si="23"/>
        <v>87</v>
      </c>
      <c r="D144" s="93" t="s">
        <v>1237</v>
      </c>
      <c r="E144" s="8">
        <f>'28-FFU'!D22</f>
        <v>9.2480778683301876E-3</v>
      </c>
      <c r="F144" s="46" t="str">
        <f>"28-FFU, Line "&amp;'28-FFU'!A22&amp;""</f>
        <v>28-FFU, Line 5</v>
      </c>
      <c r="G144" s="14"/>
    </row>
    <row r="145" spans="1:8" ht="13">
      <c r="A145" s="2">
        <f t="shared" si="23"/>
        <v>88</v>
      </c>
      <c r="D145" s="93" t="s">
        <v>1238</v>
      </c>
      <c r="E145" s="8">
        <f>'28-FFU'!E22</f>
        <v>1.3459149296384539E-2</v>
      </c>
      <c r="F145" s="46" t="str">
        <f>"28-FFU, Line "&amp;'28-FFU'!A22&amp;""</f>
        <v>28-FFU, Line 5</v>
      </c>
      <c r="G145" s="14"/>
    </row>
    <row r="146" spans="1:8" ht="13">
      <c r="A146" s="2">
        <f t="shared" si="23"/>
        <v>89</v>
      </c>
      <c r="D146" s="461" t="s">
        <v>1470</v>
      </c>
      <c r="E146" s="7">
        <f>E143*E144</f>
        <v>133138.69302505528</v>
      </c>
      <c r="F146" s="112" t="str">
        <f>"Line "&amp;A143&amp;" * Line "&amp;A144&amp;""</f>
        <v>Line 86 * Line 87</v>
      </c>
      <c r="G146" s="14"/>
    </row>
    <row r="147" spans="1:8" ht="13">
      <c r="A147" s="482">
        <f t="shared" si="23"/>
        <v>90</v>
      </c>
      <c r="D147" s="461" t="s">
        <v>1471</v>
      </c>
      <c r="E147" s="7">
        <f>E143*E145</f>
        <v>193762.80910070642</v>
      </c>
      <c r="F147" s="112" t="str">
        <f>"Line "&amp;A143&amp;" * Line "&amp;A145&amp;""</f>
        <v>Line 86 * Line 88</v>
      </c>
      <c r="G147" s="14"/>
    </row>
    <row r="148" spans="1:8" ht="13">
      <c r="A148" s="482">
        <f t="shared" si="23"/>
        <v>91</v>
      </c>
      <c r="D148" s="93" t="s">
        <v>1253</v>
      </c>
      <c r="E148" s="7">
        <f>E143+E146+E147</f>
        <v>14723265.256910464</v>
      </c>
      <c r="F148" s="46" t="str">
        <f>"Line "&amp;A143&amp;" + Line "&amp;A146&amp;" + Line "&amp;A147&amp;""</f>
        <v>Line 86 + Line 89 + Line 90</v>
      </c>
      <c r="G148" s="14"/>
    </row>
    <row r="149" spans="1:8" ht="13">
      <c r="A149" s="482">
        <f t="shared" si="23"/>
        <v>92</v>
      </c>
      <c r="D149" s="461" t="s">
        <v>1469</v>
      </c>
      <c r="E149" s="7">
        <f>E143+E146</f>
        <v>14529502.447809758</v>
      </c>
      <c r="F149" s="46" t="str">
        <f>"Line "&amp;A143&amp;" + Line "&amp;A146&amp;""</f>
        <v>Line 86 + Line 89</v>
      </c>
      <c r="G149" s="14"/>
    </row>
    <row r="151" spans="1:8" ht="14.5">
      <c r="C151" s="363" t="s">
        <v>1397</v>
      </c>
    </row>
    <row r="152" spans="1:8" ht="14.5">
      <c r="C152" s="363"/>
      <c r="D152" s="84" t="s">
        <v>358</v>
      </c>
      <c r="E152" s="84" t="s">
        <v>342</v>
      </c>
      <c r="F152" s="84" t="s">
        <v>343</v>
      </c>
      <c r="G152" s="84" t="s">
        <v>344</v>
      </c>
    </row>
    <row r="153" spans="1:8" ht="12.75" customHeight="1">
      <c r="D153" s="237" t="s">
        <v>1389</v>
      </c>
      <c r="E153" s="237" t="s">
        <v>1089</v>
      </c>
    </row>
    <row r="154" spans="1:8" ht="12.75" customHeight="1">
      <c r="D154" s="3" t="s">
        <v>1466</v>
      </c>
      <c r="E154" s="3" t="s">
        <v>1466</v>
      </c>
      <c r="F154" s="3" t="s">
        <v>1398</v>
      </c>
      <c r="G154" s="238" t="s">
        <v>196</v>
      </c>
      <c r="H154" s="3" t="s">
        <v>179</v>
      </c>
    </row>
    <row r="155" spans="1:8" ht="13">
      <c r="A155" s="482">
        <f>A149+1</f>
        <v>93</v>
      </c>
      <c r="C155" s="93" t="s">
        <v>1244</v>
      </c>
      <c r="D155" s="63">
        <f t="shared" ref="D155:D163" si="24">D78+E78+F78</f>
        <v>16292.203946337313</v>
      </c>
      <c r="E155" s="63">
        <f t="shared" ref="E155:E163" si="25">D123</f>
        <v>712419.81678186497</v>
      </c>
      <c r="F155" s="63">
        <f>(D155+E155)*('28-FFU'!$D$22+'28-FFU'!$E$22)</f>
        <v>16547.029392333596</v>
      </c>
      <c r="G155" s="63">
        <f>SUM(D155:F155)</f>
        <v>745259.05012053589</v>
      </c>
      <c r="H155" s="46" t="s">
        <v>1168</v>
      </c>
    </row>
    <row r="156" spans="1:8" ht="13">
      <c r="A156" s="482">
        <f t="shared" ref="A156:A167" si="26">A155+1</f>
        <v>94</v>
      </c>
      <c r="C156" s="93" t="s">
        <v>1245</v>
      </c>
      <c r="D156" s="63">
        <f t="shared" si="24"/>
        <v>0</v>
      </c>
      <c r="E156" s="63">
        <f t="shared" si="25"/>
        <v>0</v>
      </c>
      <c r="F156" s="63">
        <f>(D156+E156)*('28-FFU'!$D$22+'28-FFU'!$E$22)</f>
        <v>0</v>
      </c>
      <c r="G156" s="63">
        <f t="shared" ref="G156:G163" si="27">SUM(D156:F156)</f>
        <v>0</v>
      </c>
      <c r="H156" s="46" t="s">
        <v>1168</v>
      </c>
    </row>
    <row r="157" spans="1:8" ht="13">
      <c r="A157" s="482">
        <f t="shared" si="26"/>
        <v>95</v>
      </c>
      <c r="C157" s="461" t="s">
        <v>1249</v>
      </c>
      <c r="D157" s="63">
        <f t="shared" si="24"/>
        <v>539373.99413199071</v>
      </c>
      <c r="E157" s="63">
        <f t="shared" si="25"/>
        <v>227778.72969200555</v>
      </c>
      <c r="F157" s="63">
        <f>(D157+E157)*('28-FFU'!$D$22+'28-FFU'!$E$22)</f>
        <v>17419.911169901141</v>
      </c>
      <c r="G157" s="63">
        <f t="shared" si="27"/>
        <v>784572.6349938974</v>
      </c>
      <c r="H157" s="46" t="s">
        <v>1168</v>
      </c>
    </row>
    <row r="158" spans="1:8" ht="13">
      <c r="A158" s="482">
        <f t="shared" si="26"/>
        <v>96</v>
      </c>
      <c r="C158" s="461" t="s">
        <v>1250</v>
      </c>
      <c r="D158" s="63">
        <f t="shared" si="24"/>
        <v>60812336.04738304</v>
      </c>
      <c r="E158" s="63">
        <f t="shared" si="25"/>
        <v>-60812336.047383025</v>
      </c>
      <c r="F158" s="63">
        <f>(D158+E158)*('28-FFU'!$D$22+'28-FFU'!$E$22)</f>
        <v>3.3836405224673039E-10</v>
      </c>
      <c r="G158" s="63">
        <f t="shared" si="27"/>
        <v>1.5239525246094385E-8</v>
      </c>
      <c r="H158" s="46" t="s">
        <v>1168</v>
      </c>
    </row>
    <row r="159" spans="1:8" ht="13">
      <c r="A159" s="482">
        <f t="shared" si="26"/>
        <v>97</v>
      </c>
      <c r="C159" s="93" t="s">
        <v>1246</v>
      </c>
      <c r="D159" s="63">
        <f t="shared" si="24"/>
        <v>0</v>
      </c>
      <c r="E159" s="63">
        <f t="shared" si="25"/>
        <v>0</v>
      </c>
      <c r="F159" s="63">
        <f>(D159+E159)*('28-FFU'!$D$22+'28-FFU'!$E$22)</f>
        <v>0</v>
      </c>
      <c r="G159" s="63">
        <f t="shared" si="27"/>
        <v>0</v>
      </c>
      <c r="H159" s="46" t="s">
        <v>1168</v>
      </c>
    </row>
    <row r="160" spans="1:8" ht="13">
      <c r="A160" s="482">
        <f t="shared" si="26"/>
        <v>98</v>
      </c>
      <c r="C160" s="93" t="s">
        <v>1247</v>
      </c>
      <c r="D160" s="63">
        <f t="shared" si="24"/>
        <v>0</v>
      </c>
      <c r="E160" s="63">
        <f t="shared" si="25"/>
        <v>0</v>
      </c>
      <c r="F160" s="63">
        <f>(D160+E160)*('28-FFU'!$D$22+'28-FFU'!$E$22)</f>
        <v>0</v>
      </c>
      <c r="G160" s="63">
        <f t="shared" si="27"/>
        <v>0</v>
      </c>
      <c r="H160" s="46" t="s">
        <v>1168</v>
      </c>
    </row>
    <row r="161" spans="1:8" ht="13">
      <c r="A161" s="482">
        <f t="shared" si="26"/>
        <v>99</v>
      </c>
      <c r="C161" s="93" t="s">
        <v>1248</v>
      </c>
      <c r="D161" s="63">
        <f t="shared" si="24"/>
        <v>497818.55457998341</v>
      </c>
      <c r="E161" s="63">
        <f t="shared" si="25"/>
        <v>-497818.55457998352</v>
      </c>
      <c r="F161" s="63">
        <f>(D161+E161)*('28-FFU'!$D$22+'28-FFU'!$E$22)</f>
        <v>-2.6434691581775812E-12</v>
      </c>
      <c r="G161" s="63">
        <f t="shared" si="27"/>
        <v>-1.1905879098511238E-10</v>
      </c>
      <c r="H161" s="46" t="s">
        <v>1168</v>
      </c>
    </row>
    <row r="162" spans="1:8" ht="13">
      <c r="A162" s="482">
        <f t="shared" si="26"/>
        <v>100</v>
      </c>
      <c r="C162" s="842" t="s">
        <v>2425</v>
      </c>
      <c r="D162" s="63">
        <f t="shared" si="24"/>
        <v>12150985.707356006</v>
      </c>
      <c r="E162" s="63">
        <f t="shared" si="25"/>
        <v>-11866882.073790131</v>
      </c>
      <c r="F162" s="63">
        <f>(D162+E162)*('28-FFU'!$D$22+'28-FFU'!$E$22)</f>
        <v>6451.2057457011897</v>
      </c>
      <c r="G162" s="63">
        <f t="shared" si="27"/>
        <v>290554.83931157598</v>
      </c>
      <c r="H162" s="46" t="s">
        <v>1168</v>
      </c>
    </row>
    <row r="163" spans="1:8" ht="13">
      <c r="A163" s="482">
        <f t="shared" si="26"/>
        <v>101</v>
      </c>
      <c r="C163" s="842" t="s">
        <v>2426</v>
      </c>
      <c r="D163" s="63">
        <f t="shared" si="24"/>
        <v>2225528.4384755855</v>
      </c>
      <c r="E163" s="63">
        <f t="shared" si="25"/>
        <v>147373.05810109383</v>
      </c>
      <c r="F163" s="63">
        <f>(D163+E163)*('28-FFU'!$D$22+'28-FFU'!$E$22)</f>
        <v>53882.013322258201</v>
      </c>
      <c r="G163" s="63">
        <f t="shared" si="27"/>
        <v>2426783.5098989378</v>
      </c>
      <c r="H163" s="46" t="s">
        <v>1168</v>
      </c>
    </row>
    <row r="164" spans="1:8" ht="13">
      <c r="A164" s="482">
        <f t="shared" si="26"/>
        <v>102</v>
      </c>
      <c r="C164" s="842" t="s">
        <v>2427</v>
      </c>
      <c r="D164" s="63">
        <f t="shared" ref="D164:D165" si="28">D87+E87+F87</f>
        <v>12577436.816792367</v>
      </c>
      <c r="E164" s="63">
        <f t="shared" ref="E164" si="29">D132</f>
        <v>-8564209.6114116926</v>
      </c>
      <c r="F164" s="63">
        <f>(D164+E164)*('28-FFU'!$D$22+'28-FFU'!$E$22)</f>
        <v>91129.261816192215</v>
      </c>
      <c r="G164" s="63">
        <f t="shared" ref="G164" si="30">SUM(D164:F164)</f>
        <v>4104356.4671968669</v>
      </c>
      <c r="H164" s="46" t="s">
        <v>1168</v>
      </c>
    </row>
    <row r="165" spans="1:8" s="955" customFormat="1" ht="13">
      <c r="A165" s="549">
        <f t="shared" si="26"/>
        <v>103</v>
      </c>
      <c r="C165" s="1441" t="s">
        <v>2807</v>
      </c>
      <c r="D165" s="63">
        <f t="shared" si="28"/>
        <v>2205864.986355898</v>
      </c>
      <c r="E165" s="63">
        <f t="shared" ref="E165" si="31">D133</f>
        <v>4024401.6883533504</v>
      </c>
      <c r="F165" s="63">
        <f>(D165+E165)*('28-FFU'!$D$22+'28-FFU'!$E$22)</f>
        <v>141472.08067937472</v>
      </c>
      <c r="G165" s="63">
        <f t="shared" ref="G165" si="32">SUM(D165:F165)</f>
        <v>6371738.7553886231</v>
      </c>
      <c r="H165" s="46" t="s">
        <v>1168</v>
      </c>
    </row>
    <row r="166" spans="1:8" ht="13">
      <c r="A166" s="549">
        <f t="shared" si="26"/>
        <v>104</v>
      </c>
      <c r="C166" s="396"/>
      <c r="D166" s="1149" t="s">
        <v>76</v>
      </c>
      <c r="E166" s="1149" t="s">
        <v>76</v>
      </c>
      <c r="F166" s="1149" t="s">
        <v>76</v>
      </c>
      <c r="G166" s="1149" t="s">
        <v>76</v>
      </c>
      <c r="H166" s="46" t="s">
        <v>1168</v>
      </c>
    </row>
    <row r="167" spans="1:8" ht="13">
      <c r="A167" s="549">
        <f t="shared" si="26"/>
        <v>105</v>
      </c>
      <c r="C167" s="93" t="s">
        <v>197</v>
      </c>
      <c r="D167" s="63">
        <f>SUM(D155:D166)</f>
        <v>91025636.749021202</v>
      </c>
      <c r="E167" s="63">
        <f>SUM(E155:E166)</f>
        <v>-76629272.994236529</v>
      </c>
      <c r="F167" s="63">
        <f>SUM(F155:F166)</f>
        <v>326901.50212576141</v>
      </c>
      <c r="G167" s="63">
        <f>SUM(G155:G166)</f>
        <v>14723265.256910451</v>
      </c>
      <c r="H167" s="14"/>
    </row>
    <row r="169" spans="1:8" ht="14.5">
      <c r="C169" s="363" t="s">
        <v>1465</v>
      </c>
    </row>
    <row r="170" spans="1:8" ht="14.5">
      <c r="C170" s="363"/>
    </row>
    <row r="171" spans="1:8" ht="13">
      <c r="D171" s="84" t="s">
        <v>358</v>
      </c>
      <c r="E171" s="84" t="s">
        <v>342</v>
      </c>
      <c r="F171" s="84" t="s">
        <v>343</v>
      </c>
      <c r="G171" s="84" t="s">
        <v>344</v>
      </c>
    </row>
    <row r="172" spans="1:8" ht="12.75" customHeight="1">
      <c r="D172" s="237" t="s">
        <v>1389</v>
      </c>
      <c r="E172" s="237" t="s">
        <v>1089</v>
      </c>
      <c r="F172" s="84"/>
      <c r="G172" s="84"/>
    </row>
    <row r="173" spans="1:8" ht="12.75" customHeight="1">
      <c r="D173" s="3" t="s">
        <v>1466</v>
      </c>
      <c r="E173" s="3" t="s">
        <v>1466</v>
      </c>
      <c r="F173" s="3" t="s">
        <v>1440</v>
      </c>
      <c r="G173" s="238" t="s">
        <v>196</v>
      </c>
      <c r="H173" s="3" t="s">
        <v>179</v>
      </c>
    </row>
    <row r="174" spans="1:8" ht="13">
      <c r="A174" s="482">
        <f>A167+1</f>
        <v>106</v>
      </c>
      <c r="C174" s="93" t="s">
        <v>1244</v>
      </c>
      <c r="D174" s="63">
        <f t="shared" ref="D174:D182" si="33">D78+E78+F78</f>
        <v>16292.203946337313</v>
      </c>
      <c r="E174" s="63">
        <f t="shared" ref="E174:E182" si="34">D123</f>
        <v>712419.81678186497</v>
      </c>
      <c r="F174" s="63">
        <f>(D174+E174)*('28-FFU'!$D$22)</f>
        <v>6739.185511282657</v>
      </c>
      <c r="G174" s="63">
        <f>SUM(D174:F174)</f>
        <v>735451.20623948495</v>
      </c>
      <c r="H174" s="467" t="s">
        <v>1169</v>
      </c>
    </row>
    <row r="175" spans="1:8" ht="13">
      <c r="A175" s="482">
        <f t="shared" ref="A175:A186" si="35">A174+1</f>
        <v>107</v>
      </c>
      <c r="C175" s="93" t="s">
        <v>1245</v>
      </c>
      <c r="D175" s="63">
        <f t="shared" si="33"/>
        <v>0</v>
      </c>
      <c r="E175" s="63">
        <f t="shared" si="34"/>
        <v>0</v>
      </c>
      <c r="F175" s="63">
        <f>(D175+E175)*('28-FFU'!$D$22)</f>
        <v>0</v>
      </c>
      <c r="G175" s="63">
        <f t="shared" ref="G175:G182" si="36">SUM(D175:F175)</f>
        <v>0</v>
      </c>
      <c r="H175" s="467" t="s">
        <v>1169</v>
      </c>
    </row>
    <row r="176" spans="1:8" ht="13">
      <c r="A176" s="482">
        <f t="shared" si="35"/>
        <v>108</v>
      </c>
      <c r="C176" s="461" t="s">
        <v>1249</v>
      </c>
      <c r="D176" s="63">
        <f t="shared" si="33"/>
        <v>539373.99413199071</v>
      </c>
      <c r="E176" s="63">
        <f t="shared" si="34"/>
        <v>227778.72969200555</v>
      </c>
      <c r="F176" s="63">
        <f>(D176+E176)*('28-FFU'!$D$22)</f>
        <v>7094.6881268259203</v>
      </c>
      <c r="G176" s="63">
        <f t="shared" si="36"/>
        <v>774247.41195082222</v>
      </c>
      <c r="H176" s="467" t="s">
        <v>1169</v>
      </c>
    </row>
    <row r="177" spans="1:11" ht="13">
      <c r="A177" s="482">
        <f t="shared" si="35"/>
        <v>109</v>
      </c>
      <c r="C177" s="461" t="s">
        <v>1250</v>
      </c>
      <c r="D177" s="63">
        <f t="shared" si="33"/>
        <v>60812336.04738304</v>
      </c>
      <c r="E177" s="63">
        <f t="shared" si="34"/>
        <v>-60812336.047383025</v>
      </c>
      <c r="F177" s="63">
        <f>(D177+E177)*('28-FFU'!$D$22)</f>
        <v>1.3780709904924315E-10</v>
      </c>
      <c r="G177" s="63">
        <f t="shared" si="36"/>
        <v>1.5038968292896899E-8</v>
      </c>
      <c r="H177" s="467" t="s">
        <v>1169</v>
      </c>
    </row>
    <row r="178" spans="1:11" ht="13">
      <c r="A178" s="482">
        <f t="shared" si="35"/>
        <v>110</v>
      </c>
      <c r="C178" s="93" t="s">
        <v>1246</v>
      </c>
      <c r="D178" s="63">
        <f t="shared" si="33"/>
        <v>0</v>
      </c>
      <c r="E178" s="63">
        <f t="shared" si="34"/>
        <v>0</v>
      </c>
      <c r="F178" s="63">
        <f>(D178+E178)*('28-FFU'!$D$22)</f>
        <v>0</v>
      </c>
      <c r="G178" s="63">
        <f t="shared" si="36"/>
        <v>0</v>
      </c>
      <c r="H178" s="467" t="s">
        <v>1169</v>
      </c>
    </row>
    <row r="179" spans="1:11" ht="13">
      <c r="A179" s="482">
        <f t="shared" si="35"/>
        <v>111</v>
      </c>
      <c r="C179" s="93" t="s">
        <v>1247</v>
      </c>
      <c r="D179" s="63">
        <f t="shared" si="33"/>
        <v>0</v>
      </c>
      <c r="E179" s="63">
        <f t="shared" si="34"/>
        <v>0</v>
      </c>
      <c r="F179" s="63">
        <f>(D179+E179)*('28-FFU'!$D$22)</f>
        <v>0</v>
      </c>
      <c r="G179" s="63">
        <f t="shared" si="36"/>
        <v>0</v>
      </c>
      <c r="H179" s="467" t="s">
        <v>1169</v>
      </c>
    </row>
    <row r="180" spans="1:11" ht="13">
      <c r="A180" s="482">
        <f t="shared" si="35"/>
        <v>112</v>
      </c>
      <c r="C180" s="93" t="s">
        <v>1248</v>
      </c>
      <c r="D180" s="63">
        <f t="shared" si="33"/>
        <v>497818.55457998341</v>
      </c>
      <c r="E180" s="63">
        <f t="shared" si="34"/>
        <v>-497818.55457998352</v>
      </c>
      <c r="F180" s="63">
        <f>(D180+E180)*('28-FFU'!$D$22)</f>
        <v>-1.0766179613222121E-12</v>
      </c>
      <c r="G180" s="63">
        <f t="shared" si="36"/>
        <v>-1.1749193978825702E-10</v>
      </c>
      <c r="H180" s="467" t="s">
        <v>1169</v>
      </c>
    </row>
    <row r="181" spans="1:11" ht="13">
      <c r="A181" s="482">
        <f t="shared" si="35"/>
        <v>113</v>
      </c>
      <c r="C181" s="842" t="s">
        <v>2425</v>
      </c>
      <c r="D181" s="63">
        <f t="shared" si="33"/>
        <v>12150985.707356006</v>
      </c>
      <c r="E181" s="63">
        <f t="shared" si="34"/>
        <v>-11866882.073790131</v>
      </c>
      <c r="F181" s="63">
        <f>(D181+E181)*('28-FFU'!$D$22)</f>
        <v>2627.4125258927561</v>
      </c>
      <c r="G181" s="63">
        <f t="shared" si="36"/>
        <v>286731.04609176755</v>
      </c>
      <c r="H181" s="467" t="s">
        <v>1169</v>
      </c>
    </row>
    <row r="182" spans="1:11" ht="13">
      <c r="A182" s="482">
        <f t="shared" si="35"/>
        <v>114</v>
      </c>
      <c r="C182" s="842" t="s">
        <v>2426</v>
      </c>
      <c r="D182" s="63">
        <f t="shared" si="33"/>
        <v>2225528.4384755855</v>
      </c>
      <c r="E182" s="63">
        <f t="shared" si="34"/>
        <v>147373.05810109383</v>
      </c>
      <c r="F182" s="63">
        <f>(D182+E182)*('28-FFU'!$D$22)</f>
        <v>21944.777814218371</v>
      </c>
      <c r="G182" s="63">
        <f t="shared" si="36"/>
        <v>2394846.2743908977</v>
      </c>
      <c r="H182" s="467" t="s">
        <v>1169</v>
      </c>
    </row>
    <row r="183" spans="1:11" ht="13">
      <c r="A183" s="482">
        <f t="shared" si="35"/>
        <v>115</v>
      </c>
      <c r="C183" s="842" t="s">
        <v>2427</v>
      </c>
      <c r="D183" s="63">
        <f t="shared" ref="D183" si="37">D87+E87+F87</f>
        <v>12577436.816792367</v>
      </c>
      <c r="E183" s="63">
        <f t="shared" ref="E183" si="38">D132</f>
        <v>-8564209.6114116926</v>
      </c>
      <c r="F183" s="63">
        <f>(D183+E183)*('28-FFU'!$D$22)</f>
        <v>37114.637698661623</v>
      </c>
      <c r="G183" s="63">
        <f t="shared" ref="G183" si="39">SUM(D183:F183)</f>
        <v>4050341.843079336</v>
      </c>
      <c r="H183" s="467" t="s">
        <v>1169</v>
      </c>
    </row>
    <row r="184" spans="1:11" s="955" customFormat="1" ht="13">
      <c r="A184" s="549">
        <f t="shared" si="35"/>
        <v>116</v>
      </c>
      <c r="C184" s="1441" t="s">
        <v>2807</v>
      </c>
      <c r="D184" s="63">
        <f t="shared" ref="D184" si="40">D88+E88+F88</f>
        <v>2205864.986355898</v>
      </c>
      <c r="E184" s="63">
        <f t="shared" ref="E184" si="41">D133</f>
        <v>4024401.6883533504</v>
      </c>
      <c r="F184" s="63">
        <f>(D184+E184)*('28-FFU'!$D$22)</f>
        <v>57617.991348173709</v>
      </c>
      <c r="G184" s="63">
        <f t="shared" ref="G184" si="42">SUM(D184:F184)</f>
        <v>6287884.6660574218</v>
      </c>
      <c r="H184" s="467" t="s">
        <v>1169</v>
      </c>
    </row>
    <row r="185" spans="1:11" ht="13">
      <c r="A185" s="549">
        <f t="shared" si="35"/>
        <v>117</v>
      </c>
      <c r="C185" s="396"/>
      <c r="D185" s="1149" t="s">
        <v>76</v>
      </c>
      <c r="E185" s="1149" t="s">
        <v>76</v>
      </c>
      <c r="F185" s="1149" t="s">
        <v>76</v>
      </c>
      <c r="G185" s="1149" t="s">
        <v>76</v>
      </c>
      <c r="H185" s="467" t="s">
        <v>1169</v>
      </c>
    </row>
    <row r="186" spans="1:11" ht="13">
      <c r="A186" s="549">
        <f t="shared" si="35"/>
        <v>118</v>
      </c>
      <c r="C186" s="93" t="s">
        <v>197</v>
      </c>
      <c r="D186" s="63">
        <f>SUM(D174:D185)</f>
        <v>91025636.749021202</v>
      </c>
      <c r="E186" s="63">
        <f>SUM(E174:E185)</f>
        <v>-76629272.994236529</v>
      </c>
      <c r="F186" s="63">
        <f>SUM(F174:F185)</f>
        <v>133138.69302505517</v>
      </c>
      <c r="G186" s="63">
        <f>SUM(G174:G185)</f>
        <v>14529502.447809745</v>
      </c>
    </row>
    <row r="188" spans="1:11" ht="13">
      <c r="B188" s="1" t="s">
        <v>230</v>
      </c>
    </row>
    <row r="189" spans="1:11">
      <c r="B189" s="108" t="str">
        <f>"1) (Sum Lines "&amp;A65&amp;" to "&amp;A68&amp;") * (FF + U Factors from 28-FFU) for Prior Year TRR"</f>
        <v>1) (Sum Lines 34 to 37) * (FF + U Factors from 28-FFU) for Prior Year TRR</v>
      </c>
      <c r="C189" s="14"/>
      <c r="D189" s="14"/>
      <c r="E189" s="14"/>
      <c r="F189" s="14"/>
      <c r="G189" s="14"/>
      <c r="H189" s="14"/>
      <c r="I189" s="14"/>
      <c r="J189" s="14"/>
      <c r="K189" s="14"/>
    </row>
    <row r="190" spans="1:11">
      <c r="B190" s="46" t="str">
        <f>"(Sum Lines "&amp;A65&amp;" to "&amp;A68&amp;") * (FF Factor from 28-FFU) for True Up TRR"</f>
        <v>(Sum Lines 34 to 37) * (FF Factor from 28-FFU) for True Up TRR</v>
      </c>
      <c r="C190" s="14"/>
      <c r="D190" s="14"/>
      <c r="E190" s="14"/>
      <c r="F190" s="14"/>
      <c r="G190" s="14"/>
      <c r="H190" s="14"/>
      <c r="I190" s="14"/>
      <c r="J190" s="14"/>
      <c r="K190" s="14"/>
    </row>
    <row r="191" spans="1:11">
      <c r="B191" s="15" t="str">
        <f>"2) Project Cost of capital is a fraction of total Cost of Capital on Line "&amp;A27&amp;" based on fraction of project CWIP Balances on Lines "&amp;A9&amp;" to "&amp;A21&amp;", Col 1."</f>
        <v>2) Project Cost of capital is a fraction of total Cost of Capital on Line 16 based on fraction of project CWIP Balances on Lines 1 to 13, Col 1.</v>
      </c>
      <c r="C191" s="14"/>
      <c r="D191" s="14"/>
      <c r="E191" s="14"/>
      <c r="F191" s="14"/>
      <c r="G191" s="14"/>
      <c r="H191" s="14"/>
      <c r="I191" s="14"/>
      <c r="J191" s="14"/>
      <c r="K191" s="14"/>
    </row>
    <row r="192" spans="1:11">
      <c r="B192" s="46" t="str">
        <f>"Project Income Taxes is a fraction of total Income on Line "&amp;A35&amp;" based on fraction of project CWIP Balances on Lines "&amp;A9&amp;" to "&amp;A21&amp;", Col 1."</f>
        <v>Project Income Taxes is a fraction of total Income on Line 20 based on fraction of project CWIP Balances on Lines 1 to 13, Col 1.</v>
      </c>
      <c r="C192" s="14"/>
      <c r="D192" s="14"/>
      <c r="E192" s="14"/>
      <c r="F192" s="14"/>
      <c r="G192" s="14"/>
      <c r="H192" s="14"/>
      <c r="I192" s="14"/>
      <c r="J192" s="14"/>
      <c r="K192" s="14"/>
    </row>
    <row r="193" spans="2:11">
      <c r="B193" s="112" t="str">
        <f>"ROE Adder is from Lines "&amp;A67&amp;" and "&amp;A68&amp;".  FF&amp;U Expenses are based on FF&amp;U Factors on 28-FFU."</f>
        <v>ROE Adder is from Lines 36 and 37.  FF&amp;U Expenses are based on FF&amp;U Factors on 28-FFU.</v>
      </c>
      <c r="C193" s="14"/>
      <c r="D193" s="14"/>
      <c r="E193" s="14"/>
      <c r="F193" s="14"/>
      <c r="G193" s="14"/>
      <c r="H193" s="14"/>
      <c r="I193" s="14"/>
      <c r="J193" s="14"/>
      <c r="K193" s="14"/>
    </row>
    <row r="194" spans="2:11">
      <c r="B194" s="15" t="str">
        <f>"3) Project Cost of capital is a fraction of total Cost of Capital on Line "&amp;A27&amp;" based on fraction of project CWIP Balances on Lines "&amp;A9&amp;" to "&amp;A21&amp;", Col 2."</f>
        <v>3) Project Cost of capital is a fraction of total Cost of Capital on Line 16 based on fraction of project CWIP Balances on Lines 1 to 13, Col 2.</v>
      </c>
      <c r="C194" s="14"/>
      <c r="D194" s="14"/>
      <c r="E194" s="14"/>
      <c r="F194" s="14"/>
      <c r="G194" s="14"/>
      <c r="H194" s="14"/>
      <c r="I194" s="14"/>
      <c r="J194" s="14"/>
      <c r="K194" s="14"/>
    </row>
    <row r="195" spans="2:11">
      <c r="B195" s="46" t="str">
        <f>"Project Income Taxes is a fraction of total Income on Line "&amp;A35&amp;" based on fraction of project CWIP Balances on Lines "&amp;A9&amp;" to "&amp;A21&amp;", Col 2."</f>
        <v>Project Income Taxes is a fraction of total Income on Line 20 based on fraction of project CWIP Balances on Lines 1 to 13, Col 2.</v>
      </c>
      <c r="C195" s="14"/>
      <c r="D195" s="14"/>
      <c r="E195" s="14"/>
      <c r="F195" s="14"/>
      <c r="G195" s="14"/>
      <c r="H195" s="14"/>
      <c r="I195" s="14"/>
      <c r="J195" s="14"/>
      <c r="K195" s="14"/>
    </row>
    <row r="196" spans="2:11">
      <c r="B196" s="112" t="str">
        <f>"ROE Adder is from Lines "&amp;A67&amp;" and "&amp;A68&amp;".  FF&amp;U Expenses are based on FF&amp;U Factors on 28-FFU."</f>
        <v>ROE Adder is from Lines 36 and 37.  FF&amp;U Expenses are based on FF&amp;U Factors on 28-FFU.</v>
      </c>
      <c r="C196" s="14"/>
      <c r="D196" s="14"/>
      <c r="E196" s="14"/>
      <c r="F196" s="14"/>
      <c r="G196" s="14"/>
      <c r="H196" s="14"/>
      <c r="I196" s="14"/>
      <c r="J196" s="14"/>
      <c r="K196" s="14"/>
    </row>
    <row r="197" spans="2:11">
      <c r="B197" s="15" t="str">
        <f>"4) Project contribution to total IFPTRR is based on fraction of Forecast Period CWIP Balances on Lines "&amp;A9&amp;" to "&amp;A21&amp;", Col 3."</f>
        <v>4) Project contribution to total IFPTRR is based on fraction of Forecast Period CWIP Balances on Lines 1 to 13, Col 3.</v>
      </c>
      <c r="C197" s="14"/>
      <c r="D197" s="14"/>
      <c r="E197" s="14"/>
      <c r="F197" s="14"/>
      <c r="G197" s="14"/>
      <c r="H197" s="14"/>
      <c r="I197" s="14"/>
      <c r="J197" s="14"/>
      <c r="K197" s="14"/>
    </row>
    <row r="198" spans="2:11">
      <c r="B198" s="15" t="str">
        <f>"5) Column 1 is from Lines "&amp;A78&amp;" to "&amp;A89&amp;", Sum of Column 1-3 (no FF&amp;U)."</f>
        <v>5) Column 1 is from Lines 40 to 51, Sum of Column 1-3 (no FF&amp;U).</v>
      </c>
      <c r="C198" s="14"/>
      <c r="D198" s="14"/>
      <c r="E198" s="14"/>
      <c r="F198" s="14"/>
      <c r="G198" s="14"/>
      <c r="H198" s="14"/>
      <c r="I198" s="14"/>
      <c r="J198" s="14"/>
      <c r="K198" s="14"/>
    </row>
    <row r="199" spans="2:11">
      <c r="B199" s="46" t="str">
        <f>"Column 2 is from Lines "&amp;A123&amp;" to "&amp;A134&amp;" (no FF&amp;U)."</f>
        <v>Column 2 is from Lines 71 to 82 (no FF&amp;U).</v>
      </c>
      <c r="C199" s="14"/>
      <c r="D199" s="14"/>
      <c r="E199" s="14"/>
      <c r="F199" s="14"/>
      <c r="G199" s="14"/>
      <c r="H199" s="14"/>
      <c r="I199" s="14"/>
      <c r="J199" s="14"/>
      <c r="K199" s="14"/>
    </row>
    <row r="200" spans="2:11">
      <c r="B200" s="462" t="str">
        <f>"Column 3 is the product of (C1 + C2) and the sum of FF and U factors (28-FFU, L"&amp;'28-FFU'!A22&amp;")"</f>
        <v>Column 3 is the product of (C1 + C2) and the sum of FF and U factors (28-FFU, L5)</v>
      </c>
      <c r="C200" s="14"/>
      <c r="D200" s="14"/>
      <c r="E200" s="14"/>
      <c r="F200" s="14"/>
      <c r="G200" s="14"/>
      <c r="H200" s="14"/>
      <c r="I200" s="14"/>
      <c r="J200" s="14"/>
      <c r="K200" s="14"/>
    </row>
    <row r="201" spans="2:11">
      <c r="B201" s="465" t="s">
        <v>1468</v>
      </c>
      <c r="C201" s="14"/>
      <c r="D201" s="14"/>
      <c r="E201" s="14"/>
      <c r="F201" s="14"/>
      <c r="G201" s="14"/>
      <c r="H201" s="14"/>
    </row>
    <row r="202" spans="2:11">
      <c r="B202" s="14"/>
      <c r="C202" s="14"/>
      <c r="D202" s="14"/>
      <c r="E202" s="14"/>
      <c r="F202" s="14"/>
      <c r="G202" s="14"/>
      <c r="H202" s="14"/>
    </row>
  </sheetData>
  <phoneticPr fontId="23" type="noConversion"/>
  <pageMargins left="0.7" right="0.7" top="0.75" bottom="0.75" header="0.3" footer="0.3"/>
  <pageSetup scale="70" orientation="portrait" cellComments="asDisplayed" r:id="rId1"/>
  <headerFooter>
    <oddHeader>&amp;CSchedule 24
CWIP TRR
&amp;RTO2022 Draft Annual Update 
Attachment 1</oddHeader>
    <oddFooter>&amp;R24-CWIPTRR</oddFooter>
  </headerFooter>
  <rowBreaks count="2" manualBreakCount="2">
    <brk id="71" max="16383" man="1"/>
    <brk id="13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zoomScaleNormal="100" workbookViewId="0"/>
  </sheetViews>
  <sheetFormatPr defaultRowHeight="12.5"/>
  <cols>
    <col min="1" max="1" width="4.54296875" customWidth="1"/>
    <col min="6" max="6" width="17.81640625" customWidth="1"/>
    <col min="7" max="7" width="21.54296875" customWidth="1"/>
    <col min="8" max="8" width="15.54296875" customWidth="1"/>
    <col min="9" max="9" width="14.54296875" customWidth="1"/>
  </cols>
  <sheetData>
    <row r="1" spans="1:12" ht="13">
      <c r="A1" s="1" t="s">
        <v>1318</v>
      </c>
      <c r="B1" s="227"/>
      <c r="C1" s="227"/>
      <c r="D1" s="227"/>
      <c r="E1" s="227"/>
      <c r="F1" s="227"/>
      <c r="G1" s="227"/>
      <c r="H1" s="227"/>
      <c r="I1" s="227"/>
      <c r="J1" s="227"/>
      <c r="K1" s="227"/>
      <c r="L1" s="227"/>
    </row>
    <row r="2" spans="1:12" ht="13">
      <c r="A2" s="1"/>
      <c r="B2" s="227"/>
      <c r="C2" s="1250" t="s">
        <v>2531</v>
      </c>
      <c r="D2" s="1488" t="s">
        <v>2808</v>
      </c>
      <c r="E2" s="1457"/>
      <c r="F2" s="958"/>
      <c r="G2" s="235"/>
      <c r="H2" s="437" t="s">
        <v>17</v>
      </c>
      <c r="I2" s="383"/>
      <c r="J2" s="227"/>
      <c r="K2" s="227"/>
      <c r="L2" s="227"/>
    </row>
    <row r="3" spans="1:12" ht="13">
      <c r="A3" s="1"/>
      <c r="B3" s="227" t="s">
        <v>1319</v>
      </c>
      <c r="C3" s="227"/>
      <c r="D3" s="227"/>
      <c r="E3" s="227"/>
      <c r="F3" s="227"/>
      <c r="G3" s="227"/>
      <c r="H3" s="235"/>
      <c r="I3" s="235"/>
      <c r="J3" s="227"/>
      <c r="K3" s="227"/>
      <c r="L3" s="227"/>
    </row>
    <row r="4" spans="1:12" ht="13">
      <c r="A4" s="1"/>
      <c r="B4" s="235" t="s">
        <v>1808</v>
      </c>
      <c r="C4" s="235"/>
      <c r="D4" s="235"/>
      <c r="E4" s="235"/>
      <c r="F4" s="235"/>
      <c r="G4" s="235"/>
      <c r="H4" s="235"/>
      <c r="I4" s="235"/>
      <c r="J4" s="227"/>
      <c r="K4" s="227"/>
      <c r="L4" s="227"/>
    </row>
    <row r="5" spans="1:12" ht="13">
      <c r="A5" s="1"/>
      <c r="B5" s="235" t="s">
        <v>1722</v>
      </c>
      <c r="C5" s="235"/>
      <c r="D5" s="235"/>
      <c r="E5" s="235"/>
      <c r="F5" s="235"/>
      <c r="G5" s="235"/>
      <c r="H5" s="235"/>
      <c r="I5" s="235"/>
      <c r="J5" s="227"/>
      <c r="K5" s="227"/>
      <c r="L5" s="227"/>
    </row>
    <row r="6" spans="1:12" ht="13">
      <c r="A6" s="1"/>
      <c r="B6" s="235"/>
      <c r="C6" s="235"/>
      <c r="D6" s="235"/>
      <c r="E6" s="235"/>
      <c r="F6" s="235"/>
      <c r="G6" s="235"/>
      <c r="H6" s="235"/>
      <c r="I6" s="235"/>
      <c r="J6" s="227"/>
      <c r="K6" s="227"/>
      <c r="L6" s="227"/>
    </row>
    <row r="7" spans="1:12" ht="13">
      <c r="A7" s="1"/>
      <c r="B7" s="235" t="s">
        <v>1809</v>
      </c>
      <c r="C7" s="235"/>
      <c r="D7" s="235"/>
      <c r="E7" s="235"/>
      <c r="F7" s="235"/>
      <c r="G7" s="235"/>
      <c r="H7" s="235"/>
      <c r="I7" s="235"/>
      <c r="J7" s="227"/>
      <c r="K7" s="227"/>
      <c r="L7" s="227"/>
    </row>
    <row r="8" spans="1:12" ht="13">
      <c r="A8" s="1"/>
      <c r="B8" s="235" t="s">
        <v>1320</v>
      </c>
      <c r="C8" s="235"/>
      <c r="D8" s="235"/>
      <c r="E8" s="235"/>
      <c r="F8" s="235"/>
      <c r="G8" s="235"/>
      <c r="H8" s="235"/>
      <c r="I8" s="235"/>
      <c r="J8" s="227"/>
      <c r="K8" s="227"/>
      <c r="L8" s="227"/>
    </row>
    <row r="9" spans="1:12" ht="13">
      <c r="A9" s="1"/>
      <c r="B9" s="235" t="s">
        <v>1321</v>
      </c>
      <c r="C9" s="235"/>
      <c r="D9" s="235"/>
      <c r="E9" s="235"/>
      <c r="F9" s="235"/>
      <c r="G9" s="235"/>
      <c r="H9" s="235"/>
      <c r="I9" s="235"/>
      <c r="J9" s="227"/>
      <c r="K9" s="227"/>
      <c r="L9" s="227"/>
    </row>
    <row r="10" spans="1:12" ht="13">
      <c r="A10" s="1"/>
      <c r="B10" s="235"/>
      <c r="C10" s="235"/>
      <c r="D10" s="235"/>
      <c r="E10" s="235"/>
      <c r="F10" s="235"/>
      <c r="G10" s="235"/>
      <c r="H10" s="438" t="s">
        <v>1322</v>
      </c>
      <c r="I10" s="235"/>
      <c r="J10" s="227"/>
      <c r="K10" s="227"/>
      <c r="L10" s="227"/>
    </row>
    <row r="11" spans="1:12" ht="14.5">
      <c r="A11" s="1"/>
      <c r="B11" s="235"/>
      <c r="C11" s="235"/>
      <c r="D11" s="235"/>
      <c r="E11" s="235"/>
      <c r="F11" s="235"/>
      <c r="G11" s="438" t="s">
        <v>173</v>
      </c>
      <c r="H11" s="904" t="s">
        <v>1323</v>
      </c>
      <c r="I11" s="438" t="s">
        <v>323</v>
      </c>
      <c r="J11" s="227"/>
      <c r="K11" s="227"/>
      <c r="L11" s="227"/>
    </row>
    <row r="12" spans="1:12" ht="13">
      <c r="A12" s="51" t="s">
        <v>329</v>
      </c>
      <c r="B12" s="235"/>
      <c r="C12" s="235"/>
      <c r="D12" s="235"/>
      <c r="E12" s="235"/>
      <c r="F12" s="235"/>
      <c r="G12" s="439" t="s">
        <v>287</v>
      </c>
      <c r="H12" s="439" t="s">
        <v>287</v>
      </c>
      <c r="I12" s="439" t="s">
        <v>1324</v>
      </c>
      <c r="J12" s="227"/>
      <c r="K12" s="227"/>
      <c r="L12" s="227"/>
    </row>
    <row r="13" spans="1:12" ht="13">
      <c r="A13" s="2">
        <v>1</v>
      </c>
      <c r="B13" s="235" t="s">
        <v>1325</v>
      </c>
      <c r="C13" s="235"/>
      <c r="D13" s="235"/>
      <c r="E13" s="235"/>
      <c r="F13" s="235"/>
      <c r="G13" s="440" t="s">
        <v>221</v>
      </c>
      <c r="H13" s="440" t="s">
        <v>221</v>
      </c>
      <c r="I13" s="838" t="s">
        <v>222</v>
      </c>
      <c r="J13" s="227"/>
      <c r="K13" s="227"/>
      <c r="L13" s="227"/>
    </row>
    <row r="14" spans="1:12" ht="13">
      <c r="A14" s="2">
        <f>A13+1</f>
        <v>2</v>
      </c>
      <c r="B14" s="235" t="s">
        <v>1326</v>
      </c>
      <c r="C14" s="235"/>
      <c r="D14" s="235"/>
      <c r="E14" s="235"/>
      <c r="F14" s="235"/>
      <c r="G14" s="440" t="s">
        <v>221</v>
      </c>
      <c r="H14" s="440" t="s">
        <v>221</v>
      </c>
      <c r="I14" s="440" t="s">
        <v>221</v>
      </c>
      <c r="J14" s="227"/>
      <c r="K14" s="227"/>
      <c r="L14" s="227"/>
    </row>
    <row r="15" spans="1:12" ht="13">
      <c r="A15" s="109">
        <f>A14+1</f>
        <v>3</v>
      </c>
      <c r="B15" s="235" t="s">
        <v>1500</v>
      </c>
      <c r="C15" s="235"/>
      <c r="D15" s="235"/>
      <c r="E15" s="235"/>
      <c r="F15" s="235"/>
      <c r="G15" s="440" t="s">
        <v>221</v>
      </c>
      <c r="H15" s="440" t="s">
        <v>221</v>
      </c>
      <c r="I15" s="440" t="s">
        <v>221</v>
      </c>
      <c r="J15" s="227"/>
      <c r="K15" s="227"/>
      <c r="L15" s="227"/>
    </row>
    <row r="16" spans="1:12" ht="13">
      <c r="A16" s="2">
        <f>A15+1</f>
        <v>4</v>
      </c>
      <c r="B16" s="235" t="s">
        <v>1327</v>
      </c>
      <c r="C16" s="235"/>
      <c r="D16" s="235"/>
      <c r="E16" s="235"/>
      <c r="F16" s="235"/>
      <c r="G16" s="440" t="s">
        <v>221</v>
      </c>
      <c r="H16" s="440" t="s">
        <v>221</v>
      </c>
      <c r="I16" s="440" t="s">
        <v>222</v>
      </c>
      <c r="J16" s="227"/>
      <c r="K16" s="227"/>
      <c r="L16" s="227"/>
    </row>
    <row r="17" spans="1:12" ht="13">
      <c r="A17" s="2">
        <f>A16+1</f>
        <v>5</v>
      </c>
      <c r="B17" s="235" t="s">
        <v>1328</v>
      </c>
      <c r="C17" s="235"/>
      <c r="D17" s="235"/>
      <c r="E17" s="235"/>
      <c r="F17" s="235"/>
      <c r="G17" s="440" t="s">
        <v>222</v>
      </c>
      <c r="H17" s="440" t="s">
        <v>221</v>
      </c>
      <c r="I17" s="440" t="s">
        <v>222</v>
      </c>
      <c r="J17" s="227"/>
      <c r="K17" s="227"/>
      <c r="L17" s="227"/>
    </row>
    <row r="18" spans="1:12" ht="13">
      <c r="A18" s="109">
        <f>A17+1</f>
        <v>6</v>
      </c>
      <c r="B18" s="235" t="s">
        <v>2278</v>
      </c>
      <c r="C18" s="235"/>
      <c r="D18" s="235"/>
      <c r="E18" s="235"/>
      <c r="F18" s="235"/>
      <c r="G18" s="440" t="s">
        <v>222</v>
      </c>
      <c r="H18" s="440" t="s">
        <v>221</v>
      </c>
      <c r="I18" s="440" t="s">
        <v>222</v>
      </c>
      <c r="J18" s="227"/>
      <c r="K18" s="227"/>
      <c r="L18" s="227"/>
    </row>
    <row r="19" spans="1:12">
      <c r="A19" s="227"/>
      <c r="B19" s="227"/>
      <c r="C19" s="441"/>
      <c r="D19" s="235"/>
      <c r="E19" s="235"/>
      <c r="F19" s="235"/>
      <c r="G19" s="227"/>
      <c r="H19" s="227"/>
      <c r="I19" s="227"/>
      <c r="J19" s="227"/>
      <c r="K19" s="227"/>
      <c r="L19" s="227"/>
    </row>
    <row r="20" spans="1:12" ht="13">
      <c r="A20" s="227"/>
      <c r="B20" s="382" t="s">
        <v>1329</v>
      </c>
      <c r="C20" s="367"/>
      <c r="D20" s="235"/>
      <c r="E20" s="235"/>
      <c r="F20" s="235"/>
      <c r="G20" s="227"/>
      <c r="H20" s="227"/>
      <c r="I20" s="227"/>
      <c r="J20" s="227"/>
      <c r="K20" s="227"/>
      <c r="L20" s="227"/>
    </row>
    <row r="21" spans="1:12" ht="13">
      <c r="A21" s="227"/>
      <c r="B21" s="382"/>
      <c r="C21" s="367"/>
      <c r="D21" s="235"/>
      <c r="E21" s="235"/>
      <c r="F21" s="235"/>
      <c r="G21" s="227"/>
      <c r="H21" s="227"/>
      <c r="I21" s="227"/>
      <c r="J21" s="227"/>
      <c r="K21" s="227"/>
      <c r="L21" s="227"/>
    </row>
    <row r="22" spans="1:12" ht="13">
      <c r="A22" s="227"/>
      <c r="B22" s="442" t="s">
        <v>1330</v>
      </c>
      <c r="C22" s="369"/>
      <c r="D22" s="235"/>
      <c r="E22" s="235"/>
      <c r="F22" s="235"/>
      <c r="G22" s="227"/>
      <c r="H22" s="227"/>
      <c r="I22" s="227"/>
      <c r="J22" s="227"/>
      <c r="K22" s="227"/>
      <c r="L22" s="227"/>
    </row>
    <row r="23" spans="1:12">
      <c r="A23" s="227"/>
      <c r="B23" s="241" t="s">
        <v>2287</v>
      </c>
      <c r="C23" s="369"/>
      <c r="D23" s="235"/>
      <c r="E23" s="235"/>
      <c r="F23" s="235"/>
      <c r="G23" s="227"/>
      <c r="H23" s="227"/>
      <c r="I23" s="227"/>
      <c r="J23" s="227"/>
      <c r="K23" s="227"/>
      <c r="L23" s="227"/>
    </row>
    <row r="24" spans="1:12">
      <c r="A24" s="227"/>
      <c r="B24" s="241" t="s">
        <v>1331</v>
      </c>
      <c r="C24" s="227"/>
      <c r="D24" s="227"/>
      <c r="E24" s="227"/>
      <c r="F24" s="227"/>
      <c r="G24" s="227"/>
      <c r="H24" s="227"/>
      <c r="I24" s="227"/>
      <c r="J24" s="227"/>
      <c r="K24" s="227"/>
      <c r="L24" s="227"/>
    </row>
    <row r="25" spans="1:12" ht="13">
      <c r="A25" s="227"/>
      <c r="B25" s="227"/>
      <c r="C25" s="227"/>
      <c r="D25" s="227"/>
      <c r="E25" s="227"/>
      <c r="F25" s="227"/>
      <c r="G25" s="227"/>
      <c r="H25" s="84" t="s">
        <v>358</v>
      </c>
      <c r="I25" s="84" t="s">
        <v>342</v>
      </c>
      <c r="J25" s="227"/>
      <c r="K25" s="227"/>
      <c r="L25" s="227"/>
    </row>
    <row r="26" spans="1:12" ht="13">
      <c r="A26" s="227"/>
      <c r="B26" s="227"/>
      <c r="C26" s="227"/>
      <c r="D26" s="227"/>
      <c r="E26" s="227"/>
      <c r="F26" s="227"/>
      <c r="G26" s="227"/>
      <c r="H26" s="443" t="s">
        <v>1332</v>
      </c>
      <c r="I26" s="227"/>
      <c r="J26" s="227"/>
      <c r="K26" s="227"/>
      <c r="L26" s="227"/>
    </row>
    <row r="27" spans="1:12" ht="13">
      <c r="A27" s="227"/>
      <c r="B27" s="227"/>
      <c r="C27" s="227"/>
      <c r="D27" s="227"/>
      <c r="E27" s="227"/>
      <c r="F27" s="227"/>
      <c r="G27" s="227"/>
      <c r="H27" s="443" t="s">
        <v>287</v>
      </c>
      <c r="I27" s="230" t="s">
        <v>1333</v>
      </c>
      <c r="J27" s="227"/>
      <c r="K27" s="227"/>
      <c r="L27" s="227"/>
    </row>
    <row r="28" spans="1:12" ht="13">
      <c r="A28" s="227"/>
      <c r="B28" s="227"/>
      <c r="C28" s="227"/>
      <c r="D28" s="227"/>
      <c r="E28" s="227"/>
      <c r="F28" s="227"/>
      <c r="G28" s="26" t="s">
        <v>194</v>
      </c>
      <c r="H28" s="230" t="s">
        <v>1334</v>
      </c>
      <c r="I28" s="230" t="s">
        <v>1335</v>
      </c>
      <c r="J28" s="227"/>
      <c r="K28" s="227"/>
      <c r="L28" s="227"/>
    </row>
    <row r="29" spans="1:12" ht="14.5">
      <c r="A29" s="51"/>
      <c r="B29" s="227"/>
      <c r="C29" s="227"/>
      <c r="D29" s="227"/>
      <c r="E29" s="227"/>
      <c r="F29" s="227"/>
      <c r="G29" s="25" t="s">
        <v>179</v>
      </c>
      <c r="H29" s="444" t="s">
        <v>1336</v>
      </c>
      <c r="I29" s="238" t="s">
        <v>1323</v>
      </c>
      <c r="J29" s="361"/>
      <c r="K29" s="227"/>
      <c r="L29" s="227"/>
    </row>
    <row r="30" spans="1:12" ht="13">
      <c r="A30" s="109">
        <f>A18+1</f>
        <v>7</v>
      </c>
      <c r="B30" s="235"/>
      <c r="C30" s="235" t="s">
        <v>1337</v>
      </c>
      <c r="D30" s="235"/>
      <c r="E30" s="235"/>
      <c r="F30" s="235"/>
      <c r="G30" s="46" t="s">
        <v>1338</v>
      </c>
      <c r="H30" s="231">
        <v>31556000</v>
      </c>
      <c r="I30" s="229">
        <v>-2176300</v>
      </c>
      <c r="J30" s="227"/>
      <c r="K30" s="227"/>
      <c r="L30" s="227"/>
    </row>
    <row r="31" spans="1:12" ht="13">
      <c r="A31" s="109">
        <f>A30+1</f>
        <v>8</v>
      </c>
      <c r="B31" s="235"/>
      <c r="C31" s="235" t="s">
        <v>1339</v>
      </c>
      <c r="D31" s="235"/>
      <c r="E31" s="235"/>
      <c r="F31" s="235"/>
      <c r="G31" s="46" t="s">
        <v>1338</v>
      </c>
      <c r="H31" s="229">
        <v>-35044000</v>
      </c>
      <c r="I31" s="229">
        <v>2503000</v>
      </c>
      <c r="J31" s="227"/>
      <c r="K31" s="227"/>
      <c r="L31" s="227"/>
    </row>
    <row r="32" spans="1:12" ht="13">
      <c r="A32" s="109">
        <f>A31+1</f>
        <v>9</v>
      </c>
      <c r="B32" s="235"/>
      <c r="C32" s="235" t="s">
        <v>1501</v>
      </c>
      <c r="D32" s="235"/>
      <c r="E32" s="235"/>
      <c r="F32" s="235"/>
      <c r="G32" s="46" t="s">
        <v>1338</v>
      </c>
      <c r="H32" s="231">
        <v>-624650</v>
      </c>
      <c r="I32" s="231">
        <v>43100</v>
      </c>
      <c r="J32" s="227"/>
      <c r="K32" s="227"/>
      <c r="L32" s="227"/>
    </row>
    <row r="33" spans="1:12" ht="13">
      <c r="A33" s="109">
        <f>A32+1</f>
        <v>10</v>
      </c>
      <c r="B33" s="235"/>
      <c r="C33" s="235" t="s">
        <v>1340</v>
      </c>
      <c r="D33" s="235"/>
      <c r="E33" s="235"/>
      <c r="F33" s="235"/>
      <c r="G33" s="46" t="s">
        <v>1338</v>
      </c>
      <c r="H33" s="360">
        <v>-7410000</v>
      </c>
      <c r="I33" s="445">
        <v>511200</v>
      </c>
      <c r="J33" s="227"/>
      <c r="K33" s="227"/>
      <c r="L33" s="227"/>
    </row>
    <row r="34" spans="1:12" ht="13">
      <c r="A34" s="109">
        <f>A33+1</f>
        <v>11</v>
      </c>
      <c r="B34" s="235"/>
      <c r="C34" s="235"/>
      <c r="D34" s="235"/>
      <c r="E34" s="235"/>
      <c r="F34" s="14"/>
      <c r="G34" s="858" t="s">
        <v>197</v>
      </c>
      <c r="H34" s="231">
        <f>SUM(H30:H33)</f>
        <v>-11522650</v>
      </c>
      <c r="I34" s="231">
        <f>SUM(I30:I33)</f>
        <v>881000</v>
      </c>
      <c r="J34" s="227"/>
      <c r="K34" s="227"/>
      <c r="L34" s="227"/>
    </row>
    <row r="35" spans="1:12" ht="13">
      <c r="A35" s="109"/>
      <c r="B35" s="235"/>
      <c r="C35" s="235"/>
      <c r="D35" s="235"/>
      <c r="E35" s="235"/>
      <c r="F35" s="14"/>
      <c r="G35" s="858"/>
      <c r="H35" s="229"/>
      <c r="I35" s="229"/>
      <c r="J35" s="227"/>
      <c r="K35" s="227"/>
      <c r="L35" s="227"/>
    </row>
    <row r="36" spans="1:12" ht="13">
      <c r="A36" s="109"/>
      <c r="B36" s="905" t="s">
        <v>1341</v>
      </c>
      <c r="C36" s="235"/>
      <c r="D36" s="235"/>
      <c r="E36" s="235"/>
      <c r="F36" s="14"/>
      <c r="G36" s="858"/>
      <c r="H36" s="229"/>
      <c r="I36" s="229"/>
      <c r="J36" s="227"/>
      <c r="K36" s="227"/>
      <c r="L36" s="227"/>
    </row>
    <row r="37" spans="1:12" ht="13">
      <c r="A37" s="109"/>
      <c r="B37" s="450" t="s">
        <v>1613</v>
      </c>
      <c r="C37" s="235"/>
      <c r="D37" s="235"/>
      <c r="E37" s="235"/>
      <c r="F37" s="14"/>
      <c r="G37" s="858"/>
      <c r="H37" s="229"/>
      <c r="I37" s="229"/>
      <c r="J37" s="227"/>
      <c r="K37" s="227"/>
      <c r="L37" s="227"/>
    </row>
    <row r="38" spans="1:12" ht="13">
      <c r="A38" s="109"/>
      <c r="B38" s="450" t="s">
        <v>1342</v>
      </c>
      <c r="C38" s="235"/>
      <c r="D38" s="235"/>
      <c r="E38" s="235"/>
      <c r="F38" s="14"/>
      <c r="G38" s="858"/>
      <c r="H38" s="229"/>
      <c r="I38" s="229"/>
      <c r="J38" s="227"/>
      <c r="K38" s="227"/>
      <c r="L38" s="227"/>
    </row>
    <row r="39" spans="1:12" ht="13">
      <c r="A39" s="438"/>
      <c r="B39" s="235"/>
      <c r="C39" s="235"/>
      <c r="D39" s="235"/>
      <c r="E39" s="235"/>
      <c r="F39" s="235"/>
      <c r="G39" s="411" t="s">
        <v>194</v>
      </c>
      <c r="H39" s="227"/>
      <c r="I39" s="227"/>
      <c r="J39" s="227"/>
      <c r="K39" s="227"/>
      <c r="L39" s="227"/>
    </row>
    <row r="40" spans="1:12" ht="13">
      <c r="A40" s="438"/>
      <c r="B40" s="906"/>
      <c r="C40" s="367"/>
      <c r="D40" s="235"/>
      <c r="E40" s="235"/>
      <c r="F40" s="235"/>
      <c r="G40" s="29" t="s">
        <v>179</v>
      </c>
      <c r="H40" s="3" t="s">
        <v>171</v>
      </c>
      <c r="I40" s="447" t="s">
        <v>1343</v>
      </c>
      <c r="J40" s="227"/>
      <c r="K40" s="227"/>
      <c r="L40" s="227"/>
    </row>
    <row r="41" spans="1:12" ht="13">
      <c r="A41" s="109">
        <f>A34+1</f>
        <v>12</v>
      </c>
      <c r="B41" s="450" t="s">
        <v>1344</v>
      </c>
      <c r="C41" s="235"/>
      <c r="D41" s="235"/>
      <c r="E41" s="235"/>
      <c r="F41" s="235"/>
      <c r="G41" s="450" t="str">
        <f>"2-IFPTRR Line "&amp;'2-IFPTRR'!A25&amp;""</f>
        <v>2-IFPTRR Line 16</v>
      </c>
      <c r="H41" s="359">
        <f>'2-IFPTRR'!D25</f>
        <v>9.3437363478466151E-2</v>
      </c>
      <c r="I41" s="243">
        <v>1</v>
      </c>
      <c r="J41" s="227"/>
      <c r="K41" s="227"/>
      <c r="L41" s="227"/>
    </row>
    <row r="42" spans="1:12" ht="13">
      <c r="A42" s="109">
        <f>A41+1</f>
        <v>13</v>
      </c>
      <c r="B42" s="450" t="s">
        <v>63</v>
      </c>
      <c r="C42" s="235"/>
      <c r="D42" s="235"/>
      <c r="E42" s="235"/>
      <c r="F42" s="235"/>
      <c r="G42" s="450"/>
      <c r="H42" s="448">
        <v>2020</v>
      </c>
      <c r="I42" s="243">
        <v>2</v>
      </c>
      <c r="J42" s="227"/>
      <c r="K42" s="227"/>
      <c r="L42" s="227"/>
    </row>
    <row r="43" spans="1:12" ht="13">
      <c r="A43" s="109">
        <f>A42+1</f>
        <v>14</v>
      </c>
      <c r="B43" s="450" t="s">
        <v>1345</v>
      </c>
      <c r="C43" s="235"/>
      <c r="D43" s="235"/>
      <c r="E43" s="235"/>
      <c r="F43" s="235"/>
      <c r="G43" s="231"/>
      <c r="H43" s="229">
        <f>H34+ (I34*(H42-2010))</f>
        <v>-2712650</v>
      </c>
      <c r="I43" s="440">
        <v>3</v>
      </c>
      <c r="J43" s="227"/>
      <c r="K43" s="227"/>
      <c r="L43" s="227"/>
    </row>
    <row r="44" spans="1:12" ht="13">
      <c r="A44" s="109">
        <f>A43+1</f>
        <v>15</v>
      </c>
      <c r="B44" s="450" t="s">
        <v>1346</v>
      </c>
      <c r="C44" s="367"/>
      <c r="D44" s="235"/>
      <c r="E44" s="235"/>
      <c r="F44" s="235"/>
      <c r="G44" s="46" t="str">
        <f>"Line "&amp;A43&amp;" * Line "&amp;A41&amp;""</f>
        <v>Line 14 * Line 12</v>
      </c>
      <c r="H44" s="231">
        <f xml:space="preserve"> H43*H41</f>
        <v>-253462.86403986122</v>
      </c>
      <c r="I44" s="227"/>
      <c r="J44" s="227"/>
      <c r="K44" s="227"/>
      <c r="L44" s="227"/>
    </row>
    <row r="45" spans="1:12">
      <c r="A45" s="14"/>
      <c r="B45" s="14"/>
      <c r="C45" s="14"/>
      <c r="D45" s="14"/>
      <c r="E45" s="14"/>
      <c r="F45" s="14"/>
      <c r="G45" s="14"/>
      <c r="L45" s="227"/>
    </row>
    <row r="46" spans="1:12" ht="13">
      <c r="B46" s="382" t="s">
        <v>1506</v>
      </c>
      <c r="L46" s="227"/>
    </row>
    <row r="47" spans="1:12">
      <c r="L47" s="227"/>
    </row>
    <row r="48" spans="1:12">
      <c r="B48" s="227" t="str">
        <f>"The annual Wholesale Expense Difference impact is the negative of amounts stated in Lines "&amp;A30&amp;" to "&amp;A33&amp;" above, Column 2."</f>
        <v>The annual Wholesale Expense Difference impact is the negative of amounts stated in Lines 7 to 10 above, Column 2.</v>
      </c>
      <c r="L48" s="227"/>
    </row>
    <row r="49" spans="1:12">
      <c r="B49" s="227" t="s">
        <v>1373</v>
      </c>
      <c r="L49" s="227"/>
    </row>
    <row r="50" spans="1:12">
      <c r="A50" s="227"/>
      <c r="B50" s="227" t="s">
        <v>1614</v>
      </c>
      <c r="C50" s="227"/>
      <c r="D50" s="227"/>
      <c r="E50" s="227"/>
      <c r="F50" s="227"/>
      <c r="G50" s="227"/>
      <c r="H50" s="227"/>
      <c r="I50" s="227"/>
      <c r="J50" s="227"/>
      <c r="K50" s="227"/>
      <c r="L50" s="227"/>
    </row>
    <row r="52" spans="1:12" ht="13">
      <c r="A52" s="227"/>
      <c r="B52" s="70" t="s">
        <v>1347</v>
      </c>
      <c r="C52" s="227"/>
      <c r="D52" s="227"/>
      <c r="E52" s="227"/>
      <c r="F52" s="227"/>
      <c r="G52" s="227"/>
      <c r="H52" s="227"/>
      <c r="I52" s="227"/>
      <c r="J52" s="227"/>
      <c r="K52" s="227"/>
      <c r="L52" s="227"/>
    </row>
    <row r="53" spans="1:12" ht="13">
      <c r="A53" s="227"/>
      <c r="B53" s="227"/>
      <c r="C53" s="227"/>
      <c r="D53" s="227"/>
      <c r="E53" s="227"/>
      <c r="F53" s="227"/>
      <c r="G53" s="26"/>
      <c r="H53" s="227"/>
      <c r="I53" s="227"/>
      <c r="J53" s="227"/>
      <c r="K53" s="227"/>
      <c r="L53" s="227"/>
    </row>
    <row r="54" spans="1:12" ht="13">
      <c r="B54" s="227"/>
      <c r="C54" s="227"/>
      <c r="D54" s="227"/>
      <c r="E54" s="227"/>
      <c r="F54" s="227"/>
      <c r="G54" s="25" t="s">
        <v>179</v>
      </c>
      <c r="H54" s="3" t="s">
        <v>171</v>
      </c>
      <c r="I54" s="227"/>
      <c r="J54" s="361"/>
      <c r="K54" s="227"/>
      <c r="L54" s="227"/>
    </row>
    <row r="55" spans="1:12" ht="13">
      <c r="A55" s="109">
        <f>A44+1</f>
        <v>16</v>
      </c>
      <c r="B55" s="450" t="s">
        <v>1348</v>
      </c>
      <c r="C55" s="235"/>
      <c r="D55" s="235"/>
      <c r="E55" s="235"/>
      <c r="F55" s="235"/>
      <c r="G55" s="46" t="str">
        <f>"Line "&amp;A31&amp;""</f>
        <v>Line 8</v>
      </c>
      <c r="H55" s="229">
        <f>I31</f>
        <v>2503000</v>
      </c>
      <c r="I55" s="227"/>
      <c r="J55" s="227"/>
      <c r="K55" s="227"/>
      <c r="L55" s="227"/>
    </row>
    <row r="56" spans="1:12" ht="13">
      <c r="A56" s="109">
        <f>A55+1</f>
        <v>17</v>
      </c>
      <c r="B56" s="46" t="s">
        <v>289</v>
      </c>
      <c r="C56" s="235"/>
      <c r="D56" s="235"/>
      <c r="E56" s="235"/>
      <c r="F56" s="235"/>
      <c r="G56" s="450" t="str">
        <f>"1-BaseTRR L "&amp;'1-BaseTRR'!A104&amp;""</f>
        <v>1-BaseTRR L 59</v>
      </c>
      <c r="H56" s="380">
        <f>'1-BaseTRR'!K104</f>
        <v>0.27983599999999997</v>
      </c>
      <c r="I56" s="227"/>
      <c r="J56" s="227"/>
      <c r="K56" s="227"/>
      <c r="L56" s="227"/>
    </row>
    <row r="57" spans="1:12" ht="13">
      <c r="A57" s="109">
        <f>A56+1</f>
        <v>18</v>
      </c>
      <c r="B57" s="46" t="s">
        <v>1372</v>
      </c>
      <c r="C57" s="235"/>
      <c r="D57" s="235"/>
      <c r="E57" s="235"/>
      <c r="F57" s="235"/>
      <c r="G57" s="849" t="s">
        <v>288</v>
      </c>
      <c r="H57" s="449">
        <f>1/(1-H56)</f>
        <v>1.3885726029071155</v>
      </c>
      <c r="I57" s="227"/>
      <c r="J57" s="227"/>
      <c r="K57" s="227"/>
      <c r="L57" s="227"/>
    </row>
    <row r="58" spans="1:12" ht="13">
      <c r="A58" s="109">
        <f>A57+1</f>
        <v>19</v>
      </c>
      <c r="B58" s="46" t="s">
        <v>331</v>
      </c>
      <c r="C58" s="235"/>
      <c r="D58" s="235"/>
      <c r="E58" s="235"/>
      <c r="F58" s="235"/>
      <c r="G58" s="235"/>
      <c r="H58" s="227"/>
      <c r="I58" s="227"/>
      <c r="J58" s="227"/>
      <c r="K58" s="227"/>
      <c r="L58" s="227"/>
    </row>
    <row r="59" spans="1:12" ht="13">
      <c r="A59" s="109">
        <f>A58+1</f>
        <v>20</v>
      </c>
      <c r="B59" s="46" t="s">
        <v>330</v>
      </c>
      <c r="C59" s="235"/>
      <c r="D59" s="235"/>
      <c r="E59" s="235"/>
      <c r="F59" s="235"/>
      <c r="G59" s="46" t="str">
        <f>"- Line "&amp;A55&amp;" * Line "&amp;A57&amp;""</f>
        <v>- Line 16 * Line 18</v>
      </c>
      <c r="H59" s="229">
        <f>-H57*H55</f>
        <v>-3475597.2250765101</v>
      </c>
      <c r="I59" s="227"/>
      <c r="J59" s="227"/>
      <c r="K59" s="227"/>
      <c r="L59" s="227"/>
    </row>
    <row r="60" spans="1:12">
      <c r="A60" s="14"/>
      <c r="B60" s="14"/>
      <c r="C60" s="14"/>
      <c r="D60" s="14"/>
      <c r="E60" s="14"/>
      <c r="F60" s="14"/>
      <c r="G60" s="14"/>
    </row>
    <row r="61" spans="1:12" ht="13">
      <c r="A61" s="14"/>
      <c r="B61" s="907" t="s">
        <v>1503</v>
      </c>
      <c r="C61" s="14"/>
      <c r="D61" s="14"/>
      <c r="E61" s="14"/>
      <c r="F61" s="14"/>
      <c r="G61" s="14"/>
    </row>
    <row r="62" spans="1:12">
      <c r="A62" s="14"/>
      <c r="B62" s="14"/>
      <c r="C62" s="14"/>
      <c r="D62" s="14"/>
      <c r="E62" s="14"/>
      <c r="F62" s="14"/>
      <c r="G62" s="14"/>
    </row>
    <row r="63" spans="1:12" ht="13">
      <c r="A63" s="14"/>
      <c r="B63" s="14"/>
      <c r="C63" s="14"/>
      <c r="D63" s="14"/>
      <c r="E63" s="14"/>
      <c r="F63" s="14"/>
      <c r="G63" s="29" t="s">
        <v>179</v>
      </c>
      <c r="H63" s="3" t="s">
        <v>171</v>
      </c>
    </row>
    <row r="64" spans="1:12" ht="13">
      <c r="A64" s="109">
        <f>A59+1</f>
        <v>21</v>
      </c>
      <c r="B64" s="450" t="s">
        <v>1502</v>
      </c>
      <c r="C64" s="14"/>
      <c r="D64" s="14"/>
      <c r="E64" s="14"/>
      <c r="F64" s="14"/>
      <c r="G64" s="46" t="str">
        <f>"Line "&amp;A32&amp;""</f>
        <v>Line 9</v>
      </c>
      <c r="H64" s="7">
        <f>I32</f>
        <v>43100</v>
      </c>
    </row>
    <row r="65" spans="1:12" ht="13">
      <c r="A65" s="109">
        <f>A64+1</f>
        <v>22</v>
      </c>
      <c r="B65" s="46" t="s">
        <v>1372</v>
      </c>
      <c r="C65" s="235"/>
      <c r="D65" s="235"/>
      <c r="E65" s="235"/>
      <c r="F65" s="235"/>
      <c r="G65" s="46" t="str">
        <f>"Line "&amp;A57&amp;""</f>
        <v>Line 18</v>
      </c>
      <c r="H65" s="449">
        <f>H57</f>
        <v>1.3885726029071155</v>
      </c>
    </row>
    <row r="66" spans="1:12" ht="13">
      <c r="A66" s="109">
        <f>A65+1</f>
        <v>23</v>
      </c>
      <c r="B66" s="450" t="s">
        <v>1504</v>
      </c>
      <c r="C66" s="14"/>
      <c r="D66" s="14"/>
      <c r="E66" s="14"/>
      <c r="F66" s="14"/>
      <c r="G66" s="46" t="str">
        <f>"- Line "&amp;A64&amp;" * Line "&amp;A65&amp;""</f>
        <v>- Line 21 * Line 22</v>
      </c>
      <c r="H66" s="7">
        <f>-H64*H65</f>
        <v>-59847.479185296681</v>
      </c>
    </row>
    <row r="67" spans="1:12" ht="13">
      <c r="A67" s="109">
        <f t="shared" ref="A67:A74" si="0">A66+1</f>
        <v>24</v>
      </c>
      <c r="B67" s="450"/>
      <c r="C67" s="14"/>
      <c r="D67" s="14"/>
      <c r="E67" s="14"/>
      <c r="F67" s="14"/>
      <c r="G67" s="46"/>
      <c r="H67" s="7"/>
    </row>
    <row r="68" spans="1:12" ht="13">
      <c r="A68" s="109">
        <f t="shared" si="0"/>
        <v>25</v>
      </c>
      <c r="B68" s="907" t="s">
        <v>2279</v>
      </c>
      <c r="C68" s="14"/>
      <c r="D68" s="14"/>
      <c r="E68" s="14"/>
      <c r="F68" s="14"/>
      <c r="G68" s="46"/>
      <c r="H68" s="7"/>
    </row>
    <row r="69" spans="1:12" ht="13">
      <c r="A69" s="109">
        <f t="shared" si="0"/>
        <v>26</v>
      </c>
      <c r="B69" s="450"/>
      <c r="C69" s="14"/>
      <c r="D69" s="14"/>
      <c r="E69" s="14"/>
      <c r="F69" s="14"/>
      <c r="G69" s="29" t="s">
        <v>179</v>
      </c>
      <c r="H69" s="7"/>
      <c r="I69" s="539" t="s">
        <v>1343</v>
      </c>
    </row>
    <row r="70" spans="1:12" ht="13">
      <c r="A70" s="109">
        <f t="shared" si="0"/>
        <v>27</v>
      </c>
      <c r="B70" s="450" t="s">
        <v>2280</v>
      </c>
      <c r="C70" s="14"/>
      <c r="D70" s="14"/>
      <c r="E70" s="14"/>
      <c r="F70" s="14"/>
      <c r="G70" s="462" t="s">
        <v>33</v>
      </c>
      <c r="H70" s="977">
        <v>46948</v>
      </c>
      <c r="I70" s="462" t="s">
        <v>1168</v>
      </c>
    </row>
    <row r="71" spans="1:12" ht="13">
      <c r="A71" s="109">
        <f t="shared" si="0"/>
        <v>28</v>
      </c>
      <c r="B71" s="450" t="s">
        <v>2281</v>
      </c>
      <c r="C71" s="14"/>
      <c r="D71" s="14"/>
      <c r="E71" s="14"/>
      <c r="F71" s="14"/>
      <c r="G71" s="462" t="s">
        <v>33</v>
      </c>
      <c r="H71" s="977">
        <v>468351</v>
      </c>
      <c r="I71" s="16" t="s">
        <v>1168</v>
      </c>
    </row>
    <row r="72" spans="1:12" ht="13">
      <c r="A72" s="109">
        <f t="shared" si="0"/>
        <v>29</v>
      </c>
      <c r="B72" s="450" t="s">
        <v>2282</v>
      </c>
      <c r="C72" s="14"/>
      <c r="D72" s="14"/>
      <c r="E72" s="14"/>
      <c r="F72" s="14"/>
      <c r="G72" s="849" t="str">
        <f>"Line "&amp;A70&amp;" + "&amp;A71&amp;""</f>
        <v>Line 27 + 28</v>
      </c>
      <c r="H72" s="908">
        <f>SUM(H70:H71)</f>
        <v>515299</v>
      </c>
    </row>
    <row r="73" spans="1:12" ht="13">
      <c r="A73" s="109">
        <f t="shared" si="0"/>
        <v>30</v>
      </c>
      <c r="B73" s="450" t="s">
        <v>93</v>
      </c>
      <c r="C73" s="14"/>
      <c r="D73" s="14"/>
      <c r="E73" s="14"/>
      <c r="F73" s="14"/>
      <c r="G73" s="450" t="str">
        <f>"27-Allocators, Line "&amp;'27-Allocators'!A15&amp;""</f>
        <v>27-Allocators, Line 9</v>
      </c>
      <c r="H73" s="49">
        <f>'27-Allocators'!G15</f>
        <v>6.9804259326257695E-2</v>
      </c>
    </row>
    <row r="74" spans="1:12" ht="13">
      <c r="A74" s="109">
        <f t="shared" si="0"/>
        <v>31</v>
      </c>
      <c r="B74" s="450" t="s">
        <v>2283</v>
      </c>
      <c r="C74" s="14"/>
      <c r="D74" s="14"/>
      <c r="E74" s="14"/>
      <c r="F74" s="14"/>
      <c r="G74" s="849" t="str">
        <f>"Line "&amp;A72&amp;" * "&amp;A73&amp;""</f>
        <v>Line 29 * 30</v>
      </c>
      <c r="H74" s="63">
        <f>H72*H73</f>
        <v>35970.065026561264</v>
      </c>
    </row>
    <row r="75" spans="1:12">
      <c r="G75" s="14"/>
    </row>
    <row r="76" spans="1:12" ht="13">
      <c r="A76" s="235"/>
      <c r="B76" s="905" t="s">
        <v>1810</v>
      </c>
      <c r="C76" s="235"/>
      <c r="D76" s="235"/>
      <c r="E76" s="235"/>
      <c r="F76" s="235"/>
      <c r="G76" s="235"/>
      <c r="H76" s="235"/>
      <c r="I76" s="447" t="s">
        <v>1343</v>
      </c>
      <c r="J76" s="227"/>
      <c r="K76" s="227"/>
      <c r="L76" s="227"/>
    </row>
    <row r="77" spans="1:12" ht="13">
      <c r="A77" s="109">
        <f>A74+1</f>
        <v>32</v>
      </c>
      <c r="B77" s="441" t="s">
        <v>1523</v>
      </c>
      <c r="C77" s="235"/>
      <c r="D77" s="235"/>
      <c r="E77" s="235"/>
      <c r="F77" s="235"/>
      <c r="G77" s="450" t="str">
        <f>" - Line "&amp;A30&amp;", Col. 2"</f>
        <v xml:space="preserve"> - Line 7, Col. 2</v>
      </c>
      <c r="H77" s="231">
        <f>-I30</f>
        <v>2176300</v>
      </c>
      <c r="I77" s="227"/>
      <c r="J77" s="227"/>
      <c r="K77" s="227"/>
      <c r="L77" s="227"/>
    </row>
    <row r="78" spans="1:12" ht="13">
      <c r="A78" s="109">
        <f>A77+1</f>
        <v>33</v>
      </c>
      <c r="B78" s="441" t="s">
        <v>1339</v>
      </c>
      <c r="C78" s="235"/>
      <c r="D78" s="235"/>
      <c r="E78" s="235"/>
      <c r="F78" s="235"/>
      <c r="G78" s="450" t="str">
        <f>"Line "&amp;A59&amp;""</f>
        <v>Line 20</v>
      </c>
      <c r="H78" s="231">
        <f>H59</f>
        <v>-3475597.2250765101</v>
      </c>
      <c r="I78" s="227"/>
      <c r="J78" s="227"/>
      <c r="K78" s="227"/>
      <c r="L78" s="227"/>
    </row>
    <row r="79" spans="1:12" ht="13">
      <c r="A79" s="109">
        <f>A78+1</f>
        <v>34</v>
      </c>
      <c r="B79" s="441" t="s">
        <v>1501</v>
      </c>
      <c r="C79" s="235"/>
      <c r="D79" s="235"/>
      <c r="E79" s="235"/>
      <c r="F79" s="235"/>
      <c r="G79" s="450" t="str">
        <f>"Line "&amp;A66&amp;""</f>
        <v>Line 23</v>
      </c>
      <c r="H79" s="231">
        <f>H66</f>
        <v>-59847.479185296681</v>
      </c>
      <c r="I79" s="227"/>
      <c r="J79" s="227"/>
      <c r="K79" s="227"/>
      <c r="L79" s="227"/>
    </row>
    <row r="80" spans="1:12" ht="13">
      <c r="A80" s="109">
        <f>A79+1</f>
        <v>35</v>
      </c>
      <c r="B80" s="441" t="s">
        <v>1340</v>
      </c>
      <c r="C80" s="235"/>
      <c r="D80" s="235"/>
      <c r="E80" s="235"/>
      <c r="F80" s="235"/>
      <c r="G80" s="450" t="str">
        <f>"- Line "&amp;A33&amp;", Col. 2"</f>
        <v>- Line 10, Col. 2</v>
      </c>
      <c r="H80" s="231">
        <f>-I33</f>
        <v>-511200</v>
      </c>
      <c r="I80" s="227"/>
      <c r="J80" s="227"/>
      <c r="K80" s="227"/>
      <c r="L80" s="227"/>
    </row>
    <row r="81" spans="1:12" ht="13">
      <c r="A81" s="109">
        <f t="shared" ref="A81:A83" si="1">A80+1</f>
        <v>36</v>
      </c>
      <c r="B81" s="441" t="s">
        <v>2284</v>
      </c>
      <c r="C81" s="235"/>
      <c r="D81" s="235"/>
      <c r="E81" s="235"/>
      <c r="F81" s="235"/>
      <c r="G81" s="849" t="str">
        <f>" - Line "&amp;A74&amp;""</f>
        <v xml:space="preserve"> - Line 31</v>
      </c>
      <c r="H81" s="231">
        <f>-H74</f>
        <v>-35970.065026561264</v>
      </c>
      <c r="I81" s="227"/>
      <c r="J81" s="227"/>
      <c r="K81" s="227"/>
      <c r="L81" s="227"/>
    </row>
    <row r="82" spans="1:12" s="955" customFormat="1" ht="13">
      <c r="A82" s="109">
        <f t="shared" si="1"/>
        <v>37</v>
      </c>
      <c r="B82" s="845" t="s">
        <v>2285</v>
      </c>
      <c r="C82" s="235"/>
      <c r="D82" s="235"/>
      <c r="E82" s="235"/>
      <c r="F82" s="235"/>
      <c r="G82" s="849"/>
      <c r="H82" s="991">
        <v>-24052</v>
      </c>
      <c r="I82" s="241" t="s">
        <v>1169</v>
      </c>
      <c r="J82" s="227"/>
      <c r="K82" s="227"/>
      <c r="L82" s="227"/>
    </row>
    <row r="83" spans="1:12" ht="13">
      <c r="A83" s="109">
        <f t="shared" si="1"/>
        <v>38</v>
      </c>
      <c r="B83" s="235"/>
      <c r="C83" s="235"/>
      <c r="D83" s="235"/>
      <c r="E83" s="235"/>
      <c r="F83" s="235"/>
      <c r="G83" s="858" t="s">
        <v>1349</v>
      </c>
      <c r="H83" s="231">
        <f>SUM(H77:H82)</f>
        <v>-1930366.7692883681</v>
      </c>
      <c r="I83" s="227"/>
      <c r="J83" s="227"/>
      <c r="K83" s="227"/>
      <c r="L83" s="227"/>
    </row>
    <row r="84" spans="1:12">
      <c r="A84" s="235"/>
      <c r="B84" s="235"/>
      <c r="C84" s="235"/>
      <c r="D84" s="235"/>
      <c r="E84" s="235"/>
      <c r="F84" s="235"/>
      <c r="G84" s="235"/>
      <c r="H84" s="235"/>
      <c r="I84" s="227"/>
      <c r="J84" s="227"/>
      <c r="K84" s="227"/>
      <c r="L84" s="227"/>
    </row>
    <row r="85" spans="1:12" ht="13">
      <c r="A85" s="235"/>
      <c r="B85" s="909" t="s">
        <v>1350</v>
      </c>
      <c r="C85" s="235"/>
      <c r="D85" s="235"/>
      <c r="E85" s="235"/>
      <c r="F85" s="235"/>
      <c r="G85" s="235"/>
      <c r="H85" s="235"/>
      <c r="I85" s="227"/>
      <c r="J85" s="227"/>
      <c r="K85" s="227"/>
      <c r="L85" s="227"/>
    </row>
    <row r="86" spans="1:12" ht="13">
      <c r="A86" s="235"/>
      <c r="B86" s="14"/>
      <c r="C86" s="235"/>
      <c r="D86" s="235"/>
      <c r="E86" s="235"/>
      <c r="F86" s="235"/>
      <c r="G86" s="29" t="s">
        <v>179</v>
      </c>
      <c r="H86" s="122" t="s">
        <v>171</v>
      </c>
      <c r="I86" s="227"/>
      <c r="J86" s="227"/>
      <c r="K86" s="227"/>
      <c r="L86" s="227"/>
    </row>
    <row r="87" spans="1:12" ht="13">
      <c r="A87" s="109">
        <f>A83+1</f>
        <v>39</v>
      </c>
      <c r="B87" s="848" t="s">
        <v>1346</v>
      </c>
      <c r="C87" s="235"/>
      <c r="D87" s="235"/>
      <c r="E87" s="235"/>
      <c r="F87" s="235"/>
      <c r="G87" s="450" t="str">
        <f>"Line "&amp;A44&amp;""</f>
        <v>Line 15</v>
      </c>
      <c r="H87" s="231">
        <f>H44</f>
        <v>-253462.86403986122</v>
      </c>
      <c r="I87" s="227"/>
      <c r="J87" s="227"/>
      <c r="K87" s="227"/>
      <c r="L87" s="227"/>
    </row>
    <row r="88" spans="1:12" ht="13">
      <c r="A88" s="109">
        <f>A87+1</f>
        <v>40</v>
      </c>
      <c r="B88" s="235" t="s">
        <v>1351</v>
      </c>
      <c r="C88" s="235"/>
      <c r="D88" s="235"/>
      <c r="E88" s="235"/>
      <c r="F88" s="235"/>
      <c r="G88" s="450" t="str">
        <f>"Line "&amp;A83&amp;""</f>
        <v>Line 38</v>
      </c>
      <c r="H88" s="231">
        <f>H83</f>
        <v>-1930366.7692883681</v>
      </c>
      <c r="I88" s="227"/>
      <c r="J88" s="227"/>
      <c r="K88" s="227"/>
      <c r="L88" s="227"/>
    </row>
    <row r="89" spans="1:12" ht="13">
      <c r="A89" s="109">
        <f>A88+1</f>
        <v>41</v>
      </c>
      <c r="B89" s="15" t="s">
        <v>1433</v>
      </c>
      <c r="C89" s="235"/>
      <c r="D89" s="235"/>
      <c r="E89" s="235"/>
      <c r="F89" s="235"/>
      <c r="G89" s="450" t="str">
        <f>"- 1-Base TRR, L "&amp;'1-BaseTRR'!A142&amp;""</f>
        <v>- 1-Base TRR, L 80</v>
      </c>
      <c r="H89" s="231">
        <f>-'1-BaseTRR'!K142</f>
        <v>-16734981.892438401</v>
      </c>
      <c r="I89" s="227"/>
      <c r="J89" s="227"/>
      <c r="K89" s="227"/>
      <c r="L89" s="227"/>
    </row>
    <row r="90" spans="1:12" ht="13">
      <c r="A90" s="109">
        <f t="shared" ref="A90:A93" si="2">A89+1</f>
        <v>42</v>
      </c>
      <c r="B90" s="15" t="s">
        <v>1434</v>
      </c>
      <c r="C90" s="235"/>
      <c r="D90" s="235"/>
      <c r="E90" s="235"/>
      <c r="F90" s="235"/>
      <c r="G90" s="450" t="str">
        <f>"- 2-IFPTRR, L "&amp;'2-IFPTRR'!A89&amp;""</f>
        <v>- 2-IFPTRR, L 80</v>
      </c>
      <c r="H90" s="445">
        <f>-'2-IFPTRR'!D89</f>
        <v>-1464521.8734830555</v>
      </c>
      <c r="I90" s="227"/>
      <c r="J90" s="227"/>
      <c r="K90" s="227"/>
      <c r="L90" s="227"/>
    </row>
    <row r="91" spans="1:12" ht="13">
      <c r="A91" s="109">
        <f t="shared" si="2"/>
        <v>43</v>
      </c>
      <c r="B91" s="15" t="s">
        <v>97</v>
      </c>
      <c r="C91" s="235"/>
      <c r="D91" s="235"/>
      <c r="E91" s="235"/>
      <c r="F91" s="235"/>
      <c r="G91" s="46" t="str">
        <f>"Sum Line "&amp;A87&amp;" to Line "&amp;A90&amp;""</f>
        <v>Sum Line 39 to Line 42</v>
      </c>
      <c r="H91" s="231">
        <f>SUM(H87:H90)</f>
        <v>-20383333.399249684</v>
      </c>
      <c r="I91" s="235"/>
      <c r="J91" s="227"/>
      <c r="K91" s="227"/>
      <c r="L91" s="227"/>
    </row>
    <row r="92" spans="1:12" ht="13">
      <c r="A92" s="109">
        <f t="shared" si="2"/>
        <v>44</v>
      </c>
      <c r="B92" s="15" t="s">
        <v>1358</v>
      </c>
      <c r="C92" s="235"/>
      <c r="D92" s="235"/>
      <c r="E92" s="235"/>
      <c r="F92" s="235"/>
      <c r="G92" s="14"/>
      <c r="H92" s="445">
        <f>'28-FFU'!D22*SUM(H87+H88)</f>
        <v>-20196.226500186425</v>
      </c>
      <c r="I92" s="450" t="s">
        <v>1166</v>
      </c>
      <c r="J92" s="227"/>
      <c r="K92" s="227"/>
      <c r="L92" s="227"/>
    </row>
    <row r="93" spans="1:12" ht="13">
      <c r="A93" s="109">
        <f t="shared" si="2"/>
        <v>45</v>
      </c>
      <c r="B93" s="14" t="s">
        <v>1352</v>
      </c>
      <c r="C93" s="235"/>
      <c r="D93" s="235"/>
      <c r="E93" s="235"/>
      <c r="F93" s="235"/>
      <c r="G93" s="46" t="str">
        <f>"Line "&amp;A91&amp;" + Line "&amp;A92&amp;""</f>
        <v>Line 43 + Line 44</v>
      </c>
      <c r="H93" s="231">
        <f>H91+H92</f>
        <v>-20403529.625749871</v>
      </c>
      <c r="I93" s="235"/>
      <c r="J93" s="227"/>
      <c r="K93" s="227"/>
      <c r="L93" s="227"/>
    </row>
    <row r="94" spans="1:12">
      <c r="A94" s="235"/>
      <c r="B94" s="14"/>
      <c r="C94" s="235"/>
      <c r="D94" s="235"/>
      <c r="E94" s="235"/>
      <c r="F94" s="235"/>
      <c r="G94" s="235"/>
      <c r="H94" s="235"/>
      <c r="I94" s="227"/>
      <c r="J94" s="227"/>
      <c r="K94" s="227"/>
      <c r="L94" s="227"/>
    </row>
    <row r="95" spans="1:12" ht="13">
      <c r="A95" s="235"/>
      <c r="B95" s="865" t="s">
        <v>1353</v>
      </c>
      <c r="C95" s="235"/>
      <c r="D95" s="235"/>
      <c r="E95" s="235"/>
      <c r="F95" s="235"/>
      <c r="G95" s="235"/>
      <c r="H95" s="235"/>
      <c r="I95" s="227"/>
      <c r="J95" s="227"/>
      <c r="K95" s="227"/>
      <c r="L95" s="227"/>
    </row>
    <row r="96" spans="1:12">
      <c r="A96" s="235"/>
      <c r="B96" s="235" t="s">
        <v>1354</v>
      </c>
      <c r="C96" s="235"/>
      <c r="D96" s="235"/>
      <c r="E96" s="235"/>
      <c r="F96" s="235"/>
      <c r="G96" s="235"/>
      <c r="H96" s="235"/>
      <c r="I96" s="235"/>
      <c r="J96" s="227"/>
      <c r="K96" s="227"/>
      <c r="L96" s="227"/>
    </row>
    <row r="97" spans="1:12">
      <c r="A97" s="235"/>
      <c r="B97" s="235" t="s">
        <v>1355</v>
      </c>
      <c r="C97" s="235"/>
      <c r="D97" s="235"/>
      <c r="E97" s="235"/>
      <c r="F97" s="235"/>
      <c r="G97" s="235"/>
      <c r="H97" s="235"/>
      <c r="I97" s="235"/>
      <c r="J97" s="227"/>
      <c r="K97" s="227"/>
      <c r="L97" s="227"/>
    </row>
    <row r="98" spans="1:12">
      <c r="A98" s="235"/>
      <c r="B98" s="235" t="str">
        <f>"2) Input Prior Year for this Informational Filing in Line "&amp;A42&amp;"."</f>
        <v>2) Input Prior Year for this Informational Filing in Line 13.</v>
      </c>
      <c r="C98" s="14"/>
      <c r="D98" s="14"/>
      <c r="E98" s="14"/>
      <c r="F98" s="14"/>
      <c r="G98" s="14"/>
      <c r="H98" s="14"/>
      <c r="I98" s="235"/>
      <c r="J98" s="227"/>
      <c r="K98" s="227"/>
      <c r="L98" s="227"/>
    </row>
    <row r="99" spans="1:12">
      <c r="A99" s="235"/>
      <c r="B99" s="235" t="str">
        <f>"3) Calculation: (Line "&amp;A34&amp;", "&amp;H25&amp;") + ((Line "&amp;A34&amp;", "&amp;I25&amp;") * (Line "&amp;A42&amp;" - 2010))."</f>
        <v>3) Calculation: (Line 11, Col 1) + ((Line 11, Col 2) * (Line 13 - 2010)).</v>
      </c>
      <c r="C99" s="14"/>
      <c r="D99" s="14"/>
      <c r="E99" s="14"/>
      <c r="F99" s="14"/>
      <c r="G99" s="14"/>
      <c r="H99" s="14"/>
      <c r="I99" s="235"/>
      <c r="J99" s="227"/>
      <c r="K99" s="227"/>
      <c r="L99" s="227"/>
    </row>
    <row r="100" spans="1:12">
      <c r="A100" s="235"/>
      <c r="B100" s="235" t="str">
        <f>"4) Franchise Fee Exclusion is equal to the Franchise Fee Factor on the 28-FFU Line "&amp;'28-FFU'!A22&amp;""</f>
        <v>4) Franchise Fee Exclusion is equal to the Franchise Fee Factor on the 28-FFU Line 5</v>
      </c>
      <c r="C100" s="235"/>
      <c r="D100" s="235"/>
      <c r="E100" s="235"/>
      <c r="F100" s="235"/>
      <c r="G100" s="235"/>
      <c r="H100" s="235"/>
      <c r="I100" s="235"/>
      <c r="J100" s="227"/>
      <c r="K100" s="227"/>
      <c r="L100" s="227"/>
    </row>
    <row r="101" spans="1:12">
      <c r="A101" s="227"/>
      <c r="B101" s="235" t="str">
        <f>"times Line "&amp;A87&amp;" + "&amp;A88&amp;"."</f>
        <v>times Line 39 + 40.</v>
      </c>
      <c r="C101" s="235"/>
      <c r="D101" s="235"/>
      <c r="E101" s="235"/>
      <c r="F101" s="235"/>
      <c r="G101" s="235"/>
      <c r="H101" s="235"/>
      <c r="I101" s="235"/>
      <c r="J101" s="227"/>
      <c r="K101" s="227"/>
      <c r="L101" s="227"/>
    </row>
    <row r="102" spans="1:12" ht="13">
      <c r="A102" s="227"/>
      <c r="B102" s="235" t="s">
        <v>2535</v>
      </c>
      <c r="C102" s="235"/>
      <c r="D102" s="235"/>
      <c r="E102" s="235"/>
      <c r="F102" s="235"/>
      <c r="G102" s="1237"/>
      <c r="H102" s="235"/>
      <c r="I102" s="235"/>
      <c r="J102" s="227"/>
      <c r="K102" s="227"/>
      <c r="L102" s="227"/>
    </row>
    <row r="103" spans="1:12">
      <c r="A103" s="227"/>
      <c r="B103" s="465" t="s">
        <v>2536</v>
      </c>
      <c r="C103" s="235"/>
      <c r="D103" s="235"/>
      <c r="E103" s="235"/>
      <c r="F103" s="235"/>
      <c r="G103" s="235"/>
      <c r="H103" s="235"/>
      <c r="I103" s="235"/>
      <c r="J103" s="227"/>
      <c r="K103" s="227"/>
      <c r="L103" s="227"/>
    </row>
    <row r="104" spans="1:12">
      <c r="A104" s="227"/>
      <c r="B104" s="227"/>
      <c r="C104" s="227"/>
      <c r="D104" s="227"/>
      <c r="E104" s="227"/>
      <c r="F104" s="227"/>
      <c r="G104" s="227"/>
      <c r="H104" s="227"/>
      <c r="I104" s="227"/>
      <c r="J104" s="227"/>
      <c r="K104" s="227"/>
      <c r="L104" s="227"/>
    </row>
    <row r="105" spans="1:12">
      <c r="A105" s="227"/>
      <c r="B105" s="227"/>
      <c r="C105" s="227"/>
      <c r="D105" s="227"/>
      <c r="E105" s="227"/>
      <c r="F105" s="227"/>
      <c r="G105" s="227"/>
      <c r="H105" s="227"/>
      <c r="I105" s="227"/>
      <c r="J105" s="227"/>
      <c r="K105" s="227"/>
      <c r="L105" s="227"/>
    </row>
    <row r="106" spans="1:12">
      <c r="A106" s="227"/>
      <c r="B106" s="227"/>
      <c r="C106" s="227"/>
      <c r="D106" s="227"/>
      <c r="E106" s="227"/>
      <c r="F106" s="227"/>
      <c r="G106" s="227"/>
      <c r="H106" s="227"/>
      <c r="I106" s="227"/>
      <c r="J106" s="227"/>
      <c r="K106" s="227"/>
      <c r="L106" s="227"/>
    </row>
    <row r="107" spans="1:12">
      <c r="A107" s="227"/>
      <c r="B107" s="227"/>
      <c r="C107" s="227"/>
      <c r="D107" s="227"/>
      <c r="E107" s="227"/>
      <c r="F107" s="227"/>
      <c r="G107" s="227"/>
      <c r="H107" s="227"/>
      <c r="I107" s="227"/>
      <c r="J107" s="227"/>
      <c r="K107" s="227"/>
      <c r="L107" s="227"/>
    </row>
    <row r="108" spans="1:12">
      <c r="A108" s="227"/>
      <c r="B108" s="227"/>
      <c r="C108" s="227"/>
      <c r="D108" s="227"/>
      <c r="E108" s="227"/>
      <c r="F108" s="227"/>
      <c r="G108" s="227"/>
      <c r="H108" s="227"/>
      <c r="I108" s="227"/>
      <c r="J108" s="227"/>
      <c r="K108" s="227"/>
      <c r="L108" s="227"/>
    </row>
    <row r="109" spans="1:12">
      <c r="A109" s="227"/>
      <c r="B109" s="227"/>
      <c r="C109" s="227"/>
      <c r="D109" s="227"/>
      <c r="E109" s="227"/>
      <c r="F109" s="227"/>
      <c r="G109" s="227"/>
      <c r="H109" s="227"/>
      <c r="I109" s="227"/>
      <c r="J109" s="227"/>
      <c r="K109" s="227"/>
      <c r="L109" s="227"/>
    </row>
    <row r="110" spans="1:12">
      <c r="A110" s="227"/>
      <c r="B110" s="227"/>
      <c r="C110" s="227"/>
      <c r="D110" s="227"/>
      <c r="E110" s="227"/>
      <c r="F110" s="227"/>
      <c r="G110" s="227"/>
      <c r="H110" s="227"/>
      <c r="I110" s="227"/>
      <c r="J110" s="227"/>
      <c r="K110" s="227"/>
      <c r="L110" s="227"/>
    </row>
    <row r="111" spans="1:12">
      <c r="A111" s="227"/>
      <c r="B111" s="227"/>
      <c r="C111" s="227"/>
      <c r="D111" s="227"/>
      <c r="E111" s="227"/>
      <c r="F111" s="227"/>
      <c r="G111" s="227"/>
      <c r="H111" s="227"/>
      <c r="I111" s="227"/>
      <c r="J111" s="227"/>
      <c r="K111" s="227"/>
      <c r="L111" s="227"/>
    </row>
    <row r="112" spans="1:12">
      <c r="A112" s="227"/>
      <c r="B112" s="227"/>
      <c r="C112" s="227"/>
      <c r="D112" s="227"/>
      <c r="E112" s="227"/>
      <c r="F112" s="227"/>
      <c r="G112" s="227"/>
      <c r="H112" s="227"/>
      <c r="I112" s="227"/>
      <c r="J112" s="227"/>
      <c r="K112" s="227"/>
      <c r="L112" s="227"/>
    </row>
    <row r="113" spans="1:12">
      <c r="A113" s="227"/>
      <c r="B113" s="227"/>
      <c r="C113" s="227"/>
      <c r="D113" s="227"/>
      <c r="E113" s="227"/>
      <c r="F113" s="227"/>
      <c r="G113" s="227"/>
      <c r="H113" s="227"/>
      <c r="I113" s="227"/>
      <c r="J113" s="227"/>
      <c r="K113" s="227"/>
      <c r="L113" s="227"/>
    </row>
    <row r="114" spans="1:12">
      <c r="A114" s="227"/>
      <c r="B114" s="227"/>
      <c r="C114" s="227"/>
      <c r="D114" s="227"/>
      <c r="E114" s="227"/>
      <c r="F114" s="227"/>
      <c r="G114" s="227"/>
      <c r="H114" s="227"/>
      <c r="I114" s="227"/>
      <c r="J114" s="227"/>
      <c r="K114" s="227"/>
      <c r="L114" s="227"/>
    </row>
    <row r="115" spans="1:12">
      <c r="A115" s="227"/>
      <c r="B115" s="227"/>
      <c r="C115" s="227"/>
      <c r="D115" s="227"/>
      <c r="E115" s="227"/>
      <c r="F115" s="227"/>
      <c r="G115" s="227"/>
      <c r="H115" s="227"/>
      <c r="I115" s="227"/>
      <c r="J115" s="227"/>
      <c r="K115" s="227"/>
      <c r="L115" s="227"/>
    </row>
    <row r="116" spans="1:12">
      <c r="A116" s="227"/>
      <c r="B116" s="227"/>
      <c r="C116" s="227"/>
      <c r="D116" s="227"/>
      <c r="E116" s="227"/>
      <c r="F116" s="227"/>
      <c r="G116" s="227"/>
      <c r="H116" s="227"/>
      <c r="I116" s="227"/>
      <c r="J116" s="227"/>
      <c r="K116" s="227"/>
      <c r="L116" s="227"/>
    </row>
    <row r="117" spans="1:12">
      <c r="A117" s="227"/>
      <c r="B117" s="227"/>
      <c r="C117" s="227"/>
      <c r="D117" s="227"/>
      <c r="E117" s="227"/>
      <c r="F117" s="227"/>
      <c r="G117" s="227"/>
      <c r="H117" s="227"/>
      <c r="I117" s="227"/>
      <c r="J117" s="227"/>
      <c r="K117" s="227"/>
      <c r="L117" s="227"/>
    </row>
    <row r="118" spans="1:12">
      <c r="A118" s="227"/>
      <c r="B118" s="227"/>
      <c r="C118" s="227"/>
      <c r="D118" s="227"/>
      <c r="E118" s="227"/>
      <c r="F118" s="227"/>
      <c r="G118" s="227"/>
      <c r="H118" s="227"/>
      <c r="I118" s="227"/>
      <c r="J118" s="227"/>
      <c r="K118" s="227"/>
      <c r="L118" s="227"/>
    </row>
    <row r="119" spans="1:12">
      <c r="A119" s="227"/>
      <c r="B119" s="227"/>
      <c r="C119" s="227"/>
      <c r="D119" s="227"/>
      <c r="E119" s="227"/>
      <c r="F119" s="227"/>
      <c r="G119" s="227"/>
      <c r="H119" s="227"/>
      <c r="I119" s="227"/>
      <c r="J119" s="227"/>
      <c r="K119" s="227"/>
      <c r="L119" s="227"/>
    </row>
    <row r="120" spans="1:12">
      <c r="A120" s="227"/>
      <c r="B120" s="227"/>
      <c r="C120" s="227"/>
      <c r="D120" s="227"/>
      <c r="E120" s="227"/>
      <c r="F120" s="227"/>
      <c r="G120" s="227"/>
      <c r="H120" s="227"/>
      <c r="I120" s="227"/>
      <c r="J120" s="227"/>
      <c r="K120" s="227"/>
      <c r="L120" s="227"/>
    </row>
    <row r="121" spans="1:12">
      <c r="A121" s="227"/>
      <c r="B121" s="227"/>
      <c r="C121" s="227"/>
      <c r="D121" s="227"/>
      <c r="E121" s="227"/>
      <c r="F121" s="227"/>
      <c r="G121" s="227"/>
      <c r="H121" s="227"/>
      <c r="I121" s="227"/>
      <c r="J121" s="227"/>
      <c r="K121" s="227"/>
      <c r="L121" s="227"/>
    </row>
    <row r="122" spans="1:12">
      <c r="A122" s="227"/>
      <c r="B122" s="227"/>
      <c r="C122" s="227"/>
      <c r="D122" s="227"/>
      <c r="E122" s="227"/>
      <c r="F122" s="227"/>
      <c r="G122" s="227"/>
      <c r="H122" s="227"/>
      <c r="I122" s="227"/>
      <c r="J122" s="227"/>
      <c r="K122" s="227"/>
      <c r="L122" s="227"/>
    </row>
    <row r="123" spans="1:12">
      <c r="A123" s="227"/>
      <c r="B123" s="227"/>
      <c r="C123" s="227"/>
      <c r="D123" s="227"/>
      <c r="E123" s="227"/>
      <c r="F123" s="227"/>
      <c r="G123" s="227"/>
      <c r="H123" s="227"/>
      <c r="I123" s="227"/>
      <c r="J123" s="227"/>
      <c r="K123" s="227"/>
      <c r="L123" s="227"/>
    </row>
    <row r="124" spans="1:12">
      <c r="A124" s="227"/>
      <c r="B124" s="227"/>
      <c r="C124" s="227"/>
      <c r="D124" s="227"/>
      <c r="E124" s="227"/>
      <c r="F124" s="227"/>
      <c r="G124" s="227"/>
      <c r="H124" s="227"/>
      <c r="I124" s="227"/>
      <c r="J124" s="227"/>
      <c r="K124" s="227"/>
      <c r="L124" s="227"/>
    </row>
    <row r="125" spans="1:12">
      <c r="A125" s="227"/>
      <c r="B125" s="227"/>
      <c r="C125" s="227"/>
      <c r="D125" s="227"/>
      <c r="E125" s="227"/>
      <c r="F125" s="227"/>
      <c r="G125" s="227"/>
      <c r="H125" s="227"/>
      <c r="I125" s="227"/>
      <c r="J125" s="227"/>
      <c r="K125" s="227"/>
      <c r="L125" s="227"/>
    </row>
    <row r="126" spans="1:12">
      <c r="A126" s="227"/>
      <c r="B126" s="227"/>
      <c r="C126" s="227"/>
      <c r="D126" s="227"/>
      <c r="E126" s="227"/>
      <c r="F126" s="227"/>
      <c r="G126" s="227"/>
      <c r="H126" s="227"/>
      <c r="I126" s="227"/>
      <c r="J126" s="227"/>
      <c r="K126" s="227"/>
      <c r="L126" s="227"/>
    </row>
    <row r="127" spans="1:12">
      <c r="A127" s="227"/>
      <c r="B127" s="227"/>
      <c r="C127" s="227"/>
      <c r="D127" s="227"/>
      <c r="E127" s="227"/>
      <c r="F127" s="227"/>
      <c r="G127" s="227"/>
      <c r="H127" s="227"/>
      <c r="I127" s="227"/>
      <c r="J127" s="227"/>
      <c r="K127" s="227"/>
      <c r="L127" s="227"/>
    </row>
    <row r="128" spans="1:12">
      <c r="A128" s="227"/>
      <c r="B128" s="227"/>
      <c r="C128" s="227"/>
      <c r="D128" s="227"/>
      <c r="E128" s="227"/>
      <c r="F128" s="227"/>
      <c r="G128" s="227"/>
      <c r="H128" s="227"/>
      <c r="I128" s="227"/>
      <c r="J128" s="227"/>
      <c r="K128" s="227"/>
      <c r="L128" s="227"/>
    </row>
    <row r="129" spans="1:12">
      <c r="A129" s="227"/>
      <c r="B129" s="227"/>
      <c r="C129" s="227"/>
      <c r="D129" s="227"/>
      <c r="E129" s="227"/>
      <c r="F129" s="227"/>
      <c r="G129" s="227"/>
      <c r="H129" s="227"/>
      <c r="I129" s="227"/>
      <c r="J129" s="227"/>
      <c r="K129" s="227"/>
      <c r="L129" s="227"/>
    </row>
    <row r="130" spans="1:12">
      <c r="A130" s="227"/>
      <c r="B130" s="227"/>
      <c r="C130" s="227"/>
      <c r="D130" s="227"/>
      <c r="E130" s="227"/>
      <c r="F130" s="227"/>
      <c r="G130" s="227"/>
      <c r="H130" s="227"/>
      <c r="I130" s="227"/>
      <c r="J130" s="227"/>
      <c r="K130" s="227"/>
      <c r="L130" s="227"/>
    </row>
    <row r="131" spans="1:12">
      <c r="A131" s="227"/>
      <c r="B131" s="227"/>
      <c r="C131" s="227"/>
      <c r="D131" s="227"/>
      <c r="E131" s="227"/>
      <c r="F131" s="227"/>
      <c r="G131" s="227"/>
      <c r="H131" s="227"/>
      <c r="I131" s="227"/>
      <c r="J131" s="227"/>
      <c r="K131" s="227"/>
      <c r="L131" s="227"/>
    </row>
    <row r="132" spans="1:12">
      <c r="A132" s="227"/>
      <c r="B132" s="227"/>
      <c r="C132" s="227"/>
      <c r="D132" s="227"/>
      <c r="E132" s="227"/>
      <c r="F132" s="227"/>
      <c r="G132" s="227"/>
      <c r="H132" s="227"/>
      <c r="I132" s="227"/>
      <c r="J132" s="227"/>
      <c r="K132" s="227"/>
      <c r="L132" s="227"/>
    </row>
    <row r="133" spans="1:12">
      <c r="A133" s="227"/>
      <c r="B133" s="227"/>
      <c r="C133" s="227"/>
      <c r="D133" s="227"/>
      <c r="E133" s="227"/>
      <c r="F133" s="227"/>
      <c r="G133" s="227"/>
      <c r="H133" s="227"/>
      <c r="I133" s="227"/>
      <c r="J133" s="227"/>
      <c r="K133" s="227"/>
      <c r="L133" s="227"/>
    </row>
    <row r="134" spans="1:12">
      <c r="A134" s="227"/>
      <c r="B134" s="227"/>
      <c r="C134" s="227"/>
      <c r="D134" s="227"/>
      <c r="E134" s="227"/>
      <c r="F134" s="227"/>
      <c r="G134" s="227"/>
      <c r="H134" s="227"/>
      <c r="I134" s="227"/>
      <c r="J134" s="227"/>
      <c r="K134" s="227"/>
      <c r="L134" s="227"/>
    </row>
    <row r="135" spans="1:12">
      <c r="A135" s="227"/>
      <c r="B135" s="227"/>
      <c r="C135" s="227"/>
      <c r="D135" s="227"/>
      <c r="E135" s="227"/>
      <c r="F135" s="227"/>
      <c r="G135" s="227"/>
      <c r="H135" s="227"/>
      <c r="I135" s="227"/>
      <c r="J135" s="227"/>
      <c r="K135" s="227"/>
      <c r="L135" s="227"/>
    </row>
    <row r="136" spans="1:12">
      <c r="A136" s="227"/>
      <c r="B136" s="227"/>
      <c r="C136" s="227"/>
      <c r="D136" s="227"/>
      <c r="E136" s="227"/>
      <c r="F136" s="227"/>
      <c r="G136" s="227"/>
      <c r="H136" s="227"/>
      <c r="I136" s="227"/>
      <c r="J136" s="227"/>
      <c r="K136" s="227"/>
      <c r="L136" s="227"/>
    </row>
    <row r="137" spans="1:12">
      <c r="A137" s="227"/>
      <c r="B137" s="227"/>
      <c r="C137" s="227"/>
      <c r="D137" s="227"/>
      <c r="E137" s="227"/>
      <c r="F137" s="227"/>
      <c r="G137" s="227"/>
      <c r="H137" s="227"/>
      <c r="I137" s="227"/>
      <c r="J137" s="227"/>
      <c r="K137" s="227"/>
      <c r="L137" s="227"/>
    </row>
    <row r="138" spans="1:12">
      <c r="A138" s="227"/>
      <c r="B138" s="227"/>
      <c r="C138" s="227"/>
      <c r="D138" s="227"/>
      <c r="E138" s="227"/>
      <c r="F138" s="227"/>
      <c r="G138" s="227"/>
      <c r="H138" s="227"/>
      <c r="I138" s="227"/>
      <c r="J138" s="227"/>
      <c r="K138" s="227"/>
      <c r="L138" s="227"/>
    </row>
    <row r="139" spans="1:12">
      <c r="A139" s="227"/>
      <c r="B139" s="227"/>
      <c r="C139" s="227"/>
      <c r="D139" s="227"/>
      <c r="E139" s="227"/>
      <c r="F139" s="227"/>
      <c r="G139" s="227"/>
      <c r="H139" s="227"/>
      <c r="I139" s="227"/>
      <c r="J139" s="227"/>
      <c r="K139" s="227"/>
      <c r="L139" s="227"/>
    </row>
    <row r="140" spans="1:12">
      <c r="A140" s="227"/>
      <c r="B140" s="227"/>
      <c r="C140" s="227"/>
      <c r="D140" s="227"/>
      <c r="E140" s="227"/>
      <c r="F140" s="227"/>
      <c r="G140" s="227"/>
      <c r="H140" s="227"/>
      <c r="I140" s="227"/>
      <c r="J140" s="227"/>
      <c r="K140" s="227"/>
      <c r="L140" s="227"/>
    </row>
    <row r="141" spans="1:12">
      <c r="A141" s="227"/>
      <c r="B141" s="227"/>
      <c r="C141" s="227"/>
      <c r="D141" s="227"/>
      <c r="E141" s="227"/>
      <c r="F141" s="227"/>
      <c r="G141" s="227"/>
      <c r="H141" s="227"/>
      <c r="I141" s="227"/>
      <c r="J141" s="227"/>
      <c r="K141" s="227"/>
      <c r="L141" s="227"/>
    </row>
    <row r="142" spans="1:12">
      <c r="A142" s="227"/>
      <c r="B142" s="227"/>
      <c r="C142" s="227"/>
      <c r="D142" s="227"/>
      <c r="E142" s="227"/>
      <c r="F142" s="227"/>
      <c r="G142" s="227"/>
      <c r="H142" s="227"/>
      <c r="I142" s="227"/>
      <c r="J142" s="227"/>
      <c r="K142" s="227"/>
      <c r="L142" s="227"/>
    </row>
    <row r="143" spans="1:12">
      <c r="A143" s="227"/>
      <c r="B143" s="227"/>
      <c r="C143" s="227"/>
      <c r="D143" s="227"/>
      <c r="E143" s="227"/>
      <c r="F143" s="227"/>
      <c r="G143" s="227"/>
      <c r="H143" s="227"/>
      <c r="I143" s="227"/>
      <c r="J143" s="227"/>
      <c r="K143" s="227"/>
      <c r="L143" s="227"/>
    </row>
    <row r="144" spans="1:12">
      <c r="A144" s="227"/>
      <c r="B144" s="227"/>
      <c r="C144" s="227"/>
      <c r="D144" s="227"/>
      <c r="E144" s="227"/>
      <c r="F144" s="227"/>
      <c r="G144" s="227"/>
      <c r="H144" s="227"/>
      <c r="I144" s="227"/>
      <c r="J144" s="227"/>
      <c r="K144" s="227"/>
      <c r="L144" s="227"/>
    </row>
    <row r="145" spans="1:12">
      <c r="A145" s="227"/>
      <c r="B145" s="227"/>
      <c r="C145" s="227"/>
      <c r="D145" s="227"/>
      <c r="E145" s="227"/>
      <c r="F145" s="227"/>
      <c r="G145" s="227"/>
      <c r="H145" s="227"/>
      <c r="I145" s="227"/>
      <c r="J145" s="227"/>
      <c r="K145" s="227"/>
      <c r="L145" s="227"/>
    </row>
    <row r="146" spans="1:12">
      <c r="A146" s="227"/>
      <c r="B146" s="227"/>
      <c r="C146" s="227"/>
      <c r="D146" s="227"/>
      <c r="E146" s="227"/>
      <c r="F146" s="227"/>
      <c r="G146" s="227"/>
      <c r="H146" s="227"/>
      <c r="I146" s="227"/>
      <c r="J146" s="227"/>
      <c r="K146" s="227"/>
      <c r="L146" s="227"/>
    </row>
    <row r="147" spans="1:12">
      <c r="A147" s="227"/>
      <c r="B147" s="227"/>
      <c r="C147" s="227"/>
      <c r="D147" s="227"/>
      <c r="E147" s="227"/>
      <c r="F147" s="227"/>
      <c r="G147" s="227"/>
      <c r="H147" s="227"/>
      <c r="I147" s="227"/>
      <c r="J147" s="227"/>
      <c r="K147" s="227"/>
      <c r="L147" s="227"/>
    </row>
    <row r="148" spans="1:12">
      <c r="A148" s="227"/>
      <c r="B148" s="227"/>
      <c r="C148" s="227"/>
      <c r="D148" s="227"/>
      <c r="E148" s="227"/>
      <c r="F148" s="227"/>
      <c r="G148" s="227"/>
      <c r="H148" s="227"/>
      <c r="I148" s="227"/>
      <c r="J148" s="227"/>
      <c r="K148" s="227"/>
      <c r="L148" s="227"/>
    </row>
    <row r="149" spans="1:12">
      <c r="A149" s="227"/>
      <c r="B149" s="227"/>
      <c r="C149" s="227"/>
      <c r="D149" s="227"/>
      <c r="E149" s="227"/>
      <c r="F149" s="227"/>
      <c r="G149" s="227"/>
      <c r="H149" s="227"/>
      <c r="I149" s="227"/>
      <c r="J149" s="227"/>
      <c r="K149" s="227"/>
      <c r="L149" s="227"/>
    </row>
    <row r="150" spans="1:12">
      <c r="A150" s="227"/>
      <c r="B150" s="227"/>
      <c r="C150" s="227"/>
      <c r="D150" s="227"/>
      <c r="E150" s="227"/>
      <c r="F150" s="227"/>
      <c r="G150" s="227"/>
      <c r="H150" s="227"/>
      <c r="I150" s="227"/>
      <c r="J150" s="227"/>
      <c r="K150" s="227"/>
      <c r="L150" s="227"/>
    </row>
    <row r="151" spans="1:12">
      <c r="A151" s="227"/>
      <c r="B151" s="227"/>
      <c r="C151" s="227"/>
      <c r="D151" s="227"/>
      <c r="E151" s="227"/>
      <c r="F151" s="227"/>
      <c r="G151" s="227"/>
      <c r="H151" s="227"/>
      <c r="I151" s="227"/>
      <c r="J151" s="227"/>
      <c r="K151" s="227"/>
      <c r="L151" s="227"/>
    </row>
    <row r="152" spans="1:12">
      <c r="A152" s="227"/>
      <c r="B152" s="227"/>
      <c r="C152" s="227"/>
      <c r="D152" s="227"/>
      <c r="E152" s="227"/>
      <c r="F152" s="227"/>
      <c r="G152" s="227"/>
      <c r="H152" s="227"/>
      <c r="I152" s="227"/>
      <c r="J152" s="227"/>
      <c r="K152" s="227"/>
      <c r="L152" s="227"/>
    </row>
    <row r="153" spans="1:12">
      <c r="A153" s="227"/>
      <c r="B153" s="227"/>
      <c r="C153" s="227"/>
      <c r="D153" s="227"/>
      <c r="E153" s="227"/>
      <c r="F153" s="227"/>
      <c r="G153" s="227"/>
      <c r="H153" s="227"/>
      <c r="I153" s="227"/>
      <c r="J153" s="227"/>
      <c r="K153" s="227"/>
      <c r="L153" s="227"/>
    </row>
  </sheetData>
  <pageMargins left="0.7" right="0.7" top="0.75" bottom="0.75" header="0.3" footer="0.3"/>
  <pageSetup scale="77" orientation="portrait" cellComments="asDisplayed" r:id="rId1"/>
  <headerFooter>
    <oddHeader>&amp;CSchedule 25
Wholesale Differences to Base TRR
&amp;RTO2022 Draft Annual Update 
Attachment 1</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2339</v>
      </c>
    </row>
    <row r="3" spans="1:5" ht="13">
      <c r="B3" s="1" t="s">
        <v>36</v>
      </c>
      <c r="E3" s="96" t="s">
        <v>17</v>
      </c>
    </row>
    <row r="4" spans="1:5" ht="13">
      <c r="D4" s="2" t="s">
        <v>37</v>
      </c>
    </row>
    <row r="5" spans="1:5" ht="13">
      <c r="C5" s="549" t="s">
        <v>13</v>
      </c>
      <c r="D5" s="2" t="s">
        <v>403</v>
      </c>
    </row>
    <row r="6" spans="1:5" ht="13">
      <c r="A6" s="3" t="s">
        <v>329</v>
      </c>
      <c r="C6" s="3" t="s">
        <v>193</v>
      </c>
      <c r="D6" s="3" t="s">
        <v>405</v>
      </c>
      <c r="E6" s="3" t="s">
        <v>179</v>
      </c>
    </row>
    <row r="7" spans="1:5" ht="13">
      <c r="A7" s="2">
        <v>1</v>
      </c>
      <c r="C7" s="524">
        <v>2022</v>
      </c>
      <c r="D7" s="1121">
        <v>0.21</v>
      </c>
      <c r="E7" s="864" t="s">
        <v>2442</v>
      </c>
    </row>
    <row r="8" spans="1:5" ht="13">
      <c r="A8" s="2">
        <f>A7+1</f>
        <v>2</v>
      </c>
      <c r="D8">
        <v>0</v>
      </c>
      <c r="E8" s="462"/>
    </row>
    <row r="9" spans="1:5" ht="13">
      <c r="A9" s="2">
        <f t="shared" ref="A9:A23" si="0">A8+1</f>
        <v>3</v>
      </c>
      <c r="B9" s="1" t="s">
        <v>38</v>
      </c>
      <c r="E9" s="955"/>
    </row>
    <row r="10" spans="1:5" ht="13">
      <c r="A10" s="2">
        <f t="shared" si="0"/>
        <v>4</v>
      </c>
      <c r="B10" s="1"/>
      <c r="D10" s="2"/>
      <c r="E10" s="955"/>
    </row>
    <row r="11" spans="1:5" ht="13">
      <c r="A11" s="2">
        <f t="shared" si="0"/>
        <v>5</v>
      </c>
      <c r="D11" s="2" t="s">
        <v>2462</v>
      </c>
      <c r="E11" s="955"/>
    </row>
    <row r="12" spans="1:5" ht="13">
      <c r="A12" s="2">
        <f t="shared" si="0"/>
        <v>6</v>
      </c>
      <c r="C12" s="549" t="s">
        <v>13</v>
      </c>
      <c r="D12" s="2" t="s">
        <v>403</v>
      </c>
      <c r="E12" s="955"/>
    </row>
    <row r="13" spans="1:5" ht="13">
      <c r="A13" s="2">
        <f t="shared" si="0"/>
        <v>7</v>
      </c>
      <c r="C13" s="3" t="s">
        <v>193</v>
      </c>
      <c r="D13" s="3" t="s">
        <v>404</v>
      </c>
      <c r="E13" s="3" t="s">
        <v>179</v>
      </c>
    </row>
    <row r="14" spans="1:5" ht="13">
      <c r="A14" s="2">
        <f t="shared" si="0"/>
        <v>8</v>
      </c>
      <c r="C14" s="524">
        <v>2022</v>
      </c>
      <c r="D14" s="1041">
        <v>8.8400000000000006E-2</v>
      </c>
      <c r="E14" s="864" t="s">
        <v>360</v>
      </c>
    </row>
    <row r="15" spans="1:5" ht="13">
      <c r="A15" s="2">
        <f t="shared" si="0"/>
        <v>9</v>
      </c>
      <c r="C15" s="54"/>
      <c r="D15" s="14"/>
      <c r="E15" s="13"/>
    </row>
    <row r="16" spans="1:5" ht="13">
      <c r="A16" s="2">
        <f t="shared" si="0"/>
        <v>10</v>
      </c>
      <c r="C16" s="54"/>
      <c r="D16" s="14"/>
      <c r="E16" s="16"/>
    </row>
    <row r="17" spans="1:9" ht="13">
      <c r="A17" s="2">
        <f t="shared" si="0"/>
        <v>11</v>
      </c>
      <c r="C17" s="61"/>
      <c r="E17" s="16"/>
    </row>
    <row r="18" spans="1:9" ht="12.75" customHeight="1">
      <c r="A18" s="549">
        <f t="shared" si="0"/>
        <v>12</v>
      </c>
      <c r="B18" s="1" t="s">
        <v>1629</v>
      </c>
      <c r="E18" s="16"/>
    </row>
    <row r="19" spans="1:9" ht="12.75" customHeight="1">
      <c r="A19" s="549">
        <f t="shared" si="0"/>
        <v>13</v>
      </c>
      <c r="E19" s="113"/>
      <c r="F19" s="3" t="s">
        <v>175</v>
      </c>
    </row>
    <row r="20" spans="1:9" ht="12.75" customHeight="1">
      <c r="A20" s="549">
        <f t="shared" si="0"/>
        <v>14</v>
      </c>
      <c r="B20" s="14"/>
      <c r="C20" s="14" t="str">
        <f>"Total Electric Payroll Tax Expense (From 1-BaseTRR, Line "&amp;'1-BaseTRR'!A52&amp;")"</f>
        <v>Total Electric Payroll Tax Expense (From 1-BaseTRR, Line 31)</v>
      </c>
      <c r="D20" s="14"/>
      <c r="E20" s="14"/>
      <c r="F20" s="7">
        <f>'1-BaseTRR'!K52</f>
        <v>132882954</v>
      </c>
      <c r="G20" s="12"/>
    </row>
    <row r="21" spans="1:9" ht="12.75" customHeight="1">
      <c r="A21" s="549">
        <f t="shared" si="0"/>
        <v>15</v>
      </c>
      <c r="B21" s="14"/>
      <c r="C21" s="465" t="s">
        <v>2335</v>
      </c>
      <c r="D21" s="14"/>
      <c r="E21" s="14"/>
      <c r="F21" s="571">
        <v>0.45500000000000002</v>
      </c>
      <c r="G21" s="12"/>
    </row>
    <row r="22" spans="1:9" ht="12.75" customHeight="1">
      <c r="A22" s="549">
        <f t="shared" si="0"/>
        <v>16</v>
      </c>
      <c r="B22" s="14"/>
      <c r="C22" s="465" t="str">
        <f>"Capitalized Overhead portion of Electric Payroll Tax Expense (Line "&amp;A20&amp;" * Line "&amp;A21&amp;")"</f>
        <v>Capitalized Overhead portion of Electric Payroll Tax Expense (Line 14 * Line 15)</v>
      </c>
      <c r="D22" s="14"/>
      <c r="E22" s="14"/>
      <c r="F22" s="445">
        <f>F20*F21</f>
        <v>60461744.07</v>
      </c>
      <c r="G22" s="465"/>
      <c r="H22" s="14"/>
      <c r="I22" s="465"/>
    </row>
    <row r="23" spans="1:9" ht="13">
      <c r="A23" s="549">
        <f t="shared" si="0"/>
        <v>17</v>
      </c>
      <c r="B23" s="14"/>
      <c r="C23" s="465" t="str">
        <f>"Non-Capitalized Overhead portion of Electric Payroll Tax Expense (Line "&amp;A20&amp;" - Line "&amp;A22&amp;")"</f>
        <v>Non-Capitalized Overhead portion of Electric Payroll Tax Expense (Line 14 - Line 16)</v>
      </c>
      <c r="D23" s="14"/>
      <c r="E23" s="14"/>
      <c r="F23" s="7">
        <f>F20-F22</f>
        <v>72421209.930000007</v>
      </c>
      <c r="G23" s="12"/>
      <c r="H23" s="14"/>
    </row>
    <row r="25" spans="1:9" ht="13">
      <c r="B25" s="51" t="s">
        <v>230</v>
      </c>
    </row>
    <row r="26" spans="1:9">
      <c r="B26" s="910" t="s">
        <v>2336</v>
      </c>
      <c r="C26" s="14"/>
      <c r="D26" s="961" t="s">
        <v>2809</v>
      </c>
      <c r="E26" s="961"/>
      <c r="F26" s="96"/>
    </row>
    <row r="27" spans="1:9">
      <c r="B27" s="910" t="s">
        <v>2338</v>
      </c>
      <c r="C27" s="14"/>
      <c r="D27" s="14"/>
      <c r="E27" s="14"/>
      <c r="F27" s="14"/>
    </row>
    <row r="28" spans="1:9">
      <c r="B28" s="652"/>
      <c r="C28" s="14"/>
      <c r="D28" s="96" t="s">
        <v>2810</v>
      </c>
      <c r="E28" s="96"/>
      <c r="F28" s="96"/>
    </row>
    <row r="29" spans="1:9">
      <c r="B29" s="465" t="s">
        <v>2337</v>
      </c>
      <c r="C29" s="14"/>
      <c r="D29" s="14"/>
      <c r="E29" s="961" t="s">
        <v>2813</v>
      </c>
    </row>
    <row r="30" spans="1:9">
      <c r="B30" s="462" t="s">
        <v>1794</v>
      </c>
      <c r="C30" s="14"/>
      <c r="D30" s="14"/>
      <c r="E30" s="932" t="s">
        <v>2814</v>
      </c>
    </row>
    <row r="31" spans="1:9">
      <c r="B31" s="463" t="s">
        <v>2428</v>
      </c>
    </row>
    <row r="32" spans="1:9">
      <c r="B32" s="463" t="s">
        <v>2429</v>
      </c>
    </row>
    <row r="33" spans="2:2">
      <c r="B33" s="463" t="s">
        <v>2430</v>
      </c>
    </row>
    <row r="34" spans="2:2">
      <c r="B34" s="463" t="s">
        <v>2431</v>
      </c>
    </row>
    <row r="35" spans="2:2">
      <c r="B35" s="463" t="s">
        <v>2440</v>
      </c>
    </row>
    <row r="36" spans="2:2">
      <c r="B36" s="463" t="s">
        <v>2432</v>
      </c>
    </row>
    <row r="37" spans="2:2">
      <c r="B37" s="463" t="s">
        <v>2433</v>
      </c>
    </row>
    <row r="38" spans="2:2">
      <c r="B38" s="463" t="s">
        <v>2434</v>
      </c>
    </row>
    <row r="39" spans="2:2">
      <c r="B39" s="463" t="s">
        <v>2435</v>
      </c>
    </row>
    <row r="40" spans="2:2">
      <c r="B40" s="463" t="s">
        <v>2436</v>
      </c>
    </row>
  </sheetData>
  <phoneticPr fontId="23" type="noConversion"/>
  <pageMargins left="0.75" right="0.75" top="1" bottom="1" header="0.5" footer="0.5"/>
  <pageSetup scale="75" orientation="portrait" cellComments="asDisplayed" r:id="rId1"/>
  <headerFooter alignWithMargins="0">
    <oddHeader>&amp;CSchedule 26
Tax Rates
&amp;RTO2022 Draft Annual Update 
Attachment 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6"/>
  <sheetViews>
    <sheetView zoomScaleNormal="100" zoomScalePageLayoutView="70" workbookViewId="0"/>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202</v>
      </c>
      <c r="B1" s="1"/>
      <c r="E1" s="96" t="s">
        <v>17</v>
      </c>
    </row>
    <row r="2" spans="1:9" ht="13">
      <c r="A2" s="1"/>
      <c r="B2" s="1"/>
      <c r="C2" s="68" t="s">
        <v>2531</v>
      </c>
      <c r="D2" s="1488" t="s">
        <v>2811</v>
      </c>
      <c r="E2" s="511"/>
    </row>
    <row r="3" spans="1:9" s="955" customFormat="1" ht="13">
      <c r="A3" s="1"/>
      <c r="B3" s="1"/>
      <c r="C3" s="1234"/>
      <c r="D3" s="1234"/>
      <c r="E3" s="1234"/>
    </row>
    <row r="4" spans="1:9" ht="13">
      <c r="A4" s="2"/>
      <c r="B4" s="1" t="s">
        <v>1114</v>
      </c>
      <c r="G4" s="98"/>
    </row>
    <row r="5" spans="1:9" ht="13">
      <c r="A5" s="2"/>
      <c r="C5" s="1"/>
      <c r="D5" s="2"/>
      <c r="E5" s="2" t="s">
        <v>169</v>
      </c>
      <c r="G5" s="4" t="s">
        <v>63</v>
      </c>
    </row>
    <row r="6" spans="1:9" ht="13">
      <c r="A6" s="51" t="s">
        <v>329</v>
      </c>
      <c r="C6" s="1"/>
      <c r="D6" s="3" t="s">
        <v>168</v>
      </c>
      <c r="E6" s="3" t="s">
        <v>170</v>
      </c>
      <c r="G6" s="3" t="s">
        <v>171</v>
      </c>
    </row>
    <row r="7" spans="1:9" ht="13">
      <c r="A7" s="2">
        <v>1</v>
      </c>
      <c r="C7" s="911" t="s">
        <v>2456</v>
      </c>
      <c r="D7" s="14"/>
      <c r="E7" s="15" t="str">
        <f>"19-OandM Line "&amp;'19-OandM'!A124&amp;", Col. 7"</f>
        <v>19-OandM Line 91, Col. 7</v>
      </c>
      <c r="G7" s="7">
        <f>'19-OandM'!H124</f>
        <v>45730715.102491513</v>
      </c>
      <c r="I7" s="12"/>
    </row>
    <row r="8" spans="1:9" ht="13">
      <c r="A8" s="2">
        <f>A7+1</f>
        <v>2</v>
      </c>
      <c r="C8" s="66" t="s">
        <v>237</v>
      </c>
      <c r="D8" s="14"/>
      <c r="E8" s="15" t="s">
        <v>283</v>
      </c>
      <c r="G8" s="6">
        <v>911707192</v>
      </c>
    </row>
    <row r="9" spans="1:9" ht="13">
      <c r="A9" s="2">
        <f t="shared" ref="A9:A44" si="0">A8+1</f>
        <v>3</v>
      </c>
      <c r="C9" s="5" t="s">
        <v>238</v>
      </c>
      <c r="D9" s="14"/>
      <c r="E9" s="15" t="s">
        <v>284</v>
      </c>
      <c r="G9" s="6">
        <v>244615529</v>
      </c>
    </row>
    <row r="10" spans="1:9" ht="13">
      <c r="A10" s="2">
        <f t="shared" si="0"/>
        <v>4</v>
      </c>
      <c r="C10" s="66" t="s">
        <v>1120</v>
      </c>
      <c r="D10" s="14"/>
      <c r="E10" s="15" t="str">
        <f>"Line "&amp;A8&amp;" - Line "&amp;A9&amp;""</f>
        <v>Line 2 - Line 3</v>
      </c>
      <c r="G10" s="7">
        <f>G8-G9</f>
        <v>667091663</v>
      </c>
    </row>
    <row r="11" spans="1:9" ht="13">
      <c r="A11" s="2">
        <f t="shared" si="0"/>
        <v>5</v>
      </c>
      <c r="C11" s="911" t="s">
        <v>2007</v>
      </c>
      <c r="D11" s="14"/>
      <c r="E11" s="15" t="str">
        <f>"20-AandG, Note 2"</f>
        <v>20-AandG, Note 2</v>
      </c>
      <c r="G11" s="63">
        <f>'20-AandG'!E64</f>
        <v>-17396019.000000004</v>
      </c>
      <c r="I11" s="12"/>
    </row>
    <row r="12" spans="1:9" ht="13">
      <c r="A12" s="2">
        <f t="shared" si="0"/>
        <v>6</v>
      </c>
      <c r="C12" s="867" t="s">
        <v>2003</v>
      </c>
      <c r="D12" s="14"/>
      <c r="E12" s="15" t="str">
        <f>"20-AandG, Note 2"</f>
        <v>20-AandG, Note 2</v>
      </c>
      <c r="G12" s="100">
        <f>'20-AandG'!E61</f>
        <v>-5432217.0199272111</v>
      </c>
    </row>
    <row r="13" spans="1:9" ht="13">
      <c r="A13" s="2">
        <f t="shared" si="0"/>
        <v>7</v>
      </c>
      <c r="C13" s="911" t="s">
        <v>2004</v>
      </c>
      <c r="D13" s="14"/>
      <c r="E13" s="15" t="str">
        <f>"Line "&amp;A11&amp;" - Line "&amp;A12&amp;""</f>
        <v>Line 5 - Line 6</v>
      </c>
      <c r="G13" s="7">
        <f>G11-G12</f>
        <v>-11963801.980072793</v>
      </c>
    </row>
    <row r="14" spans="1:9" ht="13">
      <c r="A14" s="2">
        <f t="shared" si="0"/>
        <v>8</v>
      </c>
      <c r="C14" s="911" t="s">
        <v>2005</v>
      </c>
      <c r="D14" s="14"/>
      <c r="E14" s="15" t="str">
        <f>"Line "&amp;A10&amp;" + Line "&amp;A13&amp;""</f>
        <v>Line 4 + Line 7</v>
      </c>
      <c r="G14" s="7">
        <f>G10+G13</f>
        <v>655127861.01992726</v>
      </c>
    </row>
    <row r="15" spans="1:9" ht="13">
      <c r="A15" s="2">
        <f t="shared" si="0"/>
        <v>9</v>
      </c>
      <c r="C15" s="14" t="s">
        <v>200</v>
      </c>
      <c r="D15" s="14"/>
      <c r="E15" s="15" t="str">
        <f>"Line "&amp;A7&amp;" / Line "&amp;A14&amp;""</f>
        <v>Line 1 / Line 8</v>
      </c>
      <c r="G15" s="8">
        <f>G7/G14</f>
        <v>6.9804259326257695E-2</v>
      </c>
    </row>
    <row r="16" spans="1:9" ht="13">
      <c r="A16" s="2">
        <f t="shared" si="0"/>
        <v>10</v>
      </c>
      <c r="C16" s="14"/>
      <c r="D16" s="14"/>
      <c r="E16" s="14"/>
    </row>
    <row r="17" spans="1:11" ht="13">
      <c r="A17" s="2">
        <f t="shared" si="0"/>
        <v>11</v>
      </c>
      <c r="B17" s="1" t="s">
        <v>1115</v>
      </c>
      <c r="C17" s="14"/>
      <c r="D17" s="14"/>
      <c r="E17" s="14"/>
      <c r="G17" s="98"/>
    </row>
    <row r="18" spans="1:11" ht="13">
      <c r="A18" s="2">
        <f t="shared" si="0"/>
        <v>12</v>
      </c>
      <c r="C18" s="14"/>
      <c r="D18" s="109"/>
      <c r="E18" s="109" t="s">
        <v>169</v>
      </c>
      <c r="G18" s="4" t="s">
        <v>63</v>
      </c>
    </row>
    <row r="19" spans="1:11" ht="13">
      <c r="A19" s="2">
        <f t="shared" si="0"/>
        <v>13</v>
      </c>
      <c r="C19" s="14"/>
      <c r="D19" s="122" t="s">
        <v>168</v>
      </c>
      <c r="E19" s="122" t="s">
        <v>170</v>
      </c>
      <c r="G19" s="3" t="s">
        <v>171</v>
      </c>
    </row>
    <row r="20" spans="1:11" ht="13">
      <c r="A20" s="2">
        <f t="shared" si="0"/>
        <v>14</v>
      </c>
      <c r="C20" s="14" t="s">
        <v>332</v>
      </c>
      <c r="D20" s="14"/>
      <c r="E20" s="15" t="str">
        <f>"7-PlantStudy, Line "&amp;'7-PlantStudy'!A28&amp;""</f>
        <v>7-PlantStudy, Line 21</v>
      </c>
      <c r="G20" s="63">
        <f>'7-PlantStudy'!E28</f>
        <v>9662547990.8865452</v>
      </c>
    </row>
    <row r="21" spans="1:11" ht="13">
      <c r="A21" s="2">
        <f t="shared" si="0"/>
        <v>15</v>
      </c>
      <c r="C21" s="14" t="s">
        <v>333</v>
      </c>
      <c r="D21" s="14"/>
      <c r="E21" s="15" t="str">
        <f>"7-PlantStudy, Line "&amp;'7-PlantStudy'!A42&amp;""</f>
        <v>7-PlantStudy, Line 30</v>
      </c>
      <c r="G21" s="63">
        <f>'7-PlantStudy'!E42</f>
        <v>0</v>
      </c>
    </row>
    <row r="22" spans="1:11" ht="13">
      <c r="A22" s="2">
        <f t="shared" si="0"/>
        <v>16</v>
      </c>
      <c r="C22" s="14" t="s">
        <v>59</v>
      </c>
      <c r="D22" s="14"/>
      <c r="E22" s="15" t="str">
        <f>"6-PlantInService, Line "&amp;'6-PlantInService'!A54&amp;", C2"</f>
        <v>6-PlantInService, Line 21, C2</v>
      </c>
      <c r="G22" s="63">
        <f>'6-PlantInService'!G54</f>
        <v>1587005797</v>
      </c>
      <c r="H22" s="98"/>
    </row>
    <row r="23" spans="1:11" ht="13">
      <c r="A23" s="2">
        <f t="shared" si="0"/>
        <v>17</v>
      </c>
      <c r="C23" s="14" t="s">
        <v>2376</v>
      </c>
      <c r="D23" s="14"/>
      <c r="E23" s="14" t="str">
        <f>"Line "&amp;A22&amp;" * Line "&amp;A15&amp;""</f>
        <v>Line 16 * Line 9</v>
      </c>
      <c r="G23" s="63">
        <f>G22*G15</f>
        <v>110779764.20606227</v>
      </c>
    </row>
    <row r="24" spans="1:11" ht="13">
      <c r="A24" s="2">
        <f t="shared" si="0"/>
        <v>18</v>
      </c>
      <c r="C24" s="14" t="s">
        <v>58</v>
      </c>
      <c r="D24" s="14"/>
      <c r="E24" s="15" t="str">
        <f>"6-PlantInService, Line "&amp;'6-PlantInService'!A54&amp;", C1"</f>
        <v>6-PlantInService, Line 21, C1</v>
      </c>
      <c r="G24" s="63">
        <f>'6-PlantInService'!F54</f>
        <v>3458659697</v>
      </c>
    </row>
    <row r="25" spans="1:11" ht="13">
      <c r="A25" s="2">
        <f t="shared" si="0"/>
        <v>19</v>
      </c>
      <c r="C25" s="14" t="s">
        <v>2377</v>
      </c>
      <c r="D25" s="14"/>
      <c r="E25" s="14" t="str">
        <f>"Line "&amp;A24&amp;" * Line "&amp;A15&amp;""</f>
        <v>Line 18 * Line 9</v>
      </c>
      <c r="G25" s="63">
        <f>G24*G15</f>
        <v>241429178.41066387</v>
      </c>
    </row>
    <row r="26" spans="1:11" ht="13">
      <c r="A26" s="2">
        <f t="shared" si="0"/>
        <v>20</v>
      </c>
      <c r="C26" s="15" t="s">
        <v>1118</v>
      </c>
      <c r="D26" s="14"/>
      <c r="E26" s="14" t="s">
        <v>34</v>
      </c>
      <c r="G26" s="6">
        <v>54562145476</v>
      </c>
    </row>
    <row r="27" spans="1:11" ht="13">
      <c r="A27" s="2">
        <f t="shared" si="0"/>
        <v>21</v>
      </c>
      <c r="C27" s="14"/>
      <c r="D27" s="14"/>
      <c r="E27" s="14"/>
      <c r="G27" s="98"/>
    </row>
    <row r="28" spans="1:11" ht="13">
      <c r="A28" s="2">
        <f t="shared" si="0"/>
        <v>22</v>
      </c>
      <c r="C28" s="14" t="s">
        <v>57</v>
      </c>
      <c r="D28" s="14"/>
      <c r="E28" s="15" t="str">
        <f>"(L"&amp;A20&amp;" + L"&amp;A21&amp;" + L"&amp;A23&amp;" + L"&amp;A25&amp;") / L"&amp;A26&amp;""</f>
        <v>(L14 + L15 + L17 + L19) / L20</v>
      </c>
      <c r="G28" s="8">
        <f>(G20+G21+G23+G25)/G26</f>
        <v>0.18354771144232984</v>
      </c>
    </row>
    <row r="29" spans="1:11" ht="13">
      <c r="A29" s="549">
        <f t="shared" si="0"/>
        <v>23</v>
      </c>
      <c r="C29" s="14"/>
      <c r="D29" s="14"/>
      <c r="E29" s="15"/>
      <c r="G29" s="8"/>
    </row>
    <row r="30" spans="1:11" ht="13">
      <c r="A30" s="109">
        <f t="shared" si="0"/>
        <v>24</v>
      </c>
      <c r="B30" s="44" t="s">
        <v>1834</v>
      </c>
      <c r="C30" s="14"/>
      <c r="D30" s="14"/>
      <c r="E30" s="14"/>
      <c r="F30" s="14"/>
      <c r="G30" s="14"/>
      <c r="H30" s="14"/>
      <c r="I30" s="14"/>
      <c r="J30" s="14"/>
      <c r="K30" s="14"/>
    </row>
    <row r="31" spans="1:11" ht="13">
      <c r="A31" s="109">
        <f t="shared" si="0"/>
        <v>25</v>
      </c>
      <c r="B31" s="465"/>
      <c r="C31" s="14"/>
      <c r="D31" s="14"/>
      <c r="E31" s="14"/>
      <c r="F31" s="14"/>
      <c r="G31" s="14"/>
      <c r="H31" s="14"/>
      <c r="I31" s="14"/>
      <c r="J31" s="14"/>
      <c r="K31" s="14"/>
    </row>
    <row r="32" spans="1:11" ht="13">
      <c r="A32" s="109">
        <f t="shared" si="0"/>
        <v>26</v>
      </c>
      <c r="B32" s="465" t="s">
        <v>2396</v>
      </c>
      <c r="C32" s="14"/>
      <c r="D32" s="122" t="s">
        <v>1778</v>
      </c>
      <c r="E32" s="122" t="s">
        <v>168</v>
      </c>
      <c r="F32" s="14"/>
      <c r="G32" s="539" t="s">
        <v>1779</v>
      </c>
      <c r="H32" s="14"/>
      <c r="I32" s="14"/>
      <c r="J32" s="14"/>
      <c r="K32" s="14"/>
    </row>
    <row r="33" spans="1:11" ht="13">
      <c r="A33" s="109">
        <f t="shared" si="0"/>
        <v>27</v>
      </c>
      <c r="B33" s="14"/>
      <c r="C33" s="465" t="s">
        <v>1780</v>
      </c>
      <c r="D33" s="951">
        <v>5946.7111938534917</v>
      </c>
      <c r="E33" s="122"/>
      <c r="F33" s="14"/>
      <c r="G33" s="570" t="s">
        <v>2307</v>
      </c>
      <c r="H33" s="14"/>
      <c r="I33" s="14"/>
      <c r="J33" s="14"/>
      <c r="K33" s="14"/>
    </row>
    <row r="34" spans="1:11" ht="13">
      <c r="A34" s="109">
        <f t="shared" si="0"/>
        <v>28</v>
      </c>
      <c r="B34" s="14"/>
      <c r="C34" s="465" t="s">
        <v>1781</v>
      </c>
      <c r="D34" s="951">
        <v>6523.0685067525601</v>
      </c>
      <c r="E34" s="122"/>
      <c r="F34" s="14"/>
      <c r="G34" s="570" t="s">
        <v>2308</v>
      </c>
      <c r="H34" s="14"/>
      <c r="I34" s="14"/>
      <c r="J34" s="14"/>
      <c r="K34" s="14"/>
    </row>
    <row r="35" spans="1:11" ht="13">
      <c r="A35" s="109">
        <f t="shared" si="0"/>
        <v>29</v>
      </c>
      <c r="B35" s="14"/>
      <c r="C35" s="465" t="s">
        <v>1782</v>
      </c>
      <c r="D35" s="111">
        <f>SUM(D33:D34)</f>
        <v>12469.779700606052</v>
      </c>
      <c r="E35" s="15" t="str">
        <f>" = L"&amp;A33&amp;" + L"&amp;A34&amp;""</f>
        <v xml:space="preserve"> = L27 + L28</v>
      </c>
      <c r="F35" s="14"/>
      <c r="G35" s="570" t="s">
        <v>2309</v>
      </c>
      <c r="H35" s="14"/>
      <c r="I35" s="14"/>
      <c r="J35" s="14"/>
      <c r="K35" s="14"/>
    </row>
    <row r="36" spans="1:11" ht="13">
      <c r="A36" s="109">
        <f t="shared" si="0"/>
        <v>30</v>
      </c>
      <c r="B36" s="14"/>
      <c r="C36" s="465" t="s">
        <v>2343</v>
      </c>
      <c r="D36" s="912">
        <f>D33/D35</f>
        <v>0.47688983579753791</v>
      </c>
      <c r="E36" s="15" t="str">
        <f>" = L"&amp;A33&amp;" / L"&amp;A35&amp;""</f>
        <v xml:space="preserve"> = L27 / L29</v>
      </c>
      <c r="F36" s="14"/>
      <c r="G36" s="868"/>
      <c r="H36" s="14"/>
      <c r="I36" s="14"/>
      <c r="J36" s="14"/>
      <c r="K36" s="14"/>
    </row>
    <row r="37" spans="1:11" ht="13">
      <c r="A37" s="109">
        <f t="shared" si="0"/>
        <v>31</v>
      </c>
      <c r="B37" s="122"/>
      <c r="C37" s="122"/>
      <c r="D37" s="14"/>
      <c r="E37" s="122"/>
      <c r="F37" s="14"/>
      <c r="G37" s="122"/>
      <c r="H37" s="14"/>
      <c r="I37" s="14"/>
      <c r="J37" s="14"/>
      <c r="K37" s="14"/>
    </row>
    <row r="38" spans="1:11" ht="13">
      <c r="A38" s="109">
        <f t="shared" si="0"/>
        <v>32</v>
      </c>
      <c r="B38" s="465" t="s">
        <v>2397</v>
      </c>
      <c r="C38" s="14"/>
      <c r="D38" s="122" t="s">
        <v>1778</v>
      </c>
      <c r="E38" s="122" t="s">
        <v>168</v>
      </c>
      <c r="F38" s="14"/>
      <c r="G38" s="539" t="s">
        <v>1779</v>
      </c>
      <c r="H38" s="14"/>
      <c r="I38" s="14"/>
      <c r="J38" s="14"/>
      <c r="K38" s="14"/>
    </row>
    <row r="39" spans="1:11" ht="13">
      <c r="A39" s="109">
        <f t="shared" si="0"/>
        <v>33</v>
      </c>
      <c r="B39" s="838"/>
      <c r="C39" s="465" t="s">
        <v>1783</v>
      </c>
      <c r="D39" s="951">
        <v>4.7140999999999993</v>
      </c>
      <c r="E39" s="122"/>
      <c r="F39" s="14"/>
      <c r="G39" s="868" t="s">
        <v>1272</v>
      </c>
      <c r="H39" s="14"/>
      <c r="I39" s="14"/>
      <c r="J39" s="14"/>
      <c r="K39" s="14"/>
    </row>
    <row r="40" spans="1:11" ht="13">
      <c r="A40" s="109">
        <f t="shared" si="0"/>
        <v>34</v>
      </c>
      <c r="B40" s="838"/>
      <c r="C40" s="465" t="s">
        <v>1784</v>
      </c>
      <c r="D40" s="951">
        <v>363.09459999999996</v>
      </c>
      <c r="E40" s="122"/>
      <c r="F40" s="14"/>
      <c r="G40" s="868" t="s">
        <v>1283</v>
      </c>
      <c r="H40" s="14"/>
      <c r="I40" s="14"/>
      <c r="J40" s="14"/>
      <c r="K40" s="14"/>
    </row>
    <row r="41" spans="1:11" ht="13">
      <c r="A41" s="109">
        <f t="shared" si="0"/>
        <v>35</v>
      </c>
      <c r="B41" s="838"/>
      <c r="C41" s="465" t="s">
        <v>1785</v>
      </c>
      <c r="D41" s="111">
        <f>SUM(D39:D40)</f>
        <v>367.80869999999993</v>
      </c>
      <c r="E41" s="15" t="str">
        <f>" = L"&amp;A39&amp;" + L"&amp;A40&amp;""</f>
        <v xml:space="preserve"> = L33 + L34</v>
      </c>
      <c r="F41" s="14"/>
      <c r="G41" s="14"/>
      <c r="H41" s="14"/>
      <c r="I41" s="14"/>
      <c r="J41" s="14"/>
      <c r="K41" s="14"/>
    </row>
    <row r="42" spans="1:11" ht="13">
      <c r="A42" s="109">
        <f t="shared" si="0"/>
        <v>36</v>
      </c>
      <c r="B42" s="838"/>
      <c r="C42" s="465" t="s">
        <v>2344</v>
      </c>
      <c r="D42" s="912">
        <f>D39/D41</f>
        <v>1.2816716950958474E-2</v>
      </c>
      <c r="E42" s="15" t="str">
        <f>" = L"&amp;A39&amp;" / L"&amp;A41&amp;""</f>
        <v xml:space="preserve"> = L33 / L35</v>
      </c>
      <c r="F42" s="14"/>
      <c r="G42" s="14"/>
      <c r="H42" s="14"/>
      <c r="I42" s="14"/>
      <c r="J42" s="14"/>
      <c r="K42" s="14"/>
    </row>
    <row r="43" spans="1:11" ht="13">
      <c r="A43" s="109">
        <f t="shared" si="0"/>
        <v>37</v>
      </c>
      <c r="B43" s="838"/>
      <c r="C43" s="112"/>
      <c r="D43" s="14"/>
      <c r="E43" s="122"/>
      <c r="F43" s="14"/>
      <c r="G43" s="63"/>
      <c r="H43" s="14"/>
      <c r="I43" s="14"/>
      <c r="J43" s="14"/>
      <c r="K43" s="14"/>
    </row>
    <row r="44" spans="1:11" ht="13">
      <c r="A44" s="109">
        <f t="shared" si="0"/>
        <v>38</v>
      </c>
      <c r="B44" s="465" t="s">
        <v>2398</v>
      </c>
      <c r="C44" s="14"/>
      <c r="D44" s="122" t="s">
        <v>1778</v>
      </c>
      <c r="E44" s="122" t="s">
        <v>168</v>
      </c>
      <c r="F44" s="14"/>
      <c r="G44" s="539" t="s">
        <v>1779</v>
      </c>
      <c r="H44" s="14"/>
      <c r="I44" s="14"/>
      <c r="J44" s="14"/>
      <c r="K44" s="14"/>
    </row>
    <row r="45" spans="1:11" ht="13">
      <c r="A45" s="109">
        <f t="shared" ref="A45:A54" si="1">A44+1</f>
        <v>39</v>
      </c>
      <c r="B45" s="838"/>
      <c r="C45" s="465" t="s">
        <v>1786</v>
      </c>
      <c r="D45" s="951">
        <v>1291</v>
      </c>
      <c r="E45" s="122"/>
      <c r="F45" s="14"/>
      <c r="G45" s="868" t="s">
        <v>2310</v>
      </c>
      <c r="H45" s="14"/>
      <c r="I45" s="14"/>
      <c r="J45" s="14"/>
      <c r="K45" s="14"/>
    </row>
    <row r="46" spans="1:11" ht="13">
      <c r="A46" s="109">
        <f t="shared" si="1"/>
        <v>40</v>
      </c>
      <c r="B46" s="838"/>
      <c r="C46" s="465" t="s">
        <v>1787</v>
      </c>
      <c r="D46" s="951">
        <v>2015</v>
      </c>
      <c r="E46" s="122"/>
      <c r="F46" s="14"/>
      <c r="G46" s="868"/>
      <c r="H46" s="14"/>
      <c r="I46" s="14"/>
      <c r="J46" s="14"/>
      <c r="K46" s="14"/>
    </row>
    <row r="47" spans="1:11" ht="13">
      <c r="A47" s="109">
        <f t="shared" si="1"/>
        <v>41</v>
      </c>
      <c r="B47" s="838"/>
      <c r="C47" s="465" t="s">
        <v>1788</v>
      </c>
      <c r="D47" s="111">
        <f>SUM(D45:D46)</f>
        <v>3306</v>
      </c>
      <c r="E47" s="15" t="str">
        <f>" = L"&amp;A45&amp;" + L"&amp;A46&amp;""</f>
        <v xml:space="preserve"> = L39 + L40</v>
      </c>
      <c r="F47" s="14"/>
      <c r="G47" s="14"/>
      <c r="H47" s="14"/>
      <c r="I47" s="14"/>
      <c r="J47" s="14"/>
      <c r="K47" s="14"/>
    </row>
    <row r="48" spans="1:11" ht="13">
      <c r="A48" s="109">
        <f t="shared" si="1"/>
        <v>42</v>
      </c>
      <c r="B48" s="838"/>
      <c r="C48" s="465" t="s">
        <v>1789</v>
      </c>
      <c r="D48" s="912">
        <f>D45/D47</f>
        <v>0.39050211736237145</v>
      </c>
      <c r="E48" s="15" t="str">
        <f>" = L"&amp;A45&amp;" / L"&amp;A47&amp;""</f>
        <v xml:space="preserve"> = L39 / L41</v>
      </c>
      <c r="F48" s="14"/>
      <c r="G48" s="14"/>
      <c r="H48" s="14"/>
      <c r="I48" s="14"/>
      <c r="J48" s="14"/>
      <c r="K48" s="14"/>
    </row>
    <row r="49" spans="1:11" ht="13">
      <c r="A49" s="109">
        <f t="shared" si="1"/>
        <v>43</v>
      </c>
      <c r="B49" s="14"/>
      <c r="C49" s="79"/>
      <c r="D49" s="14"/>
      <c r="E49" s="14"/>
      <c r="F49" s="14"/>
      <c r="G49" s="14"/>
      <c r="H49" s="14"/>
      <c r="I49" s="14"/>
      <c r="J49" s="14"/>
      <c r="K49" s="14"/>
    </row>
    <row r="50" spans="1:11" ht="13">
      <c r="A50" s="109">
        <f t="shared" si="1"/>
        <v>44</v>
      </c>
      <c r="B50" s="465" t="s">
        <v>2399</v>
      </c>
      <c r="C50" s="14"/>
      <c r="D50" s="122" t="s">
        <v>1778</v>
      </c>
      <c r="E50" s="122" t="s">
        <v>168</v>
      </c>
      <c r="F50" s="14"/>
      <c r="G50" s="539" t="s">
        <v>1779</v>
      </c>
      <c r="H50" s="14"/>
      <c r="I50" s="14"/>
      <c r="J50" s="14"/>
      <c r="K50" s="14"/>
    </row>
    <row r="51" spans="1:11" ht="13">
      <c r="A51" s="109">
        <f t="shared" si="1"/>
        <v>45</v>
      </c>
      <c r="B51" s="838"/>
      <c r="C51" s="465" t="s">
        <v>1792</v>
      </c>
      <c r="D51" s="951">
        <v>0</v>
      </c>
      <c r="E51" s="122"/>
      <c r="F51" s="14"/>
      <c r="G51" s="570" t="s">
        <v>2311</v>
      </c>
      <c r="H51" s="14"/>
      <c r="I51" s="14"/>
      <c r="J51" s="14"/>
      <c r="K51" s="14"/>
    </row>
    <row r="52" spans="1:11" ht="13">
      <c r="A52" s="109">
        <f t="shared" si="1"/>
        <v>46</v>
      </c>
      <c r="B52" s="838"/>
      <c r="C52" s="465" t="s">
        <v>1790</v>
      </c>
      <c r="D52" s="951">
        <v>8942</v>
      </c>
      <c r="E52" s="122"/>
      <c r="F52" s="14"/>
      <c r="G52" s="570" t="s">
        <v>1287</v>
      </c>
      <c r="H52" s="14"/>
      <c r="I52" s="14"/>
      <c r="J52" s="14"/>
      <c r="K52" s="14"/>
    </row>
    <row r="53" spans="1:11" ht="13">
      <c r="A53" s="109">
        <f t="shared" si="1"/>
        <v>47</v>
      </c>
      <c r="B53" s="838"/>
      <c r="C53" s="465" t="s">
        <v>1791</v>
      </c>
      <c r="D53" s="111">
        <f>D51+D52</f>
        <v>8942</v>
      </c>
      <c r="E53" s="15" t="str">
        <f>" = L"&amp;A51&amp;" + L"&amp;A52&amp;""</f>
        <v xml:space="preserve"> = L45 + L46</v>
      </c>
      <c r="F53" s="14"/>
      <c r="G53" s="570" t="s">
        <v>1288</v>
      </c>
      <c r="H53" s="14"/>
      <c r="I53" s="14"/>
      <c r="J53" s="14"/>
      <c r="K53" s="14"/>
    </row>
    <row r="54" spans="1:11" ht="13">
      <c r="A54" s="109">
        <f t="shared" si="1"/>
        <v>48</v>
      </c>
      <c r="B54" s="838"/>
      <c r="C54" s="465" t="s">
        <v>1793</v>
      </c>
      <c r="D54" s="912">
        <f>D51/D53</f>
        <v>0</v>
      </c>
      <c r="E54" s="15" t="str">
        <f>" = L"&amp;A51&amp;" / L"&amp;A53&amp;""</f>
        <v xml:space="preserve"> = L45 / L47</v>
      </c>
      <c r="F54" s="14"/>
      <c r="G54" s="570" t="s">
        <v>2312</v>
      </c>
      <c r="H54" s="14"/>
      <c r="I54" s="14"/>
      <c r="J54" s="14"/>
      <c r="K54" s="14"/>
    </row>
    <row r="55" spans="1:11" ht="13">
      <c r="A55" s="549"/>
      <c r="E55" s="14"/>
      <c r="F55" s="14"/>
      <c r="G55" s="14"/>
      <c r="H55" s="14"/>
      <c r="I55" s="14"/>
      <c r="J55" s="14"/>
      <c r="K55" s="14"/>
    </row>
    <row r="56" spans="1:11" ht="13">
      <c r="A56" s="549"/>
      <c r="E56" s="14"/>
      <c r="F56" s="14"/>
      <c r="G56" s="14"/>
      <c r="H56" s="14"/>
      <c r="I56" s="14"/>
      <c r="J56" s="14"/>
      <c r="K56" s="14"/>
    </row>
    <row r="57" spans="1:11" ht="13">
      <c r="A57" s="549"/>
      <c r="E57" s="14"/>
      <c r="F57" s="14"/>
      <c r="G57" s="14"/>
      <c r="H57" s="14"/>
      <c r="I57" s="14"/>
      <c r="J57" s="14"/>
      <c r="K57" s="14"/>
    </row>
    <row r="58" spans="1:11" ht="13">
      <c r="A58" s="549"/>
    </row>
    <row r="59" spans="1:11" ht="13">
      <c r="A59" s="549"/>
    </row>
    <row r="60" spans="1:11" ht="13">
      <c r="A60" s="549"/>
    </row>
    <row r="61" spans="1:11" ht="13">
      <c r="A61" s="549"/>
    </row>
    <row r="62" spans="1:11" ht="13">
      <c r="A62" s="549"/>
    </row>
    <row r="63" spans="1:11" ht="13">
      <c r="A63" s="549"/>
    </row>
    <row r="64" spans="1:11" ht="13">
      <c r="A64" s="549"/>
    </row>
    <row r="65" spans="1:1" ht="13">
      <c r="A65" s="549"/>
    </row>
    <row r="66" spans="1:1" ht="13">
      <c r="A66" s="549"/>
    </row>
  </sheetData>
  <phoneticPr fontId="23" type="noConversion"/>
  <pageMargins left="0.75" right="0.75" top="1" bottom="1" header="0.5" footer="0.5"/>
  <pageSetup scale="65" orientation="landscape" cellComments="asDisplayed" r:id="rId1"/>
  <headerFooter alignWithMargins="0">
    <oddHeader>&amp;CSchedule 27
Allocation Factors
&amp;RTO2022 Draft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heetViews>
  <sheetFormatPr defaultRowHeight="12.5"/>
  <cols>
    <col min="1" max="1" width="4.54296875" customWidth="1"/>
    <col min="2" max="2" width="3.54296875" customWidth="1"/>
    <col min="3" max="6" width="10.54296875" customWidth="1"/>
    <col min="7" max="7" width="9.453125" bestFit="1" customWidth="1"/>
    <col min="8" max="8" width="4.54296875" customWidth="1"/>
    <col min="9" max="9" width="35.54296875" customWidth="1"/>
  </cols>
  <sheetData>
    <row r="1" spans="1:9" ht="13">
      <c r="A1" s="1" t="s">
        <v>1631</v>
      </c>
    </row>
    <row r="2" spans="1:9" ht="13">
      <c r="C2" s="1229"/>
      <c r="D2" s="1" t="s">
        <v>2531</v>
      </c>
      <c r="E2" s="1488" t="s">
        <v>2940</v>
      </c>
      <c r="F2" s="511"/>
    </row>
    <row r="3" spans="1:9" ht="13">
      <c r="B3" s="1" t="s">
        <v>497</v>
      </c>
      <c r="I3" s="96" t="s">
        <v>17</v>
      </c>
    </row>
    <row r="4" spans="1:9" ht="13">
      <c r="B4" s="1"/>
      <c r="I4" s="14"/>
    </row>
    <row r="5" spans="1:9" ht="13">
      <c r="E5" s="109" t="s">
        <v>1851</v>
      </c>
    </row>
    <row r="6" spans="1:9" ht="13">
      <c r="A6" s="51" t="s">
        <v>329</v>
      </c>
      <c r="C6" s="3" t="s">
        <v>232</v>
      </c>
      <c r="D6" s="3" t="s">
        <v>233</v>
      </c>
      <c r="E6" s="913" t="s">
        <v>63</v>
      </c>
      <c r="G6" s="3" t="s">
        <v>234</v>
      </c>
      <c r="I6" s="51" t="s">
        <v>205</v>
      </c>
    </row>
    <row r="7" spans="1:9" ht="13">
      <c r="A7" s="2">
        <v>1</v>
      </c>
      <c r="C7" s="147">
        <v>2020</v>
      </c>
      <c r="D7" s="1484" t="s">
        <v>2812</v>
      </c>
      <c r="E7" s="148">
        <v>366</v>
      </c>
      <c r="F7" s="955"/>
      <c r="G7" s="1482">
        <v>9.2480778683301876E-3</v>
      </c>
      <c r="H7" s="955"/>
      <c r="I7" s="711" t="s">
        <v>2869</v>
      </c>
    </row>
    <row r="8" spans="1:9" ht="13">
      <c r="A8" s="2">
        <v>2</v>
      </c>
      <c r="C8" s="96"/>
      <c r="D8" s="96"/>
      <c r="E8" s="96"/>
      <c r="G8" s="96"/>
      <c r="I8" s="114"/>
    </row>
    <row r="10" spans="1:9" ht="13">
      <c r="B10" s="1" t="s">
        <v>1632</v>
      </c>
    </row>
    <row r="11" spans="1:9" ht="13">
      <c r="B11" s="1"/>
    </row>
    <row r="12" spans="1:9" ht="13">
      <c r="E12" s="109" t="s">
        <v>1851</v>
      </c>
    </row>
    <row r="13" spans="1:9" ht="13">
      <c r="C13" s="3" t="s">
        <v>232</v>
      </c>
      <c r="D13" s="3" t="s">
        <v>233</v>
      </c>
      <c r="E13" s="913" t="s">
        <v>63</v>
      </c>
      <c r="G13" s="3" t="s">
        <v>235</v>
      </c>
      <c r="I13" s="51" t="s">
        <v>205</v>
      </c>
    </row>
    <row r="14" spans="1:9" ht="13">
      <c r="A14" s="2">
        <v>3</v>
      </c>
      <c r="C14" s="147">
        <v>2020</v>
      </c>
      <c r="D14" s="148" t="s">
        <v>2812</v>
      </c>
      <c r="E14" s="148">
        <v>366</v>
      </c>
      <c r="F14" s="955"/>
      <c r="G14" s="1252">
        <v>1.3459149296384537E-2</v>
      </c>
      <c r="H14" s="955"/>
      <c r="I14" s="961" t="s">
        <v>2870</v>
      </c>
    </row>
    <row r="15" spans="1:9" ht="13">
      <c r="A15" s="2">
        <v>4</v>
      </c>
      <c r="C15" s="147"/>
      <c r="D15" s="96"/>
      <c r="E15" s="96"/>
      <c r="G15" s="88"/>
      <c r="I15" s="114"/>
    </row>
    <row r="18" spans="1:9" ht="13">
      <c r="B18" s="1" t="s">
        <v>496</v>
      </c>
    </row>
    <row r="19" spans="1:9" ht="13">
      <c r="B19" s="1"/>
    </row>
    <row r="20" spans="1:9" ht="13">
      <c r="C20" s="2" t="s">
        <v>402</v>
      </c>
      <c r="D20" s="2"/>
      <c r="E20" s="2"/>
    </row>
    <row r="21" spans="1:9" ht="13">
      <c r="C21" s="3" t="s">
        <v>193</v>
      </c>
      <c r="D21" s="3" t="s">
        <v>234</v>
      </c>
      <c r="E21" s="3" t="s">
        <v>235</v>
      </c>
      <c r="I21" s="51" t="s">
        <v>168</v>
      </c>
    </row>
    <row r="22" spans="1:9" ht="13">
      <c r="A22" s="2">
        <v>5</v>
      </c>
      <c r="C22" s="148">
        <v>2020</v>
      </c>
      <c r="D22" s="914">
        <f>E41</f>
        <v>9.2480778683301876E-3</v>
      </c>
      <c r="E22" s="914">
        <f>E42</f>
        <v>1.3459149296384539E-2</v>
      </c>
      <c r="F22" s="14"/>
      <c r="G22" s="14"/>
      <c r="H22" s="14"/>
      <c r="I22" s="465" t="s">
        <v>1726</v>
      </c>
    </row>
    <row r="24" spans="1:9" ht="13">
      <c r="B24" s="1" t="s">
        <v>230</v>
      </c>
    </row>
    <row r="25" spans="1:9">
      <c r="B25" s="12" t="s">
        <v>546</v>
      </c>
    </row>
    <row r="26" spans="1:9">
      <c r="B26" s="12" t="s">
        <v>545</v>
      </c>
    </row>
    <row r="28" spans="1:9" ht="13">
      <c r="B28" s="1" t="s">
        <v>377</v>
      </c>
    </row>
    <row r="29" spans="1:9">
      <c r="B29" s="465" t="s">
        <v>1728</v>
      </c>
      <c r="C29" s="14"/>
      <c r="D29" s="14"/>
      <c r="E29" s="14"/>
      <c r="F29" s="14"/>
      <c r="G29" s="14"/>
      <c r="H29" s="14"/>
      <c r="I29" s="14"/>
    </row>
    <row r="30" spans="1:9">
      <c r="B30" s="465" t="s">
        <v>1737</v>
      </c>
      <c r="C30" s="14"/>
      <c r="D30" s="14"/>
      <c r="E30" s="14"/>
      <c r="F30" s="14"/>
      <c r="G30" s="14"/>
      <c r="H30" s="14"/>
      <c r="I30" s="14"/>
    </row>
    <row r="31" spans="1:9">
      <c r="B31" s="465" t="s">
        <v>1856</v>
      </c>
      <c r="C31" s="14"/>
      <c r="D31" s="14"/>
      <c r="E31" s="14"/>
      <c r="F31" s="14"/>
      <c r="G31" s="14"/>
      <c r="H31" s="14"/>
      <c r="I31" s="14"/>
    </row>
    <row r="32" spans="1:9">
      <c r="B32" s="465" t="s">
        <v>1855</v>
      </c>
      <c r="C32" s="14"/>
      <c r="D32" s="14"/>
      <c r="E32" s="14"/>
      <c r="F32" s="14"/>
      <c r="G32" s="14"/>
      <c r="H32" s="14"/>
      <c r="I32" s="14"/>
    </row>
    <row r="33" spans="2:9">
      <c r="B33" s="465" t="s">
        <v>1723</v>
      </c>
      <c r="C33" s="14"/>
      <c r="D33" s="14"/>
      <c r="E33" s="14"/>
      <c r="F33" s="14"/>
      <c r="G33" s="14"/>
      <c r="H33" s="14"/>
      <c r="I33" s="14"/>
    </row>
    <row r="34" spans="2:9">
      <c r="B34" s="465" t="s">
        <v>1724</v>
      </c>
      <c r="C34" s="14"/>
      <c r="D34" s="14"/>
      <c r="E34" s="14"/>
      <c r="F34" s="14"/>
      <c r="G34" s="14"/>
      <c r="H34" s="14"/>
      <c r="I34" s="14"/>
    </row>
    <row r="35" spans="2:9">
      <c r="B35" s="465" t="s">
        <v>2008</v>
      </c>
      <c r="C35" s="14"/>
      <c r="D35" s="14"/>
      <c r="E35" s="14"/>
      <c r="F35" s="14"/>
      <c r="G35" s="14"/>
      <c r="H35" s="14"/>
      <c r="I35" s="14"/>
    </row>
    <row r="36" spans="2:9">
      <c r="B36" s="465" t="s">
        <v>1727</v>
      </c>
      <c r="C36" s="14"/>
      <c r="D36" s="14"/>
      <c r="E36" s="14"/>
      <c r="F36" s="14"/>
      <c r="G36" s="14"/>
      <c r="H36" s="14"/>
      <c r="I36" s="14"/>
    </row>
    <row r="37" spans="2:9">
      <c r="B37" s="465" t="s">
        <v>1725</v>
      </c>
      <c r="C37" s="14"/>
      <c r="D37" s="14"/>
      <c r="E37" s="14"/>
      <c r="F37" s="14"/>
      <c r="G37" s="14"/>
      <c r="H37" s="14"/>
      <c r="I37" s="14"/>
    </row>
    <row r="38" spans="2:9">
      <c r="B38" s="465" t="s">
        <v>1854</v>
      </c>
      <c r="C38" s="14"/>
      <c r="D38" s="14"/>
      <c r="E38" s="14"/>
      <c r="F38" s="14"/>
      <c r="G38" s="14"/>
      <c r="H38" s="14"/>
      <c r="I38" s="14"/>
    </row>
    <row r="39" spans="2:9">
      <c r="B39" s="14"/>
      <c r="C39" s="14"/>
      <c r="D39" s="14"/>
      <c r="E39" s="14"/>
      <c r="F39" s="14"/>
      <c r="G39" s="14"/>
      <c r="H39" s="14"/>
      <c r="I39" s="14"/>
    </row>
    <row r="40" spans="2:9" ht="13">
      <c r="B40" s="14"/>
      <c r="C40" s="14"/>
      <c r="D40" s="14"/>
      <c r="E40" s="122" t="s">
        <v>1426</v>
      </c>
      <c r="F40" s="14"/>
      <c r="G40" s="833" t="s">
        <v>154</v>
      </c>
      <c r="H40" s="14"/>
      <c r="I40" s="14"/>
    </row>
    <row r="41" spans="2:9">
      <c r="B41" s="14"/>
      <c r="C41" s="14"/>
      <c r="D41" s="842" t="s">
        <v>1852</v>
      </c>
      <c r="E41" s="914">
        <f>((G7*E7) + (G8*E8))/(E7+E8)</f>
        <v>9.2480778683301876E-3</v>
      </c>
      <c r="F41" s="14"/>
      <c r="G41" s="570" t="s">
        <v>2345</v>
      </c>
      <c r="H41" s="14"/>
      <c r="I41" s="14"/>
    </row>
    <row r="42" spans="2:9">
      <c r="B42" s="14"/>
      <c r="C42" s="14"/>
      <c r="D42" s="842" t="s">
        <v>1853</v>
      </c>
      <c r="E42" s="914">
        <f>((G14*E14) + (G15*E15))/(E14+E15)</f>
        <v>1.3459149296384539E-2</v>
      </c>
      <c r="F42" s="14"/>
      <c r="G42" s="570" t="s">
        <v>2346</v>
      </c>
      <c r="H42" s="14"/>
      <c r="I42" s="14"/>
    </row>
  </sheetData>
  <phoneticPr fontId="23" type="noConversion"/>
  <pageMargins left="0.75" right="0.75" top="1" bottom="1" header="0.5" footer="0.5"/>
  <pageSetup scale="82" orientation="portrait" cellComments="asDisplayed" r:id="rId1"/>
  <headerFooter alignWithMargins="0">
    <oddHeader>&amp;CSchedule 28
FF and U
&amp;RTO2022 Draft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1374</v>
      </c>
    </row>
    <row r="2" spans="1:10">
      <c r="G2" s="43" t="s">
        <v>17</v>
      </c>
      <c r="H2" s="43"/>
      <c r="I2" s="96"/>
    </row>
    <row r="3" spans="1:10" ht="13">
      <c r="A3" s="3" t="s">
        <v>329</v>
      </c>
      <c r="B3" s="3" t="s">
        <v>83</v>
      </c>
      <c r="F3" s="51" t="s">
        <v>168</v>
      </c>
      <c r="G3" s="51" t="s">
        <v>179</v>
      </c>
      <c r="J3" s="51"/>
    </row>
    <row r="4" spans="1:10" ht="13">
      <c r="A4" s="2">
        <v>1</v>
      </c>
      <c r="B4" s="47">
        <f>'1-BaseTRR'!K159</f>
        <v>1377792084.9447136</v>
      </c>
      <c r="C4" s="52" t="s">
        <v>133</v>
      </c>
      <c r="G4" s="15" t="str">
        <f>"1-BaseTRR, Line "&amp;'1-BaseTRR'!A159&amp;""</f>
        <v>1-BaseTRR, Line 89</v>
      </c>
      <c r="H4" s="14"/>
    </row>
    <row r="5" spans="1:10" ht="13">
      <c r="A5" s="2">
        <f t="shared" ref="A5:A10" si="0">A4+1</f>
        <v>2</v>
      </c>
      <c r="B5" s="1218">
        <v>-91053969</v>
      </c>
      <c r="C5" s="52" t="s">
        <v>134</v>
      </c>
      <c r="F5" s="15" t="s">
        <v>359</v>
      </c>
      <c r="G5" s="1216" t="s">
        <v>2824</v>
      </c>
      <c r="H5" s="1216"/>
      <c r="I5" s="1216" t="s">
        <v>2825</v>
      </c>
    </row>
    <row r="6" spans="1:10" ht="13">
      <c r="A6" s="2">
        <f t="shared" si="0"/>
        <v>3</v>
      </c>
      <c r="B6" s="1218">
        <v>-90700417</v>
      </c>
      <c r="C6" s="52" t="s">
        <v>135</v>
      </c>
      <c r="F6" s="14"/>
      <c r="G6" s="1216" t="s">
        <v>2824</v>
      </c>
      <c r="H6" s="1216"/>
      <c r="I6" s="1216" t="s">
        <v>2825</v>
      </c>
    </row>
    <row r="7" spans="1:10" ht="13">
      <c r="A7" s="2">
        <f t="shared" si="0"/>
        <v>4</v>
      </c>
      <c r="B7" s="1218">
        <v>-353552</v>
      </c>
      <c r="C7" s="52" t="s">
        <v>136</v>
      </c>
      <c r="F7" s="14"/>
      <c r="G7" s="1216" t="s">
        <v>2824</v>
      </c>
      <c r="H7" s="1216"/>
      <c r="I7" s="1216" t="s">
        <v>2825</v>
      </c>
    </row>
    <row r="8" spans="1:10" ht="13">
      <c r="A8" s="2">
        <f t="shared" si="0"/>
        <v>5</v>
      </c>
      <c r="B8" s="47">
        <f>-'33-RetailRates'!E61</f>
        <v>-9100474.8780463748</v>
      </c>
      <c r="C8" s="52" t="s">
        <v>137</v>
      </c>
      <c r="F8" s="14" t="s">
        <v>360</v>
      </c>
      <c r="G8" t="s">
        <v>82</v>
      </c>
    </row>
    <row r="9" spans="1:10" ht="13">
      <c r="A9" s="2">
        <f t="shared" si="0"/>
        <v>6</v>
      </c>
      <c r="B9" s="8">
        <f>'31-HVLV'!C45</f>
        <v>0.96896422024092232</v>
      </c>
      <c r="C9" s="52" t="s">
        <v>81</v>
      </c>
      <c r="G9" s="15" t="str">
        <f>"31-HVLV, Line "&amp;'31-HVLV'!A45&amp;""</f>
        <v>31-HVLV, Line 37</v>
      </c>
      <c r="H9" s="14"/>
      <c r="I9" s="14"/>
    </row>
    <row r="10" spans="1:10" ht="13">
      <c r="A10" s="2">
        <f t="shared" si="0"/>
        <v>7</v>
      </c>
      <c r="B10" s="8">
        <f>'31-HVLV'!D45</f>
        <v>3.1035779759077869E-2</v>
      </c>
      <c r="C10" s="52" t="s">
        <v>80</v>
      </c>
      <c r="G10" s="15" t="str">
        <f>"31-HVLV, Line "&amp;'31-HVLV'!A45&amp;""</f>
        <v>31-HVLV, Line 37</v>
      </c>
      <c r="H10" s="14"/>
      <c r="I10" s="14"/>
    </row>
    <row r="11" spans="1:10">
      <c r="C11" s="37"/>
      <c r="D11" s="89"/>
      <c r="E11" s="89"/>
      <c r="F11" s="89"/>
      <c r="G11" s="89"/>
      <c r="H11" s="89"/>
      <c r="J11" s="89"/>
    </row>
    <row r="12" spans="1:10" ht="13">
      <c r="B12" s="1" t="s">
        <v>1499</v>
      </c>
      <c r="C12" s="37"/>
      <c r="D12" s="89"/>
      <c r="E12" s="89"/>
      <c r="F12" s="89"/>
      <c r="G12" s="89"/>
      <c r="H12" s="89"/>
    </row>
    <row r="13" spans="1:10" ht="13">
      <c r="B13" s="1"/>
      <c r="C13" s="37"/>
      <c r="D13" s="89"/>
      <c r="E13" s="89"/>
      <c r="F13" s="89"/>
      <c r="G13" s="89"/>
      <c r="H13" s="89"/>
    </row>
    <row r="14" spans="1:10" ht="13">
      <c r="B14" s="1"/>
      <c r="C14" s="37"/>
      <c r="D14" s="84" t="s">
        <v>358</v>
      </c>
      <c r="E14" s="84" t="s">
        <v>342</v>
      </c>
      <c r="F14" s="84" t="s">
        <v>343</v>
      </c>
      <c r="G14" s="89"/>
      <c r="H14" s="89"/>
    </row>
    <row r="15" spans="1:10" ht="13">
      <c r="B15" s="1"/>
      <c r="C15" s="37"/>
      <c r="F15" s="89"/>
      <c r="G15" s="89"/>
      <c r="H15" s="89"/>
    </row>
    <row r="16" spans="1:10" ht="13">
      <c r="E16" s="2" t="s">
        <v>466</v>
      </c>
      <c r="F16" s="2" t="s">
        <v>467</v>
      </c>
    </row>
    <row r="17" spans="1:9" ht="13">
      <c r="C17" s="37"/>
      <c r="D17" s="3" t="s">
        <v>138</v>
      </c>
      <c r="E17" s="3" t="s">
        <v>465</v>
      </c>
      <c r="F17" s="3" t="s">
        <v>465</v>
      </c>
      <c r="G17" s="3"/>
      <c r="H17" s="3" t="s">
        <v>179</v>
      </c>
    </row>
    <row r="18" spans="1:9" ht="13">
      <c r="A18" s="2">
        <f>A10+1</f>
        <v>8</v>
      </c>
      <c r="B18" s="90"/>
      <c r="C18" s="68" t="s">
        <v>149</v>
      </c>
      <c r="D18" s="7">
        <f>B4</f>
        <v>1377792084.9447136</v>
      </c>
      <c r="E18" s="7">
        <f>D18*B9</f>
        <v>1335031233.242569</v>
      </c>
      <c r="F18" s="7">
        <f>D18*B10</f>
        <v>42760851.702144839</v>
      </c>
      <c r="G18" s="7"/>
      <c r="H18" s="465" t="s">
        <v>281</v>
      </c>
    </row>
    <row r="19" spans="1:9" ht="13">
      <c r="A19" s="483">
        <f>A18+1</f>
        <v>9</v>
      </c>
      <c r="B19" s="90"/>
      <c r="C19" s="68" t="s">
        <v>1497</v>
      </c>
      <c r="D19" s="7">
        <f>'24-CWIPTRR'!E149</f>
        <v>14529502.447809758</v>
      </c>
      <c r="E19" s="7">
        <f>'24-CWIPTRR'!E149</f>
        <v>14529502.447809758</v>
      </c>
      <c r="F19" s="7">
        <v>0</v>
      </c>
      <c r="G19" s="7"/>
      <c r="H19" s="465" t="s">
        <v>951</v>
      </c>
    </row>
    <row r="20" spans="1:9" ht="13">
      <c r="A20" s="483">
        <f>A19+1</f>
        <v>10</v>
      </c>
      <c r="B20" s="90"/>
      <c r="C20" s="68" t="s">
        <v>1498</v>
      </c>
      <c r="D20" s="7">
        <f>D18-D19</f>
        <v>1363262582.4969039</v>
      </c>
      <c r="E20" s="7">
        <f t="shared" ref="E20:F20" si="1">E18-E19</f>
        <v>1320501730.7947593</v>
      </c>
      <c r="F20" s="7">
        <f t="shared" si="1"/>
        <v>42760851.702144839</v>
      </c>
      <c r="G20" s="7"/>
      <c r="H20" s="465" t="s">
        <v>952</v>
      </c>
    </row>
    <row r="21" spans="1:9" ht="13">
      <c r="B21" s="90"/>
      <c r="C21" s="90"/>
      <c r="D21" s="7"/>
      <c r="E21" s="7"/>
      <c r="F21" s="7"/>
      <c r="G21" s="7"/>
      <c r="H21" s="14"/>
    </row>
    <row r="22" spans="1:9" ht="13">
      <c r="A22" s="2">
        <f>A20+1</f>
        <v>11</v>
      </c>
      <c r="B22" s="1"/>
      <c r="C22" s="68" t="s">
        <v>139</v>
      </c>
      <c r="D22" s="7">
        <f>B5</f>
        <v>-91053969</v>
      </c>
      <c r="E22" s="7">
        <f>B6</f>
        <v>-90700417</v>
      </c>
      <c r="F22" s="7">
        <f>B7</f>
        <v>-353552</v>
      </c>
      <c r="G22" s="7"/>
      <c r="H22" s="14" t="str">
        <f>"Lines "&amp;A5&amp;" to "&amp;A7&amp;""</f>
        <v>Lines 2 to 4</v>
      </c>
    </row>
    <row r="23" spans="1:9" ht="13">
      <c r="B23" s="1"/>
      <c r="C23" s="68"/>
      <c r="D23" s="7"/>
      <c r="E23" s="7"/>
      <c r="F23" s="7"/>
      <c r="G23" s="7"/>
    </row>
    <row r="24" spans="1:9" ht="13">
      <c r="A24" s="2">
        <f>A22+1</f>
        <v>12</v>
      </c>
      <c r="B24" s="1"/>
      <c r="C24" s="68" t="s">
        <v>1621</v>
      </c>
      <c r="D24" s="91">
        <f>$B$8</f>
        <v>-9100474.8780463748</v>
      </c>
      <c r="E24" s="91">
        <f>$B$8*$B$9</f>
        <v>-8818034.5440283082</v>
      </c>
      <c r="F24" s="91">
        <f>$B$8*$B$10</f>
        <v>-282440.33401806833</v>
      </c>
      <c r="G24" s="91"/>
      <c r="H24" s="463" t="s">
        <v>522</v>
      </c>
    </row>
    <row r="25" spans="1:9" ht="13">
      <c r="A25" s="538"/>
      <c r="B25" s="1"/>
      <c r="C25" s="68"/>
      <c r="D25" s="91"/>
      <c r="E25" s="91"/>
      <c r="F25" s="91"/>
      <c r="G25" s="91"/>
      <c r="H25" s="463"/>
    </row>
    <row r="26" spans="1:9" ht="13">
      <c r="B26" s="1"/>
      <c r="C26" s="68" t="s">
        <v>1622</v>
      </c>
      <c r="D26" s="91"/>
      <c r="E26" s="91"/>
      <c r="F26" s="91"/>
      <c r="G26" s="91"/>
    </row>
    <row r="27" spans="1:9" ht="13">
      <c r="A27" s="2">
        <f>A24+1</f>
        <v>13</v>
      </c>
      <c r="B27" s="1"/>
      <c r="C27" s="68" t="s">
        <v>1623</v>
      </c>
      <c r="D27" s="7">
        <f>D18+D22+D24</f>
        <v>1277637641.0666673</v>
      </c>
      <c r="E27" s="7">
        <f>E18+E22+E24</f>
        <v>1235512781.6985407</v>
      </c>
      <c r="F27" s="7">
        <f>F18+F22+F24</f>
        <v>42124859.368126772</v>
      </c>
      <c r="G27" s="7"/>
      <c r="H27" s="47" t="str">
        <f>"Sum of Lines "&amp;A18&amp;", "&amp;A22&amp;", and "&amp;A24&amp;""</f>
        <v>Sum of Lines 8, 11, and 12</v>
      </c>
      <c r="I27" s="14"/>
    </row>
    <row r="28" spans="1:9">
      <c r="E28" s="7"/>
    </row>
    <row r="29" spans="1:9" ht="13">
      <c r="B29" s="51" t="s">
        <v>230</v>
      </c>
    </row>
    <row r="30" spans="1:9">
      <c r="B30" s="12" t="s">
        <v>1402</v>
      </c>
    </row>
    <row r="31" spans="1:9">
      <c r="B31" s="463" t="s">
        <v>1633</v>
      </c>
    </row>
    <row r="32" spans="1:9">
      <c r="B32" s="12" t="s">
        <v>1403</v>
      </c>
    </row>
    <row r="33" spans="2:6">
      <c r="B33" s="465" t="s">
        <v>1771</v>
      </c>
      <c r="C33" s="14"/>
      <c r="D33" s="96" t="s">
        <v>2826</v>
      </c>
      <c r="E33" s="96"/>
      <c r="F33" s="14"/>
    </row>
    <row r="34" spans="2:6">
      <c r="B34" s="15" t="str">
        <f>"3) Column 1 is from Line "&amp;A4&amp;"."</f>
        <v>3) Column 1 is from Line 1.</v>
      </c>
      <c r="C34" s="14"/>
    </row>
    <row r="35" spans="2:6">
      <c r="B35" s="46" t="str">
        <f>"Column 2 equals Column 1 * Line "&amp;A9&amp;"."</f>
        <v>Column 2 equals Column 1 * Line 6.</v>
      </c>
      <c r="C35" s="14"/>
    </row>
    <row r="36" spans="2:6">
      <c r="B36" s="46" t="str">
        <f>"Column 3 equals Column 1 * Line "&amp;A10&amp;"."</f>
        <v>Column 3 equals Column 1 * Line 7.</v>
      </c>
      <c r="C36" s="14"/>
    </row>
    <row r="37" spans="2:6">
      <c r="B37" s="14" t="str">
        <f>"4) From 24-CWIPTRR, Line "&amp;'24-CWIPTRR'!A149&amp;".  All High Voltage."</f>
        <v>4) From 24-CWIPTRR, Line 92.  All High Voltage.</v>
      </c>
      <c r="C37" s="14"/>
    </row>
    <row r="38" spans="2:6">
      <c r="B38" s="14" t="str">
        <f>"5) Line "&amp;A18&amp;" - Line "&amp;A19&amp;""</f>
        <v>5) Line 8 - Line 9</v>
      </c>
      <c r="C38" s="14"/>
    </row>
    <row r="39" spans="2:6">
      <c r="B39" s="15" t="str">
        <f>"6) Column 1 is from Line "&amp;A8&amp;"."</f>
        <v>6) Column 1 is from Line 5.</v>
      </c>
      <c r="C39" s="14"/>
    </row>
    <row r="40" spans="2:6">
      <c r="B40" s="46" t="str">
        <f>"Column 2 equals Column 1 * Line "&amp;A9&amp;"."</f>
        <v>Column 2 equals Column 1 * Line 6.</v>
      </c>
      <c r="C40" s="14"/>
    </row>
    <row r="41" spans="2:6">
      <c r="B41" s="13"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&amp;RTO2022 Draft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3"/>
  <sheetViews>
    <sheetView zoomScaleNormal="100" workbookViewId="0"/>
  </sheetViews>
  <sheetFormatPr defaultRowHeight="12.5"/>
  <cols>
    <col min="1" max="2" width="4.54296875" customWidth="1"/>
    <col min="4" max="4" width="24.453125" customWidth="1"/>
    <col min="5" max="5" width="17.54296875" customWidth="1"/>
    <col min="6" max="6" width="10.1796875" style="16" customWidth="1"/>
    <col min="7" max="7" width="10.453125" bestFit="1" customWidth="1"/>
  </cols>
  <sheetData>
    <row r="1" spans="1:9" ht="13">
      <c r="A1" s="1" t="s">
        <v>1400</v>
      </c>
    </row>
    <row r="2" spans="1:9" ht="13">
      <c r="B2" s="1"/>
    </row>
    <row r="3" spans="1:9">
      <c r="B3" s="12" t="s">
        <v>140</v>
      </c>
      <c r="E3" s="14"/>
      <c r="F3" s="112"/>
    </row>
    <row r="4" spans="1:9">
      <c r="B4" s="12"/>
    </row>
    <row r="5" spans="1:9">
      <c r="B5" s="13" t="s">
        <v>141</v>
      </c>
    </row>
    <row r="6" spans="1:9">
      <c r="B6" s="467" t="s">
        <v>2275</v>
      </c>
    </row>
    <row r="7" spans="1:9">
      <c r="B7" s="467" t="s">
        <v>2276</v>
      </c>
    </row>
    <row r="8" spans="1:9">
      <c r="B8" s="12"/>
    </row>
    <row r="9" spans="1:9">
      <c r="B9" s="12"/>
    </row>
    <row r="10" spans="1:9" ht="13">
      <c r="B10" s="1" t="s">
        <v>142</v>
      </c>
    </row>
    <row r="11" spans="1:9" ht="13">
      <c r="A11" s="3" t="s">
        <v>329</v>
      </c>
      <c r="G11" s="3" t="s">
        <v>179</v>
      </c>
    </row>
    <row r="12" spans="1:9" ht="13">
      <c r="A12" s="2">
        <v>1</v>
      </c>
      <c r="D12" s="93" t="s">
        <v>1376</v>
      </c>
      <c r="E12" s="7">
        <f>'29-WholesaleTRRs'!F27</f>
        <v>42124859.368126772</v>
      </c>
      <c r="G12" s="46" t="str">
        <f>"29-WholesaleTRRs, Line "&amp;'29-WholesaleTRRs'!A27&amp;", C3"</f>
        <v>29-WholesaleTRRs, Line 13, C3</v>
      </c>
      <c r="H12" s="14"/>
      <c r="I12" s="14"/>
    </row>
    <row r="13" spans="1:9" ht="13">
      <c r="A13" s="2">
        <f>A12+1</f>
        <v>2</v>
      </c>
      <c r="D13" s="93" t="s">
        <v>1375</v>
      </c>
      <c r="E13" s="111">
        <f>'32-GrossLoad'!F8</f>
        <v>84432527.936702684</v>
      </c>
      <c r="F13" s="13" t="s">
        <v>282</v>
      </c>
      <c r="G13" s="46" t="str">
        <f>"32-Gross Load, Line "&amp;'32-GrossLoad'!A8&amp;""</f>
        <v>32-Gross Load, Line 4</v>
      </c>
      <c r="H13" s="14"/>
      <c r="I13" s="14"/>
    </row>
    <row r="14" spans="1:9" ht="13">
      <c r="A14" s="2">
        <f>A13+1</f>
        <v>3</v>
      </c>
      <c r="D14" s="93" t="s">
        <v>1377</v>
      </c>
      <c r="E14" s="92">
        <f>E12/(E13*1000)</f>
        <v>4.9891742433327249E-4</v>
      </c>
      <c r="F14" s="16" t="s">
        <v>143</v>
      </c>
      <c r="G14" s="112" t="str">
        <f>"Line "&amp;A12&amp;" / (Line "&amp;A13&amp;" * 1000)"</f>
        <v>Line 1 / (Line 2 * 1000)</v>
      </c>
      <c r="H14" s="14"/>
      <c r="I14" s="14"/>
    </row>
    <row r="15" spans="1:9">
      <c r="D15" s="37"/>
      <c r="E15" s="71"/>
      <c r="G15" s="14"/>
      <c r="H15" s="14"/>
      <c r="I15" s="14"/>
    </row>
    <row r="16" spans="1:9">
      <c r="G16" s="14"/>
      <c r="H16" s="14"/>
      <c r="I16" s="14"/>
    </row>
    <row r="17" spans="1:9" ht="13">
      <c r="B17" s="1" t="s">
        <v>144</v>
      </c>
      <c r="G17" s="14"/>
      <c r="H17" s="14"/>
      <c r="I17" s="14"/>
    </row>
    <row r="18" spans="1:9">
      <c r="C18" s="52" t="s">
        <v>145</v>
      </c>
      <c r="G18" s="14"/>
      <c r="H18" s="14"/>
      <c r="I18" s="14"/>
    </row>
    <row r="19" spans="1:9" ht="13">
      <c r="G19" s="122" t="s">
        <v>179</v>
      </c>
      <c r="H19" s="14"/>
      <c r="I19" s="14"/>
    </row>
    <row r="20" spans="1:9" ht="13">
      <c r="A20" s="549">
        <f>A14+1</f>
        <v>4</v>
      </c>
      <c r="D20" s="37" t="s">
        <v>146</v>
      </c>
      <c r="E20" s="63">
        <f>'29-WholesaleTRRs'!E27</f>
        <v>1235512781.6985407</v>
      </c>
      <c r="G20" s="46" t="str">
        <f>"29-WholesaleTRRs, Line "&amp;'29-WholesaleTRRs'!A27&amp;", C2"</f>
        <v>29-WholesaleTRRs, Line 13, C2</v>
      </c>
      <c r="H20" s="14"/>
      <c r="I20" s="14"/>
    </row>
    <row r="21" spans="1:9" ht="13">
      <c r="A21" s="2">
        <f>A20+1</f>
        <v>5</v>
      </c>
      <c r="D21" s="93" t="s">
        <v>1375</v>
      </c>
      <c r="E21" s="111">
        <f>'32-GrossLoad'!F8</f>
        <v>84432527.936702684</v>
      </c>
      <c r="F21" s="13" t="s">
        <v>282</v>
      </c>
      <c r="G21" s="46" t="str">
        <f>"32-Gross Load, Line "&amp;'32-GrossLoad'!A8&amp;""</f>
        <v>32-Gross Load, Line 4</v>
      </c>
      <c r="H21" s="14"/>
      <c r="I21" s="14"/>
    </row>
    <row r="22" spans="1:9" ht="13">
      <c r="A22" s="2">
        <f>A21+1</f>
        <v>6</v>
      </c>
      <c r="D22" s="93" t="s">
        <v>1378</v>
      </c>
      <c r="E22" s="1432">
        <f>E20/(E21*1000)</f>
        <v>1.463313739255538E-2</v>
      </c>
      <c r="F22" s="16" t="s">
        <v>143</v>
      </c>
      <c r="G22" s="112" t="str">
        <f>"Line "&amp;A20&amp;" / (Line "&amp;A21&amp;" * 1000)"</f>
        <v>Line 4 / (Line 5 * 1000)</v>
      </c>
      <c r="H22" s="14"/>
      <c r="I22" s="14"/>
    </row>
    <row r="23" spans="1:9">
      <c r="E23" s="14"/>
      <c r="G23" s="14"/>
      <c r="H23" s="14"/>
      <c r="I23" s="14"/>
    </row>
    <row r="24" spans="1:9" ht="13">
      <c r="B24" s="1" t="s">
        <v>147</v>
      </c>
      <c r="E24" s="14"/>
      <c r="G24" s="14"/>
      <c r="H24" s="14"/>
      <c r="I24" s="14"/>
    </row>
    <row r="25" spans="1:9" ht="13">
      <c r="E25" s="14"/>
      <c r="G25" s="122" t="s">
        <v>179</v>
      </c>
      <c r="H25" s="14"/>
      <c r="I25" s="14"/>
    </row>
    <row r="26" spans="1:9" ht="13">
      <c r="A26" s="2">
        <f>A22+1</f>
        <v>7</v>
      </c>
      <c r="D26" s="93" t="s">
        <v>1379</v>
      </c>
      <c r="E26" s="63">
        <f>'29-WholesaleTRRs'!E27</f>
        <v>1235512781.6985407</v>
      </c>
      <c r="G26" s="46" t="str">
        <f>"29-WholesaleTRRs, Line "&amp;'29-WholesaleTRRs'!A27&amp;", C2"</f>
        <v>29-WholesaleTRRs, Line 13, C2</v>
      </c>
      <c r="H26" s="14"/>
      <c r="I26" s="14"/>
    </row>
    <row r="27" spans="1:9" ht="13">
      <c r="A27" s="2">
        <f>A26+1</f>
        <v>8</v>
      </c>
      <c r="D27" s="93" t="s">
        <v>1380</v>
      </c>
      <c r="E27" s="111">
        <f>'32-GrossLoad'!F11</f>
        <v>171053.85921814502</v>
      </c>
      <c r="F27" s="16" t="s">
        <v>148</v>
      </c>
      <c r="G27" s="46" t="str">
        <f>"32-Gross Load, Line "&amp;'32-GrossLoad'!A11&amp;""</f>
        <v>32-Gross Load, Line 5</v>
      </c>
      <c r="H27" s="14"/>
      <c r="I27" s="14"/>
    </row>
    <row r="28" spans="1:9" ht="13">
      <c r="A28" s="2">
        <f>A27+1</f>
        <v>9</v>
      </c>
      <c r="D28" s="93" t="s">
        <v>1381</v>
      </c>
      <c r="E28" s="71">
        <f>ROUND((E26/(E27*1000)),2)</f>
        <v>7.22</v>
      </c>
      <c r="F28" s="13" t="s">
        <v>326</v>
      </c>
      <c r="G28" s="112" t="str">
        <f>"Line "&amp;A26&amp;" / (Line "&amp;A27&amp;" * 1000)"</f>
        <v>Line 7 / (Line 8 * 1000)</v>
      </c>
      <c r="H28" s="14"/>
      <c r="I28" s="14"/>
    </row>
    <row r="29" spans="1:9">
      <c r="G29" s="14"/>
      <c r="H29" s="14"/>
      <c r="I29" s="14"/>
    </row>
    <row r="31" spans="1:9" ht="13">
      <c r="B31" s="51" t="s">
        <v>230</v>
      </c>
    </row>
    <row r="32" spans="1:9">
      <c r="B32" s="12" t="s">
        <v>1401</v>
      </c>
    </row>
    <row r="33" spans="2:4">
      <c r="B33" s="463" t="s">
        <v>1772</v>
      </c>
      <c r="D33" s="14"/>
    </row>
  </sheetData>
  <phoneticPr fontId="23" type="noConversion"/>
  <pageMargins left="0.75" right="0.75" top="1" bottom="1" header="0.5" footer="0.5"/>
  <pageSetup scale="84" orientation="portrait" cellComments="asDisplayed" r:id="rId1"/>
  <headerFooter alignWithMargins="0">
    <oddHeader>&amp;CSchedule 30
Wholesale Rates
&amp;RTO2022 Draft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51"/>
  <sheetViews>
    <sheetView zoomScaleNormal="100" zoomScalePageLayoutView="80" workbookViewId="0"/>
  </sheetViews>
  <sheetFormatPr defaultRowHeight="13"/>
  <cols>
    <col min="1" max="1" width="4.54296875" customWidth="1"/>
    <col min="2" max="2" width="38" style="138" customWidth="1"/>
    <col min="3" max="3" width="16.453125" style="138" customWidth="1"/>
    <col min="4" max="4" width="14.54296875" style="138" customWidth="1"/>
    <col min="5" max="5" width="16" style="138" customWidth="1"/>
    <col min="6" max="6" width="3.453125" style="138" bestFit="1" customWidth="1"/>
    <col min="7" max="8" width="14.54296875" style="138" customWidth="1"/>
    <col min="9" max="9" width="17.453125" style="138" customWidth="1"/>
    <col min="10" max="11" width="14.54296875" style="138" customWidth="1"/>
  </cols>
  <sheetData>
    <row r="1" spans="1:11">
      <c r="A1" s="245" t="s">
        <v>454</v>
      </c>
      <c r="B1" s="17"/>
      <c r="C1" s="17"/>
      <c r="D1" s="17"/>
      <c r="E1" s="17"/>
      <c r="F1" s="17"/>
      <c r="G1" s="17"/>
      <c r="H1" s="17"/>
      <c r="I1" s="17"/>
      <c r="J1" s="17"/>
      <c r="K1" s="17"/>
    </row>
    <row r="2" spans="1:11" ht="12.5">
      <c r="A2" s="17" t="s">
        <v>464</v>
      </c>
      <c r="B2" s="17"/>
      <c r="C2" s="17"/>
      <c r="D2" s="17"/>
      <c r="E2" s="17"/>
      <c r="F2" s="17"/>
      <c r="G2" s="17"/>
      <c r="H2" s="17"/>
      <c r="I2" s="246" t="s">
        <v>446</v>
      </c>
      <c r="J2" s="246"/>
      <c r="K2" s="17"/>
    </row>
    <row r="3" spans="1:11" ht="12.5">
      <c r="A3" s="12"/>
      <c r="B3" s="17"/>
      <c r="C3" s="17"/>
      <c r="D3" s="17"/>
      <c r="E3" s="17"/>
      <c r="F3" s="17"/>
      <c r="G3" s="17"/>
      <c r="H3" s="17"/>
      <c r="I3" s="17"/>
      <c r="J3" s="17"/>
      <c r="K3" s="17"/>
    </row>
    <row r="4" spans="1:11" ht="12.5">
      <c r="A4" s="12"/>
      <c r="B4" s="17"/>
      <c r="C4" s="17"/>
      <c r="D4" s="17"/>
      <c r="E4" s="17"/>
      <c r="F4" s="17"/>
      <c r="G4" s="474" t="s">
        <v>1729</v>
      </c>
      <c r="H4" s="474"/>
      <c r="I4" s="474"/>
      <c r="J4" s="474"/>
      <c r="K4" s="17"/>
    </row>
    <row r="5" spans="1:11">
      <c r="A5" s="12"/>
      <c r="B5" s="245" t="s">
        <v>475</v>
      </c>
      <c r="C5" s="17"/>
      <c r="D5" s="17"/>
      <c r="E5" s="17"/>
      <c r="F5" s="17"/>
      <c r="G5" s="474" t="s">
        <v>1730</v>
      </c>
      <c r="H5" s="474"/>
      <c r="I5" s="474"/>
      <c r="J5" s="474"/>
      <c r="K5" s="17"/>
    </row>
    <row r="6" spans="1:11">
      <c r="A6" s="12"/>
      <c r="B6" s="17"/>
      <c r="C6" s="26" t="s">
        <v>456</v>
      </c>
      <c r="D6" s="26"/>
      <c r="E6" s="26"/>
      <c r="F6" s="26"/>
      <c r="G6" s="26"/>
      <c r="H6" s="26"/>
      <c r="I6" s="26" t="s">
        <v>14</v>
      </c>
      <c r="J6" s="26" t="s">
        <v>15</v>
      </c>
      <c r="K6" s="26" t="s">
        <v>75</v>
      </c>
    </row>
    <row r="7" spans="1:11">
      <c r="A7" s="12"/>
      <c r="B7" s="245" t="s">
        <v>461</v>
      </c>
      <c r="C7" s="31" t="s">
        <v>457</v>
      </c>
      <c r="D7" s="31" t="s">
        <v>418</v>
      </c>
      <c r="E7" s="31" t="s">
        <v>451</v>
      </c>
      <c r="F7" s="31"/>
      <c r="G7" s="31" t="s">
        <v>458</v>
      </c>
      <c r="H7" s="31" t="s">
        <v>459</v>
      </c>
      <c r="I7" s="31" t="s">
        <v>451</v>
      </c>
      <c r="J7" s="31" t="s">
        <v>451</v>
      </c>
      <c r="K7" s="31" t="s">
        <v>460</v>
      </c>
    </row>
    <row r="8" spans="1:11">
      <c r="A8" s="3" t="s">
        <v>329</v>
      </c>
      <c r="B8" s="245"/>
      <c r="C8" s="31"/>
      <c r="D8" s="31"/>
      <c r="E8" s="31"/>
      <c r="F8" s="31"/>
      <c r="G8" s="31"/>
      <c r="H8" s="31"/>
      <c r="I8" s="31"/>
      <c r="J8" s="31"/>
      <c r="K8" s="31"/>
    </row>
    <row r="9" spans="1:11">
      <c r="A9" s="2">
        <v>1</v>
      </c>
      <c r="B9" s="247" t="s">
        <v>463</v>
      </c>
      <c r="C9" s="248"/>
      <c r="D9" s="249"/>
      <c r="E9" s="249"/>
      <c r="F9" s="250"/>
      <c r="G9" s="248"/>
      <c r="H9" s="251"/>
      <c r="I9" s="251"/>
      <c r="J9" s="251"/>
      <c r="K9" s="251"/>
    </row>
    <row r="10" spans="1:11">
      <c r="A10" s="2">
        <f>A9+1</f>
        <v>2</v>
      </c>
      <c r="B10" s="252" t="s">
        <v>1191</v>
      </c>
      <c r="C10" s="253">
        <f>SUM(D10:E10)</f>
        <v>4719997898.1469479</v>
      </c>
      <c r="D10" s="254">
        <f>G10+H10</f>
        <v>209307061.71532148</v>
      </c>
      <c r="E10" s="254">
        <f>I10+J10</f>
        <v>4510690836.4316263</v>
      </c>
      <c r="F10" s="255"/>
      <c r="G10" s="1077">
        <v>209307061.71532148</v>
      </c>
      <c r="H10" s="1077">
        <v>0</v>
      </c>
      <c r="I10" s="1077">
        <v>4510690836.4316263</v>
      </c>
      <c r="J10" s="1077">
        <v>0</v>
      </c>
      <c r="K10" s="1077">
        <v>0</v>
      </c>
    </row>
    <row r="11" spans="1:11">
      <c r="A11" s="2">
        <f t="shared" ref="A11:A47" si="0">A10+1</f>
        <v>3</v>
      </c>
      <c r="B11" s="252" t="s">
        <v>455</v>
      </c>
      <c r="C11" s="256">
        <f>SUM(D11:E11)</f>
        <v>145060313.72407332</v>
      </c>
      <c r="D11" s="257">
        <f>G11+H11</f>
        <v>5247245.7730694227</v>
      </c>
      <c r="E11" s="257">
        <f>I11+J11</f>
        <v>139813067.95100391</v>
      </c>
      <c r="F11" s="258"/>
      <c r="G11" s="1078">
        <v>0</v>
      </c>
      <c r="H11" s="1078">
        <v>5247245.7730694227</v>
      </c>
      <c r="I11" s="1078">
        <v>0</v>
      </c>
      <c r="J11" s="1078">
        <v>139813067.95100391</v>
      </c>
      <c r="K11" s="1078">
        <v>0</v>
      </c>
    </row>
    <row r="12" spans="1:11">
      <c r="A12" s="2">
        <f t="shared" si="0"/>
        <v>4</v>
      </c>
      <c r="B12" s="1162" t="s">
        <v>2460</v>
      </c>
      <c r="C12" s="259">
        <f>SUM(C10:C11)</f>
        <v>4865058211.8710213</v>
      </c>
      <c r="D12" s="259">
        <f t="shared" ref="D12:E12" si="1">SUM(D10:D11)</f>
        <v>214554307.48839089</v>
      </c>
      <c r="E12" s="259">
        <f t="shared" si="1"/>
        <v>4650503904.3826303</v>
      </c>
      <c r="F12" s="259"/>
      <c r="G12" s="259">
        <f t="shared" ref="G12:K12" si="2">SUM(G10:G11)</f>
        <v>209307061.71532148</v>
      </c>
      <c r="H12" s="259">
        <f t="shared" si="2"/>
        <v>5247245.7730694227</v>
      </c>
      <c r="I12" s="259">
        <f t="shared" si="2"/>
        <v>4510690836.4316263</v>
      </c>
      <c r="J12" s="259">
        <f t="shared" si="2"/>
        <v>139813067.95100391</v>
      </c>
      <c r="K12" s="259">
        <f t="shared" si="2"/>
        <v>0</v>
      </c>
    </row>
    <row r="13" spans="1:11">
      <c r="A13" s="2">
        <f t="shared" si="0"/>
        <v>5</v>
      </c>
      <c r="B13" s="260"/>
      <c r="C13" s="261"/>
      <c r="D13" s="261"/>
      <c r="E13" s="261"/>
      <c r="F13" s="262"/>
      <c r="G13" s="261"/>
      <c r="H13" s="263"/>
      <c r="I13" s="264"/>
      <c r="J13" s="263"/>
      <c r="K13" s="263"/>
    </row>
    <row r="14" spans="1:11">
      <c r="A14" s="2">
        <f t="shared" si="0"/>
        <v>6</v>
      </c>
      <c r="B14" s="265" t="s">
        <v>452</v>
      </c>
      <c r="C14" s="261"/>
      <c r="D14" s="261"/>
      <c r="E14" s="261"/>
      <c r="F14" s="262"/>
      <c r="G14" s="261"/>
      <c r="H14" s="263"/>
      <c r="I14" s="264"/>
      <c r="J14" s="263"/>
      <c r="K14" s="263"/>
    </row>
    <row r="15" spans="1:11">
      <c r="A15" s="2">
        <f t="shared" si="0"/>
        <v>7</v>
      </c>
      <c r="B15" s="266" t="s">
        <v>462</v>
      </c>
      <c r="C15" s="254">
        <f>SUM(D15:E15)</f>
        <v>4276744145.045948</v>
      </c>
      <c r="D15" s="254">
        <f>G15+H15</f>
        <v>41053657.85756924</v>
      </c>
      <c r="E15" s="254">
        <f>I15+J15</f>
        <v>4235690487.1883788</v>
      </c>
      <c r="F15" s="267"/>
      <c r="G15" s="954">
        <v>41053657.85756924</v>
      </c>
      <c r="H15" s="1079">
        <v>0</v>
      </c>
      <c r="I15" s="954">
        <v>4235690487.1883788</v>
      </c>
      <c r="J15" s="1079">
        <v>0</v>
      </c>
      <c r="K15" s="1079">
        <v>0</v>
      </c>
    </row>
    <row r="16" spans="1:11">
      <c r="A16" s="2">
        <f t="shared" si="0"/>
        <v>8</v>
      </c>
      <c r="B16" s="831" t="s">
        <v>2155</v>
      </c>
      <c r="C16" s="261">
        <f>SUM(D16:E16)</f>
        <v>476087564.05296177</v>
      </c>
      <c r="D16" s="254">
        <f>G16+H16</f>
        <v>191581.07108465701</v>
      </c>
      <c r="E16" s="254">
        <f>I16+J16+K16</f>
        <v>475895982.98187709</v>
      </c>
      <c r="F16" s="262"/>
      <c r="G16" s="1079">
        <v>121603.64189267532</v>
      </c>
      <c r="H16" s="1079">
        <v>69977.42919198169</v>
      </c>
      <c r="I16" s="1079">
        <v>288555572.16533905</v>
      </c>
      <c r="J16" s="1079">
        <v>126891814.2281934</v>
      </c>
      <c r="K16" s="1079">
        <v>60448596.588344648</v>
      </c>
    </row>
    <row r="17" spans="1:11" ht="14">
      <c r="A17" s="2">
        <f t="shared" si="0"/>
        <v>9</v>
      </c>
      <c r="B17" s="831" t="s">
        <v>2174</v>
      </c>
      <c r="C17" s="268">
        <f>SUM(D17:E17)</f>
        <v>44658069.916612566</v>
      </c>
      <c r="D17" s="257">
        <f>G17+H17</f>
        <v>145919.42999520848</v>
      </c>
      <c r="E17" s="269">
        <f>I17+J17</f>
        <v>44512150.486617357</v>
      </c>
      <c r="F17" s="270"/>
      <c r="G17" s="1080">
        <v>0</v>
      </c>
      <c r="H17" s="1081">
        <v>145919.42999520848</v>
      </c>
      <c r="I17" s="1080">
        <v>0</v>
      </c>
      <c r="J17" s="1081">
        <v>44512150.486617357</v>
      </c>
      <c r="K17" s="1080">
        <v>0</v>
      </c>
    </row>
    <row r="18" spans="1:11">
      <c r="A18" s="2">
        <f t="shared" si="0"/>
        <v>10</v>
      </c>
      <c r="B18" s="915" t="s">
        <v>2459</v>
      </c>
      <c r="C18" s="254">
        <f>SUM(C15:C17)</f>
        <v>4797489779.015522</v>
      </c>
      <c r="D18" s="254">
        <f>SUM(D15:D17)</f>
        <v>41391158.358649105</v>
      </c>
      <c r="E18" s="254">
        <f>SUM(E15:E17)</f>
        <v>4756098620.6568727</v>
      </c>
      <c r="F18" s="271"/>
      <c r="G18" s="254">
        <f>SUM(G15:G17)</f>
        <v>41175261.499461919</v>
      </c>
      <c r="H18" s="254">
        <f>SUM(H15:H17)</f>
        <v>215896.85918719019</v>
      </c>
      <c r="I18" s="254">
        <f>SUM(I15:I17)</f>
        <v>4524246059.3537178</v>
      </c>
      <c r="J18" s="254">
        <f>SUM(J15:J17)</f>
        <v>171403964.71481076</v>
      </c>
      <c r="K18" s="254">
        <f>SUM(K15:K17)</f>
        <v>60448596.588344648</v>
      </c>
    </row>
    <row r="19" spans="1:11">
      <c r="A19" s="2">
        <f t="shared" si="0"/>
        <v>11</v>
      </c>
      <c r="B19" s="260"/>
      <c r="C19" s="916"/>
      <c r="D19" s="916"/>
      <c r="E19" s="916"/>
      <c r="F19" s="273"/>
      <c r="G19" s="272"/>
      <c r="H19" s="272"/>
      <c r="I19" s="272"/>
      <c r="J19" s="272"/>
      <c r="K19" s="272"/>
    </row>
    <row r="20" spans="1:11">
      <c r="A20" s="2">
        <f t="shared" si="0"/>
        <v>12</v>
      </c>
      <c r="B20" s="915" t="s">
        <v>453</v>
      </c>
      <c r="C20" s="917">
        <f>C12+C18</f>
        <v>9662547990.8865433</v>
      </c>
      <c r="D20" s="917">
        <f t="shared" ref="D20" si="3">D12+D18</f>
        <v>255945465.84704</v>
      </c>
      <c r="E20" s="917">
        <f>E12+E18</f>
        <v>9406602525.0395031</v>
      </c>
      <c r="F20" s="274"/>
      <c r="G20" s="274">
        <f t="shared" ref="G20:K20" si="4">G12+G18</f>
        <v>250482323.2147834</v>
      </c>
      <c r="H20" s="274">
        <f t="shared" si="4"/>
        <v>5463142.6322566131</v>
      </c>
      <c r="I20" s="274">
        <f t="shared" si="4"/>
        <v>9034936895.7853432</v>
      </c>
      <c r="J20" s="274">
        <f t="shared" si="4"/>
        <v>311217032.66581464</v>
      </c>
      <c r="K20" s="274">
        <f t="shared" si="4"/>
        <v>60448596.588344648</v>
      </c>
    </row>
    <row r="21" spans="1:11">
      <c r="A21" s="2">
        <f t="shared" si="0"/>
        <v>13</v>
      </c>
      <c r="B21" s="17"/>
      <c r="C21" s="275"/>
      <c r="D21" s="276"/>
      <c r="E21" s="275"/>
      <c r="F21" s="17"/>
      <c r="G21" s="275"/>
      <c r="H21" s="275"/>
      <c r="I21" s="275"/>
      <c r="J21" s="275"/>
      <c r="K21" s="275"/>
    </row>
    <row r="22" spans="1:11">
      <c r="A22" s="2">
        <f t="shared" si="0"/>
        <v>14</v>
      </c>
      <c r="B22" s="17"/>
      <c r="C22" s="275"/>
      <c r="D22" s="276"/>
      <c r="E22" s="275"/>
      <c r="F22" s="17"/>
      <c r="G22" s="275"/>
      <c r="H22" s="275"/>
      <c r="I22" s="275"/>
      <c r="J22" s="275"/>
      <c r="K22" s="275"/>
    </row>
    <row r="23" spans="1:11">
      <c r="A23" s="2">
        <f t="shared" si="0"/>
        <v>15</v>
      </c>
      <c r="B23" s="476" t="s">
        <v>2156</v>
      </c>
      <c r="C23" s="275"/>
      <c r="D23" s="276"/>
      <c r="E23" s="275"/>
      <c r="F23" s="17"/>
      <c r="G23" s="275"/>
      <c r="H23" s="275"/>
      <c r="I23" s="275"/>
      <c r="J23" s="275"/>
      <c r="K23" s="275"/>
    </row>
    <row r="24" spans="1:11">
      <c r="A24" s="2">
        <f t="shared" si="0"/>
        <v>16</v>
      </c>
      <c r="B24" s="17"/>
      <c r="C24" s="277" t="s">
        <v>466</v>
      </c>
      <c r="D24" s="26" t="s">
        <v>467</v>
      </c>
      <c r="E24" s="26"/>
      <c r="F24" s="17"/>
      <c r="G24" s="17"/>
      <c r="H24" s="17"/>
      <c r="I24" s="17"/>
      <c r="J24" s="17"/>
      <c r="K24" s="17"/>
    </row>
    <row r="25" spans="1:11">
      <c r="A25" s="2">
        <f t="shared" si="0"/>
        <v>17</v>
      </c>
      <c r="B25" s="17" t="s">
        <v>328</v>
      </c>
      <c r="C25" s="31" t="s">
        <v>465</v>
      </c>
      <c r="D25" s="31" t="s">
        <v>465</v>
      </c>
      <c r="E25" s="31" t="s">
        <v>196</v>
      </c>
      <c r="F25" s="17"/>
      <c r="G25" s="278" t="s">
        <v>230</v>
      </c>
      <c r="H25" s="17"/>
      <c r="I25" s="17"/>
      <c r="J25" s="17"/>
      <c r="K25" s="17"/>
    </row>
    <row r="26" spans="1:11">
      <c r="A26" s="2">
        <f t="shared" si="0"/>
        <v>18</v>
      </c>
      <c r="B26" s="77" t="s">
        <v>418</v>
      </c>
      <c r="C26" s="274">
        <f>G20</f>
        <v>250482323.2147834</v>
      </c>
      <c r="D26" s="274">
        <f>H20</f>
        <v>5463142.6322566131</v>
      </c>
      <c r="E26" s="279">
        <f>SUM(C26:D26)</f>
        <v>255945465.84704003</v>
      </c>
      <c r="F26" s="17"/>
      <c r="G26" s="260" t="s">
        <v>471</v>
      </c>
      <c r="H26" s="260"/>
      <c r="I26" s="260"/>
      <c r="J26" s="260"/>
      <c r="K26" s="260"/>
    </row>
    <row r="27" spans="1:11">
      <c r="A27" s="2">
        <f t="shared" si="0"/>
        <v>19</v>
      </c>
      <c r="B27" s="77" t="s">
        <v>451</v>
      </c>
      <c r="C27" s="274">
        <f>I20</f>
        <v>9034936895.7853432</v>
      </c>
      <c r="D27" s="274">
        <f>J20</f>
        <v>311217032.66581464</v>
      </c>
      <c r="E27" s="279">
        <f>SUM(C27:D27)</f>
        <v>9346153928.4511585</v>
      </c>
      <c r="F27" s="17"/>
      <c r="G27" s="260" t="s">
        <v>471</v>
      </c>
      <c r="H27" s="260"/>
      <c r="I27" s="260"/>
      <c r="J27" s="260"/>
      <c r="K27" s="260"/>
    </row>
    <row r="28" spans="1:11">
      <c r="A28" s="2">
        <f t="shared" si="0"/>
        <v>20</v>
      </c>
      <c r="B28" s="32" t="s">
        <v>469</v>
      </c>
      <c r="C28" s="274">
        <f>SUM(C26:C27)</f>
        <v>9285419219.0001259</v>
      </c>
      <c r="D28" s="274">
        <f>SUM(D26:D27)</f>
        <v>316680175.29807127</v>
      </c>
      <c r="E28" s="274">
        <f>SUM(C28:D28)</f>
        <v>9602099394.2981968</v>
      </c>
      <c r="F28" s="17"/>
      <c r="G28" s="260" t="s">
        <v>472</v>
      </c>
      <c r="H28" s="260"/>
      <c r="I28" s="260"/>
      <c r="J28" s="260"/>
      <c r="K28" s="260"/>
    </row>
    <row r="29" spans="1:11">
      <c r="A29" s="109">
        <f t="shared" si="0"/>
        <v>21</v>
      </c>
      <c r="B29" s="280" t="s">
        <v>468</v>
      </c>
      <c r="C29" s="281">
        <f>C28/E28</f>
        <v>0.96701969410084232</v>
      </c>
      <c r="D29" s="281">
        <f>D28/E28</f>
        <v>3.2980305899157687E-2</v>
      </c>
      <c r="E29" s="282"/>
      <c r="F29" s="918"/>
      <c r="G29" s="1161" t="s">
        <v>473</v>
      </c>
      <c r="H29" s="260"/>
      <c r="I29" s="260"/>
      <c r="J29" s="260"/>
      <c r="K29" s="918"/>
    </row>
    <row r="30" spans="1:11">
      <c r="A30" s="109">
        <f t="shared" si="0"/>
        <v>22</v>
      </c>
      <c r="B30" s="283"/>
      <c r="C30" s="284"/>
      <c r="D30" s="284"/>
      <c r="E30" s="284"/>
      <c r="F30" s="283"/>
      <c r="G30" s="283"/>
      <c r="H30" s="283"/>
      <c r="I30" s="283"/>
      <c r="J30" s="283"/>
      <c r="K30" s="283"/>
    </row>
    <row r="31" spans="1:11">
      <c r="A31" s="109">
        <f t="shared" si="0"/>
        <v>23</v>
      </c>
      <c r="B31" s="260" t="s">
        <v>470</v>
      </c>
      <c r="C31" s="919">
        <f>K20*C29</f>
        <v>58454983.381686263</v>
      </c>
      <c r="D31" s="919">
        <f>K20*D29</f>
        <v>1993613.2066583862</v>
      </c>
      <c r="E31" s="919">
        <f>K20</f>
        <v>60448596.588344648</v>
      </c>
      <c r="F31" s="260"/>
      <c r="G31" s="474" t="str">
        <f>"Straddling Transformers split by Gross Plant Percentages on Line "&amp;A29&amp;""</f>
        <v>Straddling Transformers split by Gross Plant Percentages on Line 21</v>
      </c>
      <c r="H31" s="260"/>
      <c r="I31" s="260"/>
      <c r="J31" s="260"/>
      <c r="K31" s="260"/>
    </row>
    <row r="32" spans="1:11">
      <c r="A32" s="109">
        <f t="shared" si="0"/>
        <v>24</v>
      </c>
      <c r="B32" s="591" t="s">
        <v>2290</v>
      </c>
      <c r="C32" s="920">
        <v>0</v>
      </c>
      <c r="D32" s="920">
        <f>E32-C32</f>
        <v>0</v>
      </c>
      <c r="E32" s="920">
        <v>0</v>
      </c>
      <c r="F32" s="591"/>
      <c r="G32" s="591" t="s">
        <v>2291</v>
      </c>
      <c r="H32" s="921"/>
      <c r="I32" s="260"/>
      <c r="J32" s="260"/>
      <c r="K32" s="260"/>
    </row>
    <row r="33" spans="1:12">
      <c r="A33" s="109">
        <f t="shared" si="0"/>
        <v>25</v>
      </c>
      <c r="B33" s="260" t="s">
        <v>474</v>
      </c>
      <c r="C33" s="254">
        <f>C28+C31+C32</f>
        <v>9343874202.381813</v>
      </c>
      <c r="D33" s="254">
        <f>D28+D31+D32</f>
        <v>318673788.50472963</v>
      </c>
      <c r="E33" s="254">
        <f>E28+E31+E32</f>
        <v>9662547990.8865414</v>
      </c>
      <c r="F33" s="260"/>
      <c r="G33" s="591" t="str">
        <f>"Line "&amp;A28&amp;" + Line "&amp;A31&amp;" + Line "&amp;A32&amp;""</f>
        <v>Line 20 + Line 23 + Line 24</v>
      </c>
      <c r="H33" s="591"/>
      <c r="I33" s="260"/>
      <c r="J33" s="260"/>
      <c r="K33" s="260"/>
    </row>
    <row r="34" spans="1:12">
      <c r="A34" s="109">
        <f t="shared" si="0"/>
        <v>26</v>
      </c>
      <c r="B34" s="260"/>
      <c r="C34" s="285"/>
      <c r="D34" s="285"/>
      <c r="E34" s="922"/>
      <c r="F34" s="260"/>
      <c r="G34" s="260"/>
      <c r="H34" s="260"/>
      <c r="I34" s="260"/>
      <c r="J34" s="260"/>
      <c r="K34" s="260"/>
    </row>
    <row r="35" spans="1:12">
      <c r="A35" s="109">
        <f t="shared" si="0"/>
        <v>27</v>
      </c>
      <c r="B35" s="260"/>
      <c r="C35" s="923"/>
      <c r="D35" s="923"/>
      <c r="E35" s="260"/>
      <c r="F35" s="260"/>
      <c r="G35" s="923"/>
      <c r="H35" s="923"/>
      <c r="I35" s="923"/>
      <c r="J35" s="260"/>
      <c r="K35" s="260"/>
    </row>
    <row r="36" spans="1:12">
      <c r="A36" s="109">
        <f t="shared" si="0"/>
        <v>28</v>
      </c>
      <c r="B36" s="265" t="s">
        <v>2292</v>
      </c>
      <c r="C36" s="260"/>
      <c r="D36" s="260"/>
      <c r="E36" s="260"/>
      <c r="F36" s="260"/>
      <c r="G36" s="260"/>
      <c r="H36" s="260"/>
      <c r="I36" s="260"/>
      <c r="J36" s="260"/>
      <c r="K36" s="260"/>
    </row>
    <row r="37" spans="1:12">
      <c r="A37" s="109">
        <f t="shared" si="0"/>
        <v>29</v>
      </c>
      <c r="B37" s="265"/>
      <c r="C37" s="260"/>
      <c r="D37" s="260"/>
      <c r="E37" s="260"/>
      <c r="F37" s="260"/>
      <c r="G37" s="260"/>
      <c r="H37" s="260"/>
      <c r="I37" s="260"/>
      <c r="J37" s="260"/>
      <c r="K37" s="260"/>
    </row>
    <row r="38" spans="1:12">
      <c r="A38" s="109">
        <f t="shared" si="0"/>
        <v>30</v>
      </c>
      <c r="B38" s="265"/>
      <c r="C38" s="924" t="s">
        <v>466</v>
      </c>
      <c r="D38" s="411" t="s">
        <v>467</v>
      </c>
      <c r="E38" s="411"/>
      <c r="F38" s="260"/>
      <c r="G38" s="260"/>
      <c r="H38" s="260"/>
      <c r="I38" s="260"/>
      <c r="J38" s="260"/>
      <c r="K38" s="260"/>
    </row>
    <row r="39" spans="1:12">
      <c r="A39" s="109">
        <f t="shared" si="0"/>
        <v>31</v>
      </c>
      <c r="B39" s="265"/>
      <c r="C39" s="455" t="s">
        <v>465</v>
      </c>
      <c r="D39" s="455" t="s">
        <v>465</v>
      </c>
      <c r="E39" s="455" t="s">
        <v>196</v>
      </c>
      <c r="F39" s="260"/>
      <c r="G39" s="925" t="s">
        <v>230</v>
      </c>
      <c r="H39" s="260"/>
      <c r="I39" s="260"/>
      <c r="J39" s="260"/>
      <c r="K39" s="260"/>
    </row>
    <row r="40" spans="1:12">
      <c r="A40" s="109">
        <f t="shared" si="0"/>
        <v>32</v>
      </c>
      <c r="B40" s="260" t="s">
        <v>474</v>
      </c>
      <c r="C40" s="267">
        <f>C33</f>
        <v>9343874202.381813</v>
      </c>
      <c r="D40" s="267">
        <f>D33</f>
        <v>318673788.50472963</v>
      </c>
      <c r="E40" s="267">
        <f>E33</f>
        <v>9662547990.8865414</v>
      </c>
      <c r="F40" s="260"/>
      <c r="G40" s="260" t="str">
        <f>"Line "&amp;A33&amp;""</f>
        <v>Line 25</v>
      </c>
      <c r="H40" s="260"/>
      <c r="I40" s="260"/>
      <c r="J40" s="260"/>
      <c r="K40" s="260"/>
      <c r="L40" s="14"/>
    </row>
    <row r="41" spans="1:12">
      <c r="A41" s="109">
        <f t="shared" si="0"/>
        <v>33</v>
      </c>
      <c r="B41" s="474" t="s">
        <v>2293</v>
      </c>
      <c r="C41" s="267">
        <f>'16-PlantAdditions'!K37-'16-PlantAdditions'!P37</f>
        <v>1556856963.9304638</v>
      </c>
      <c r="D41" s="267">
        <f>'16-PlantAdditions'!P37</f>
        <v>4206884.7885745186</v>
      </c>
      <c r="E41" s="926">
        <f>SUM(C41:D41)</f>
        <v>1561063848.7190382</v>
      </c>
      <c r="F41" s="260"/>
      <c r="G41" s="260" t="str">
        <f>"13-Month Average: 16-PlantAdditions, Line "&amp;'16-PlantAdditions'!A37&amp;", Cols 7  (for Total) and 12 (for LV).  HV = C7 - C12."</f>
        <v>13-Month Average: 16-PlantAdditions, Line 25, Cols 7  (for Total) and 12 (for LV).  HV = C7 - C12.</v>
      </c>
      <c r="H41" s="260"/>
      <c r="I41" s="260"/>
      <c r="J41" s="260"/>
      <c r="K41" s="260"/>
      <c r="L41" s="14"/>
    </row>
    <row r="42" spans="1:12">
      <c r="A42" s="109">
        <f t="shared" si="0"/>
        <v>34</v>
      </c>
      <c r="B42" s="474" t="s">
        <v>2294</v>
      </c>
      <c r="C42" s="534">
        <f>'10-CWIP'!K79</f>
        <v>-820113818.9424268</v>
      </c>
      <c r="D42" s="534">
        <v>0</v>
      </c>
      <c r="E42" s="534">
        <f>SUM(C42:D42)</f>
        <v>-820113818.9424268</v>
      </c>
      <c r="F42" s="260"/>
      <c r="G42" s="260" t="str">
        <f>"13 Month Average: 10-CWIP, Line "&amp;'10-CWIP'!A79&amp;", Col. 8"</f>
        <v>13 Month Average: 10-CWIP, Line 54, Col. 8</v>
      </c>
      <c r="H42" s="260"/>
      <c r="I42" s="260"/>
      <c r="J42" s="260"/>
      <c r="K42" s="260"/>
    </row>
    <row r="43" spans="1:12">
      <c r="A43" s="109">
        <f t="shared" si="0"/>
        <v>35</v>
      </c>
      <c r="B43" s="474" t="s">
        <v>2295</v>
      </c>
      <c r="C43" s="267">
        <f>SUM(C40:C42)</f>
        <v>10080617347.36985</v>
      </c>
      <c r="D43" s="267">
        <f t="shared" ref="D43:E43" si="5">SUM(D40:D42)</f>
        <v>322880673.29330415</v>
      </c>
      <c r="E43" s="267">
        <f t="shared" si="5"/>
        <v>10403498020.663153</v>
      </c>
      <c r="F43" s="260"/>
      <c r="G43" s="260" t="str">
        <f>"Line "&amp;A40&amp;" + Line "&amp;A41&amp;" + Line "&amp;A42&amp;""</f>
        <v>Line 32 + Line 33 + Line 34</v>
      </c>
      <c r="H43" s="260"/>
      <c r="I43" s="260"/>
      <c r="J43" s="260"/>
      <c r="K43" s="260"/>
    </row>
    <row r="44" spans="1:12">
      <c r="A44" s="109">
        <f t="shared" si="0"/>
        <v>36</v>
      </c>
      <c r="B44" s="260"/>
      <c r="C44" s="260"/>
      <c r="D44" s="260"/>
      <c r="E44" s="260"/>
      <c r="F44" s="260"/>
      <c r="G44" s="260"/>
      <c r="H44" s="260"/>
      <c r="I44" s="260"/>
      <c r="J44" s="260"/>
      <c r="K44" s="260"/>
    </row>
    <row r="45" spans="1:12">
      <c r="A45" s="109">
        <f t="shared" si="0"/>
        <v>37</v>
      </c>
      <c r="B45" s="260" t="s">
        <v>1119</v>
      </c>
      <c r="C45" s="927">
        <f>C43/E43</f>
        <v>0.96896422024092232</v>
      </c>
      <c r="D45" s="927">
        <f>D43/E43</f>
        <v>3.1035779759077869E-2</v>
      </c>
      <c r="E45" s="260"/>
      <c r="F45" s="260"/>
      <c r="G45" s="928" t="str">
        <f>"Percent of Total on Line "&amp;A43&amp;""</f>
        <v>Percent of Total on Line 35</v>
      </c>
      <c r="H45" s="260"/>
      <c r="I45" s="260"/>
      <c r="J45" s="260"/>
      <c r="K45" s="260"/>
    </row>
    <row r="46" spans="1:12">
      <c r="A46" s="109">
        <f t="shared" si="0"/>
        <v>38</v>
      </c>
      <c r="B46" s="880" t="s">
        <v>1452</v>
      </c>
      <c r="C46" s="260"/>
      <c r="D46" s="260"/>
      <c r="E46" s="260"/>
      <c r="F46" s="260"/>
      <c r="G46" s="260"/>
      <c r="H46" s="260"/>
      <c r="I46" s="260"/>
      <c r="J46" s="260"/>
      <c r="K46" s="260"/>
    </row>
    <row r="47" spans="1:12">
      <c r="A47" s="109">
        <f t="shared" si="0"/>
        <v>39</v>
      </c>
      <c r="B47" s="474" t="s">
        <v>1604</v>
      </c>
      <c r="C47" s="260"/>
      <c r="D47" s="260"/>
      <c r="E47" s="260"/>
      <c r="F47" s="260"/>
      <c r="G47" s="260"/>
      <c r="H47" s="260"/>
      <c r="I47" s="260"/>
      <c r="J47" s="260"/>
      <c r="K47" s="260"/>
    </row>
    <row r="48" spans="1:12">
      <c r="A48" s="15"/>
      <c r="B48" s="44"/>
      <c r="C48" s="260"/>
      <c r="D48" s="260"/>
      <c r="E48" s="260"/>
      <c r="F48" s="260"/>
      <c r="G48" s="260"/>
      <c r="H48" s="260"/>
      <c r="I48" s="260"/>
      <c r="J48" s="260"/>
      <c r="K48" s="260"/>
    </row>
    <row r="49" spans="1:11">
      <c r="A49" s="15"/>
      <c r="B49" s="44"/>
      <c r="C49" s="591"/>
      <c r="D49" s="591"/>
      <c r="E49" s="591"/>
      <c r="F49" s="591"/>
      <c r="G49" s="591"/>
      <c r="H49" s="591"/>
      <c r="I49" s="260"/>
      <c r="J49" s="260"/>
      <c r="K49" s="260"/>
    </row>
    <row r="50" spans="1:11" ht="12.5">
      <c r="A50" s="15"/>
      <c r="B50" s="591"/>
      <c r="C50" s="591"/>
      <c r="D50" s="591"/>
      <c r="E50" s="591"/>
      <c r="F50" s="591"/>
      <c r="G50" s="591"/>
      <c r="H50" s="591"/>
      <c r="I50" s="260"/>
      <c r="J50" s="260"/>
      <c r="K50" s="260"/>
    </row>
    <row r="51" spans="1:11">
      <c r="A51" s="14"/>
      <c r="B51" s="591"/>
      <c r="C51" s="921"/>
      <c r="D51" s="921"/>
      <c r="E51" s="921"/>
      <c r="F51" s="921"/>
      <c r="G51" s="921"/>
      <c r="H51" s="921"/>
      <c r="I51" s="929"/>
      <c r="J51" s="929"/>
      <c r="K51" s="929"/>
    </row>
  </sheetData>
  <pageMargins left="0.7" right="0.7" top="0.75" bottom="0.75" header="0.3" footer="0.3"/>
  <pageSetup scale="70" orientation="landscape" cellComments="asDisplayed" r:id="rId1"/>
  <headerFooter>
    <oddHeader>&amp;CSchedule 31
High and Low Voltage Gross Plant
&amp;RTO2022 Draft Annual Update 
Attachment 1</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8" ht="13">
      <c r="A1" s="1" t="s">
        <v>1615</v>
      </c>
    </row>
    <row r="2" spans="1:8" ht="13">
      <c r="B2" s="1229"/>
      <c r="D2" s="68" t="s">
        <v>2531</v>
      </c>
      <c r="E2" s="463"/>
      <c r="F2" s="961" t="s">
        <v>2942</v>
      </c>
      <c r="G2" s="96"/>
    </row>
    <row r="3" spans="1:8" ht="13">
      <c r="G3" s="2"/>
    </row>
    <row r="4" spans="1:8" ht="13">
      <c r="A4" s="3" t="s">
        <v>329</v>
      </c>
      <c r="F4" s="3" t="s">
        <v>282</v>
      </c>
      <c r="G4" s="3" t="s">
        <v>154</v>
      </c>
      <c r="H4" s="51" t="s">
        <v>179</v>
      </c>
    </row>
    <row r="5" spans="1:8" ht="13">
      <c r="A5" s="2">
        <v>1</v>
      </c>
      <c r="B5" s="463" t="s">
        <v>334</v>
      </c>
      <c r="F5" s="1111">
        <v>84406461.936702684</v>
      </c>
      <c r="G5" s="16"/>
      <c r="H5" t="s">
        <v>359</v>
      </c>
    </row>
    <row r="6" spans="1:8" ht="13">
      <c r="A6" s="2">
        <v>2</v>
      </c>
      <c r="B6" s="12" t="s">
        <v>335</v>
      </c>
      <c r="F6" s="1111">
        <v>18762</v>
      </c>
      <c r="G6" s="16"/>
      <c r="H6" t="s">
        <v>360</v>
      </c>
    </row>
    <row r="7" spans="1:8" s="955" customFormat="1" ht="13">
      <c r="A7" s="549">
        <v>3</v>
      </c>
      <c r="B7" s="463" t="s">
        <v>2449</v>
      </c>
      <c r="C7" s="463"/>
      <c r="D7" s="463"/>
      <c r="F7" s="99">
        <v>7304</v>
      </c>
      <c r="G7" s="16"/>
      <c r="H7" s="463" t="s">
        <v>1166</v>
      </c>
    </row>
    <row r="8" spans="1:8" ht="13">
      <c r="A8" s="2">
        <v>4</v>
      </c>
      <c r="B8" s="50" t="s">
        <v>324</v>
      </c>
      <c r="F8" s="98">
        <f>SUM(F5:F7)</f>
        <v>84432527.936702684</v>
      </c>
      <c r="G8" s="462" t="s">
        <v>2451</v>
      </c>
      <c r="H8" s="12" t="s">
        <v>325</v>
      </c>
    </row>
    <row r="9" spans="1:8" ht="13">
      <c r="A9" s="2"/>
      <c r="G9" s="16"/>
    </row>
    <row r="10" spans="1:8" ht="13">
      <c r="A10" s="2"/>
      <c r="G10" s="16"/>
    </row>
    <row r="11" spans="1:8" ht="13">
      <c r="A11" s="2">
        <v>5</v>
      </c>
      <c r="B11" s="465" t="s">
        <v>2147</v>
      </c>
      <c r="C11" s="14"/>
      <c r="D11" s="14"/>
      <c r="E11" s="37"/>
      <c r="F11" s="1112">
        <v>171053.85921814502</v>
      </c>
      <c r="G11" s="16"/>
      <c r="H11" s="12" t="s">
        <v>359</v>
      </c>
    </row>
    <row r="12" spans="1:8">
      <c r="B12" s="14"/>
      <c r="C12" s="14"/>
      <c r="D12" s="14"/>
    </row>
    <row r="13" spans="1:8">
      <c r="B13" s="14"/>
      <c r="C13" s="14"/>
      <c r="D13" s="14"/>
    </row>
    <row r="14" spans="1:8" ht="13">
      <c r="B14" s="833" t="s">
        <v>230</v>
      </c>
      <c r="C14" s="14"/>
      <c r="D14" s="14"/>
    </row>
    <row r="15" spans="1:8">
      <c r="B15" s="15" t="s">
        <v>1217</v>
      </c>
      <c r="C15" s="14"/>
      <c r="D15" s="14"/>
    </row>
    <row r="16" spans="1:8">
      <c r="B16" s="15" t="s">
        <v>1218</v>
      </c>
      <c r="C16" s="14"/>
      <c r="D16" s="14"/>
    </row>
    <row r="17" spans="2:8">
      <c r="B17" s="465" t="s">
        <v>1836</v>
      </c>
      <c r="C17" s="14"/>
      <c r="D17" s="14"/>
      <c r="E17" s="14"/>
      <c r="F17" s="14"/>
      <c r="G17" s="14"/>
      <c r="H17" s="14"/>
    </row>
    <row r="18" spans="2:8">
      <c r="B18" s="463" t="s">
        <v>2450</v>
      </c>
    </row>
    <row r="19" spans="2:8" ht="15.5">
      <c r="B19" s="573"/>
    </row>
  </sheetData>
  <pageMargins left="0.7" right="0.7" top="0.75" bottom="0.75" header="0.3" footer="0.3"/>
  <pageSetup orientation="landscape" cellComments="asDisplayed" r:id="rId1"/>
  <headerFooter>
    <oddHeader>&amp;CSchedule 32 
Gross Load
&amp;RTO2022 Draft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Normal="100" zoomScalePageLayoutView="70" workbookViewId="0"/>
  </sheetViews>
  <sheetFormatPr defaultColWidth="9.453125" defaultRowHeight="12.5"/>
  <cols>
    <col min="1" max="1" width="5.453125" style="716" customWidth="1"/>
    <col min="2" max="2" width="18.54296875" style="716" customWidth="1"/>
    <col min="3" max="3" width="16.453125" style="716" customWidth="1"/>
    <col min="4" max="4" width="17.453125" style="716" customWidth="1"/>
    <col min="5" max="12" width="15.54296875" style="716" customWidth="1"/>
    <col min="13" max="13" width="15.54296875" style="715" customWidth="1"/>
    <col min="14" max="14" width="15.54296875" style="716" customWidth="1"/>
    <col min="15" max="15" width="9.453125" style="716"/>
    <col min="16" max="16" width="9.54296875" style="716" customWidth="1"/>
    <col min="17" max="16384" width="9.453125" style="716"/>
  </cols>
  <sheetData>
    <row r="1" spans="1:16" ht="15.5">
      <c r="A1" s="712" t="s">
        <v>369</v>
      </c>
      <c r="B1" s="713"/>
      <c r="C1" s="713"/>
      <c r="D1" s="713"/>
      <c r="E1" s="713"/>
      <c r="F1" s="713"/>
      <c r="G1" s="713"/>
      <c r="H1" s="713"/>
      <c r="I1" s="713"/>
      <c r="J1" s="713"/>
      <c r="K1" s="714"/>
      <c r="L1" s="714"/>
    </row>
    <row r="2" spans="1:16" ht="14.25" customHeight="1">
      <c r="A2" s="712"/>
      <c r="B2" s="713"/>
      <c r="C2" s="713"/>
      <c r="D2" s="713"/>
      <c r="E2" s="713"/>
      <c r="F2" s="713"/>
      <c r="G2" s="713"/>
      <c r="H2" s="713"/>
      <c r="I2" s="713"/>
      <c r="J2" s="713"/>
      <c r="K2" s="714"/>
      <c r="L2" s="714"/>
    </row>
    <row r="3" spans="1:16" ht="13">
      <c r="E3" s="717" t="s">
        <v>179</v>
      </c>
      <c r="K3" s="718"/>
      <c r="L3" s="718"/>
    </row>
    <row r="4" spans="1:16" ht="13">
      <c r="C4" s="719" t="s">
        <v>1149</v>
      </c>
      <c r="D4" s="1433">
        <f>'1-BaseTRR'!K154</f>
        <v>1398195614.5704634</v>
      </c>
      <c r="E4" s="1208" t="s">
        <v>2143</v>
      </c>
      <c r="F4" s="723"/>
      <c r="G4" s="721" t="s">
        <v>446</v>
      </c>
      <c r="H4" s="722"/>
      <c r="J4" s="723"/>
      <c r="K4" s="718"/>
      <c r="L4" s="718"/>
    </row>
    <row r="5" spans="1:16" ht="13">
      <c r="C5" s="719"/>
      <c r="D5" s="724"/>
      <c r="E5" s="720"/>
      <c r="K5" s="718"/>
      <c r="L5" s="718"/>
    </row>
    <row r="6" spans="1:16" ht="15.5">
      <c r="B6" s="712" t="s">
        <v>1150</v>
      </c>
      <c r="D6" s="719"/>
      <c r="E6" s="724"/>
      <c r="F6" s="720"/>
      <c r="K6" s="718"/>
      <c r="L6" s="718"/>
    </row>
    <row r="7" spans="1:16" ht="13">
      <c r="C7" s="725" t="s">
        <v>358</v>
      </c>
      <c r="D7" s="725" t="s">
        <v>342</v>
      </c>
      <c r="E7" s="725" t="s">
        <v>343</v>
      </c>
      <c r="F7" s="763" t="s">
        <v>344</v>
      </c>
      <c r="G7" s="763" t="s">
        <v>345</v>
      </c>
      <c r="H7" s="763" t="s">
        <v>346</v>
      </c>
      <c r="I7" s="763" t="s">
        <v>347</v>
      </c>
      <c r="J7" s="763" t="s">
        <v>534</v>
      </c>
      <c r="K7" s="763" t="s">
        <v>949</v>
      </c>
      <c r="L7" s="763" t="s">
        <v>961</v>
      </c>
      <c r="M7" s="763" t="s">
        <v>964</v>
      </c>
      <c r="N7" s="717" t="s">
        <v>982</v>
      </c>
      <c r="O7" s="717" t="s">
        <v>1459</v>
      </c>
      <c r="P7" s="717" t="s">
        <v>1460</v>
      </c>
    </row>
    <row r="8" spans="1:16">
      <c r="C8" s="752" t="s">
        <v>359</v>
      </c>
      <c r="D8" s="723"/>
      <c r="E8" s="752" t="s">
        <v>360</v>
      </c>
      <c r="F8" s="752" t="s">
        <v>1151</v>
      </c>
      <c r="G8" s="752" t="s">
        <v>1166</v>
      </c>
      <c r="H8" s="752" t="s">
        <v>1168</v>
      </c>
      <c r="I8" s="752" t="s">
        <v>1169</v>
      </c>
      <c r="J8" s="752" t="s">
        <v>1170</v>
      </c>
      <c r="K8" s="723"/>
      <c r="L8" s="723"/>
    </row>
    <row r="9" spans="1:16" s="729" customFormat="1" ht="13">
      <c r="A9" s="727"/>
      <c r="B9" s="727"/>
      <c r="C9" s="725"/>
      <c r="D9" s="728"/>
      <c r="E9" s="1547" t="s">
        <v>2069</v>
      </c>
      <c r="F9" s="1548"/>
      <c r="G9" s="1548"/>
      <c r="H9" s="1549"/>
      <c r="I9" s="1550"/>
      <c r="J9" s="1193"/>
      <c r="K9" s="997"/>
      <c r="L9" s="752" t="s">
        <v>2190</v>
      </c>
      <c r="M9" s="752" t="s">
        <v>2190</v>
      </c>
      <c r="N9" s="752" t="s">
        <v>2190</v>
      </c>
    </row>
    <row r="10" spans="1:16" s="1165" customFormat="1" ht="128.25" customHeight="1">
      <c r="A10" s="1163"/>
      <c r="B10" s="1163"/>
      <c r="C10" s="730"/>
      <c r="D10" s="1206" t="s">
        <v>2070</v>
      </c>
      <c r="E10" s="998" t="s">
        <v>2191</v>
      </c>
      <c r="F10" s="998" t="s">
        <v>2192</v>
      </c>
      <c r="G10" s="999" t="s">
        <v>2184</v>
      </c>
      <c r="H10" s="998" t="s">
        <v>2071</v>
      </c>
      <c r="I10" s="998" t="s">
        <v>2072</v>
      </c>
      <c r="J10" s="1207" t="s">
        <v>2193</v>
      </c>
      <c r="K10" s="1206" t="s">
        <v>2194</v>
      </c>
      <c r="L10" s="1206" t="s">
        <v>2195</v>
      </c>
      <c r="M10" s="1334" t="s">
        <v>2073</v>
      </c>
      <c r="N10" s="1335"/>
      <c r="O10" s="1195"/>
      <c r="P10" s="1164"/>
    </row>
    <row r="11" spans="1:16" s="1166" customFormat="1" ht="55.4" customHeight="1">
      <c r="A11" s="717" t="s">
        <v>319</v>
      </c>
      <c r="B11" s="731" t="s">
        <v>1152</v>
      </c>
      <c r="C11" s="732" t="s">
        <v>1153</v>
      </c>
      <c r="D11" s="733" t="s">
        <v>1154</v>
      </c>
      <c r="E11" s="731" t="s">
        <v>2196</v>
      </c>
      <c r="F11" s="770" t="s">
        <v>2197</v>
      </c>
      <c r="G11" s="1008" t="s">
        <v>2185</v>
      </c>
      <c r="H11" s="731" t="s">
        <v>2075</v>
      </c>
      <c r="I11" s="731" t="s">
        <v>2076</v>
      </c>
      <c r="J11" s="731" t="s">
        <v>2186</v>
      </c>
      <c r="K11" s="735" t="s">
        <v>2077</v>
      </c>
      <c r="L11" s="736" t="s">
        <v>2078</v>
      </c>
      <c r="M11" s="734" t="s">
        <v>2074</v>
      </c>
      <c r="N11" s="731" t="s">
        <v>2075</v>
      </c>
      <c r="O11" s="731" t="s">
        <v>2076</v>
      </c>
      <c r="P11" s="731" t="s">
        <v>168</v>
      </c>
    </row>
    <row r="12" spans="1:16" s="755" customFormat="1" ht="13">
      <c r="A12" s="737" t="s">
        <v>576</v>
      </c>
      <c r="B12" s="468" t="s">
        <v>2906</v>
      </c>
      <c r="C12" s="1025">
        <f>M115</f>
        <v>0.43781821104713387</v>
      </c>
      <c r="D12" s="1485">
        <f>$D$4*C12</f>
        <v>612155502.66518819</v>
      </c>
      <c r="E12" s="939">
        <v>27982.602819</v>
      </c>
      <c r="F12" s="761"/>
      <c r="G12" s="1082">
        <v>1931.9463519999999</v>
      </c>
      <c r="H12" s="940">
        <v>0</v>
      </c>
      <c r="I12" s="941">
        <v>1.2E-2</v>
      </c>
      <c r="J12" s="1026">
        <f>(E12+F12)-G12</f>
        <v>26050.656467000001</v>
      </c>
      <c r="K12" s="1186">
        <f>D12/(J12*10^6)</f>
        <v>2.3498659369319309E-2</v>
      </c>
      <c r="L12" s="738"/>
      <c r="N12" s="714"/>
      <c r="O12" s="713"/>
      <c r="P12" s="752"/>
    </row>
    <row r="13" spans="1:16" s="755" customFormat="1" ht="13.5" thickBot="1">
      <c r="A13" s="737" t="s">
        <v>578</v>
      </c>
      <c r="B13" s="468" t="s">
        <v>2907</v>
      </c>
      <c r="C13" s="1025">
        <f>M116</f>
        <v>7.6770630312751553E-2</v>
      </c>
      <c r="D13" s="740">
        <f>$D$4*C13</f>
        <v>107340358.63109951</v>
      </c>
      <c r="E13" s="939">
        <v>5923.6392599999999</v>
      </c>
      <c r="F13" s="761"/>
      <c r="G13" s="1082">
        <v>31.924164000000001</v>
      </c>
      <c r="H13" s="940">
        <v>0</v>
      </c>
      <c r="I13" s="941">
        <v>0.51</v>
      </c>
      <c r="J13" s="1026">
        <f t="shared" ref="J13:J27" si="0">(E13+F13)-G13</f>
        <v>5891.7150959999999</v>
      </c>
      <c r="K13" s="1167">
        <f>D13/(J13*10^6)</f>
        <v>1.8218864436261518E-2</v>
      </c>
      <c r="L13" s="738"/>
      <c r="M13" s="946">
        <v>5830.5112259999996</v>
      </c>
      <c r="N13" s="947">
        <v>28196.110779450977</v>
      </c>
      <c r="O13" s="948">
        <v>0.51</v>
      </c>
      <c r="P13" s="752"/>
    </row>
    <row r="14" spans="1:16" s="755" customFormat="1" ht="15.5" thickBot="1">
      <c r="A14" s="737" t="s">
        <v>2079</v>
      </c>
      <c r="B14" s="468" t="s">
        <v>2908</v>
      </c>
      <c r="C14" s="1168"/>
      <c r="D14" s="1168"/>
      <c r="E14" s="942"/>
      <c r="F14" s="761"/>
      <c r="G14" s="761"/>
      <c r="H14" s="942"/>
      <c r="I14" s="942"/>
      <c r="J14" s="1026">
        <f>(E14+F14)-G14</f>
        <v>0</v>
      </c>
      <c r="K14" s="739"/>
      <c r="L14" s="1169">
        <f>N14</f>
        <v>3.7673058219093187</v>
      </c>
      <c r="M14" s="1487">
        <f>K13*M13*10^6</f>
        <v>106225293.62059493</v>
      </c>
      <c r="N14" s="1486">
        <f>M14/((N13+O13)*10^3)</f>
        <v>3.7673058219093187</v>
      </c>
      <c r="O14" s="1170"/>
      <c r="P14" s="1000" t="s">
        <v>2198</v>
      </c>
    </row>
    <row r="15" spans="1:16" s="755" customFormat="1" ht="13">
      <c r="A15" s="737" t="s">
        <v>581</v>
      </c>
      <c r="B15" s="468" t="s">
        <v>2909</v>
      </c>
      <c r="C15" s="1025">
        <f t="shared" ref="C15:C26" si="1">M117</f>
        <v>4.9604863467924993E-4</v>
      </c>
      <c r="D15" s="740">
        <f t="shared" ref="D15:D26" si="2">$D$4*C15</f>
        <v>693573.02562219312</v>
      </c>
      <c r="E15" s="1402">
        <v>55.490121000000002</v>
      </c>
      <c r="F15" s="948"/>
      <c r="G15" s="761">
        <v>0</v>
      </c>
      <c r="H15" s="940">
        <v>0</v>
      </c>
      <c r="I15" s="941">
        <v>0</v>
      </c>
      <c r="J15" s="1026">
        <f t="shared" si="0"/>
        <v>55.490121000000002</v>
      </c>
      <c r="K15" s="1167">
        <f>D15/(J15*10^6)</f>
        <v>1.2499036100897908E-2</v>
      </c>
      <c r="L15" s="738"/>
      <c r="N15" s="714"/>
      <c r="O15" s="713"/>
      <c r="P15" s="752"/>
    </row>
    <row r="16" spans="1:16" s="755" customFormat="1" ht="13">
      <c r="A16" s="737" t="s">
        <v>1155</v>
      </c>
      <c r="B16" s="468" t="s">
        <v>2910</v>
      </c>
      <c r="C16" s="1025">
        <f t="shared" si="1"/>
        <v>0.15260249321279062</v>
      </c>
      <c r="D16" s="740">
        <f t="shared" si="2"/>
        <v>213368136.78264275</v>
      </c>
      <c r="E16" s="939">
        <v>12184.653306</v>
      </c>
      <c r="F16" s="761"/>
      <c r="G16" s="1082">
        <v>143.13886600000001</v>
      </c>
      <c r="H16" s="940">
        <v>41899.036</v>
      </c>
      <c r="I16" s="941">
        <v>33.96</v>
      </c>
      <c r="J16" s="1026">
        <f t="shared" si="0"/>
        <v>12041.514440000001</v>
      </c>
      <c r="K16" s="738"/>
      <c r="L16" s="1171">
        <f t="shared" ref="L16:L25" si="3">D16/((I16+H16)*10^3)</f>
        <v>5.0883112855242389</v>
      </c>
      <c r="N16" s="714"/>
      <c r="O16" s="1172"/>
      <c r="P16" s="752"/>
    </row>
    <row r="17" spans="1:16" s="755" customFormat="1" ht="13">
      <c r="A17" s="737" t="s">
        <v>1156</v>
      </c>
      <c r="B17" s="468" t="s">
        <v>2911</v>
      </c>
      <c r="C17" s="1025">
        <f t="shared" si="1"/>
        <v>8.5990908095811336E-2</v>
      </c>
      <c r="D17" s="740">
        <f t="shared" si="2"/>
        <v>120232110.59249517</v>
      </c>
      <c r="E17" s="939">
        <v>7403.2479320000002</v>
      </c>
      <c r="F17" s="761"/>
      <c r="G17" s="1082">
        <v>118.32292099999999</v>
      </c>
      <c r="H17" s="940">
        <v>21435.288329999999</v>
      </c>
      <c r="I17" s="941">
        <v>73.194670000000002</v>
      </c>
      <c r="J17" s="1026">
        <f t="shared" si="0"/>
        <v>7284.9250110000003</v>
      </c>
      <c r="K17" s="738"/>
      <c r="L17" s="1020">
        <f t="shared" si="3"/>
        <v>5.5899856160239274</v>
      </c>
      <c r="N17" s="714"/>
      <c r="O17" s="1172"/>
      <c r="P17" s="752"/>
    </row>
    <row r="18" spans="1:16" s="755" customFormat="1" ht="13">
      <c r="A18" s="737" t="s">
        <v>1157</v>
      </c>
      <c r="B18" s="468" t="s">
        <v>2912</v>
      </c>
      <c r="C18" s="1025">
        <f t="shared" si="1"/>
        <v>8.3390267340547025E-2</v>
      </c>
      <c r="D18" s="740">
        <f t="shared" si="2"/>
        <v>116595906.09341139</v>
      </c>
      <c r="E18" s="943">
        <v>7529.5813020000005</v>
      </c>
      <c r="F18" s="761"/>
      <c r="G18" s="1082">
        <v>44.680185000000002</v>
      </c>
      <c r="H18" s="944">
        <v>19232.017</v>
      </c>
      <c r="I18" s="945">
        <v>0</v>
      </c>
      <c r="J18" s="1026">
        <f t="shared" si="0"/>
        <v>7484.9011170000003</v>
      </c>
      <c r="K18" s="738"/>
      <c r="L18" s="1020">
        <f>D18/((I18+H18)*10^3)</f>
        <v>6.0625937515244184</v>
      </c>
      <c r="N18" s="714"/>
      <c r="O18" s="1172"/>
      <c r="P18" s="752"/>
    </row>
    <row r="19" spans="1:16" s="755" customFormat="1" ht="13">
      <c r="A19" s="737" t="s">
        <v>1158</v>
      </c>
      <c r="B19" s="468" t="s">
        <v>2913</v>
      </c>
      <c r="C19" s="1025">
        <f t="shared" si="1"/>
        <v>5.9309562651824271E-2</v>
      </c>
      <c r="D19" s="740">
        <f t="shared" si="2"/>
        <v>82926370.401872844</v>
      </c>
      <c r="E19" s="943">
        <v>5599.1337279999998</v>
      </c>
      <c r="F19" s="761"/>
      <c r="G19" s="1082">
        <v>29.767416000000001</v>
      </c>
      <c r="H19" s="944">
        <v>13030.975</v>
      </c>
      <c r="I19" s="945">
        <v>0</v>
      </c>
      <c r="J19" s="1026">
        <f t="shared" si="0"/>
        <v>5569.3663120000001</v>
      </c>
      <c r="K19" s="738"/>
      <c r="L19" s="1020">
        <f t="shared" si="3"/>
        <v>6.363788619184124</v>
      </c>
      <c r="N19" s="714"/>
      <c r="O19" s="1172"/>
      <c r="P19" s="752"/>
    </row>
    <row r="20" spans="1:16" s="755" customFormat="1" ht="13">
      <c r="A20" s="737" t="s">
        <v>1159</v>
      </c>
      <c r="B20" s="468" t="s">
        <v>2914</v>
      </c>
      <c r="C20" s="1025">
        <f t="shared" si="1"/>
        <v>6.3217553989474359E-2</v>
      </c>
      <c r="D20" s="740">
        <f t="shared" si="2"/>
        <v>88390506.751954556</v>
      </c>
      <c r="E20" s="943">
        <v>5966.9369309999993</v>
      </c>
      <c r="F20" s="761"/>
      <c r="G20" s="1082">
        <v>14.008808</v>
      </c>
      <c r="H20" s="944">
        <v>12053.998</v>
      </c>
      <c r="I20" s="945">
        <v>0</v>
      </c>
      <c r="J20" s="1026">
        <f t="shared" si="0"/>
        <v>5952.9281229999997</v>
      </c>
      <c r="K20" s="738"/>
      <c r="L20" s="1020">
        <f t="shared" si="3"/>
        <v>7.3328788300740184</v>
      </c>
      <c r="N20" s="1173"/>
      <c r="O20" s="1174"/>
      <c r="P20" s="752"/>
    </row>
    <row r="21" spans="1:16" s="755" customFormat="1" ht="13">
      <c r="A21" s="737" t="s">
        <v>1160</v>
      </c>
      <c r="B21" s="468" t="s">
        <v>2915</v>
      </c>
      <c r="C21" s="1025">
        <f t="shared" si="1"/>
        <v>8.797579710036463E-4</v>
      </c>
      <c r="D21" s="740">
        <f t="shared" si="2"/>
        <v>1230073.7369407071</v>
      </c>
      <c r="E21" s="944">
        <v>94.976902884739985</v>
      </c>
      <c r="F21" s="944">
        <v>84.598786115260026</v>
      </c>
      <c r="G21" s="1082">
        <v>0</v>
      </c>
      <c r="H21" s="944">
        <v>289.2080000040001</v>
      </c>
      <c r="I21" s="945">
        <v>232.41999999599994</v>
      </c>
      <c r="J21" s="1026">
        <f t="shared" si="0"/>
        <v>179.57568900000001</v>
      </c>
      <c r="K21" s="738"/>
      <c r="L21" s="1171">
        <f t="shared" si="3"/>
        <v>2.3581436137260785</v>
      </c>
      <c r="N21" s="1175"/>
      <c r="O21" s="1176"/>
      <c r="P21" s="752"/>
    </row>
    <row r="22" spans="1:16" s="755" customFormat="1" ht="13">
      <c r="A22" s="737" t="s">
        <v>1161</v>
      </c>
      <c r="B22" s="468" t="s">
        <v>2916</v>
      </c>
      <c r="C22" s="1025">
        <f t="shared" si="1"/>
        <v>1.927130096688291E-3</v>
      </c>
      <c r="D22" s="740">
        <f t="shared" si="2"/>
        <v>2694504.8498963215</v>
      </c>
      <c r="E22" s="944">
        <v>397.13271707003997</v>
      </c>
      <c r="F22" s="944">
        <v>210.50632192996005</v>
      </c>
      <c r="G22" s="1082">
        <v>0</v>
      </c>
      <c r="H22" s="944">
        <v>1030.94004</v>
      </c>
      <c r="I22" s="945">
        <v>1174.2039599999998</v>
      </c>
      <c r="J22" s="1026">
        <f t="shared" si="0"/>
        <v>607.63903900000003</v>
      </c>
      <c r="K22" s="738"/>
      <c r="L22" s="1171">
        <f t="shared" si="3"/>
        <v>1.2219178656343175</v>
      </c>
      <c r="N22" s="1175"/>
      <c r="O22" s="1176"/>
      <c r="P22" s="752"/>
    </row>
    <row r="23" spans="1:16" s="755" customFormat="1" ht="13">
      <c r="A23" s="737" t="s">
        <v>1162</v>
      </c>
      <c r="B23" s="468" t="s">
        <v>2917</v>
      </c>
      <c r="C23" s="1025">
        <f t="shared" si="1"/>
        <v>3.2496549219513328E-3</v>
      </c>
      <c r="D23" s="740">
        <f t="shared" si="2"/>
        <v>4543653.2607396748</v>
      </c>
      <c r="E23" s="944">
        <v>1930.4239125470001</v>
      </c>
      <c r="F23" s="944">
        <v>529.51487145299984</v>
      </c>
      <c r="G23" s="1082">
        <v>0</v>
      </c>
      <c r="H23" s="944">
        <v>3934.7750000399983</v>
      </c>
      <c r="I23" s="945">
        <v>7509.7719999600022</v>
      </c>
      <c r="J23" s="1026">
        <f t="shared" si="0"/>
        <v>2459.9387839999999</v>
      </c>
      <c r="K23" s="738"/>
      <c r="L23" s="1171">
        <f t="shared" si="3"/>
        <v>0.39701468836990006</v>
      </c>
      <c r="N23" s="1173"/>
      <c r="O23" s="1174"/>
      <c r="P23" s="752"/>
    </row>
    <row r="24" spans="1:16" s="755" customFormat="1" ht="13">
      <c r="A24" s="737" t="s">
        <v>1163</v>
      </c>
      <c r="B24" s="468" t="s">
        <v>2918</v>
      </c>
      <c r="C24" s="1025">
        <f t="shared" si="1"/>
        <v>1.6556220863240639E-2</v>
      </c>
      <c r="D24" s="740">
        <f t="shared" si="2"/>
        <v>23148835.404843073</v>
      </c>
      <c r="E24" s="939">
        <v>1831.8342130000001</v>
      </c>
      <c r="F24" s="761"/>
      <c r="G24" s="1082">
        <v>106.267073</v>
      </c>
      <c r="H24" s="939">
        <v>8778.7939999999999</v>
      </c>
      <c r="I24" s="939">
        <v>0.52400000000000002</v>
      </c>
      <c r="J24" s="1026">
        <f t="shared" si="0"/>
        <v>1725.5671400000001</v>
      </c>
      <c r="K24" s="738"/>
      <c r="L24" s="1171">
        <f t="shared" si="3"/>
        <v>2.6367464311969417</v>
      </c>
      <c r="N24" s="1177"/>
      <c r="O24" s="1177"/>
      <c r="P24" s="1178"/>
    </row>
    <row r="25" spans="1:16" s="755" customFormat="1" ht="13">
      <c r="A25" s="737" t="s">
        <v>1164</v>
      </c>
      <c r="B25" s="468" t="s">
        <v>2919</v>
      </c>
      <c r="C25" s="1025">
        <f t="shared" si="1"/>
        <v>1.3492922672121118E-2</v>
      </c>
      <c r="D25" s="740">
        <f t="shared" si="2"/>
        <v>18865745.307898127</v>
      </c>
      <c r="E25" s="939">
        <v>1549.127628</v>
      </c>
      <c r="F25" s="761"/>
      <c r="G25" s="1082">
        <v>59.944180000000003</v>
      </c>
      <c r="H25" s="939">
        <v>5345.5943299999999</v>
      </c>
      <c r="I25" s="939">
        <v>19.554670000000002</v>
      </c>
      <c r="J25" s="1026">
        <f t="shared" si="0"/>
        <v>1489.183448</v>
      </c>
      <c r="K25" s="738"/>
      <c r="L25" s="1171">
        <f t="shared" si="3"/>
        <v>3.5163506750508002</v>
      </c>
      <c r="M25" s="1172"/>
      <c r="N25" s="713"/>
      <c r="O25" s="720"/>
      <c r="P25" s="752"/>
    </row>
    <row r="26" spans="1:16" s="755" customFormat="1" ht="13">
      <c r="A26" s="737" t="s">
        <v>1165</v>
      </c>
      <c r="B26" s="468" t="s">
        <v>2920</v>
      </c>
      <c r="C26" s="1025">
        <f t="shared" si="1"/>
        <v>4.2986381899825839E-3</v>
      </c>
      <c r="D26" s="740">
        <f t="shared" si="2"/>
        <v>6010337.0658587636</v>
      </c>
      <c r="E26" s="939">
        <v>474.788702</v>
      </c>
      <c r="F26" s="761"/>
      <c r="G26" s="761">
        <v>0</v>
      </c>
      <c r="H26" s="940">
        <v>0</v>
      </c>
      <c r="I26" s="941">
        <v>0</v>
      </c>
      <c r="J26" s="1026">
        <f t="shared" si="0"/>
        <v>474.788702</v>
      </c>
      <c r="K26" s="1167">
        <f>D26/(J26*10^6)</f>
        <v>1.2658972381905506E-2</v>
      </c>
      <c r="L26" s="738"/>
      <c r="M26" s="713"/>
      <c r="N26" s="713"/>
      <c r="O26" s="720"/>
      <c r="P26" s="752"/>
    </row>
    <row r="27" spans="1:16" s="755" customFormat="1" ht="13">
      <c r="A27" s="737" t="s">
        <v>1167</v>
      </c>
      <c r="B27" s="741" t="s">
        <v>76</v>
      </c>
      <c r="C27" s="1025"/>
      <c r="D27" s="740"/>
      <c r="E27" s="939"/>
      <c r="F27" s="761"/>
      <c r="G27" s="761"/>
      <c r="H27" s="940"/>
      <c r="I27" s="941"/>
      <c r="J27" s="1026">
        <f t="shared" si="0"/>
        <v>0</v>
      </c>
      <c r="K27" s="1167"/>
      <c r="L27" s="738"/>
      <c r="M27" s="713"/>
      <c r="N27" s="713"/>
      <c r="O27" s="720"/>
      <c r="P27" s="752"/>
    </row>
    <row r="28" spans="1:16" s="755" customFormat="1" ht="13">
      <c r="A28" s="737">
        <v>2</v>
      </c>
      <c r="B28" s="471" t="s">
        <v>197</v>
      </c>
      <c r="C28" s="1201">
        <f t="shared" ref="C28:D28" si="4">SUM(C12:C27)</f>
        <v>0.99999999999999967</v>
      </c>
      <c r="D28" s="1203">
        <f t="shared" si="4"/>
        <v>1398195614.5704632</v>
      </c>
      <c r="E28" s="1200">
        <f>SUM(E12:E27)</f>
        <v>78923.569474501783</v>
      </c>
      <c r="F28" s="1200">
        <f t="shared" ref="F28:J28" si="5">SUM(F12:F27)</f>
        <v>824.61997949821989</v>
      </c>
      <c r="G28" s="1200">
        <f t="shared" si="5"/>
        <v>2479.9999650000004</v>
      </c>
      <c r="H28" s="1200">
        <f t="shared" si="5"/>
        <v>127030.62570004398</v>
      </c>
      <c r="I28" s="1200">
        <f t="shared" si="5"/>
        <v>9044.151299956</v>
      </c>
      <c r="J28" s="1200">
        <f t="shared" si="5"/>
        <v>77268.189489000011</v>
      </c>
      <c r="K28" s="726"/>
      <c r="L28" s="713"/>
      <c r="M28" s="713"/>
      <c r="N28" s="713"/>
      <c r="O28" s="713"/>
      <c r="P28" s="752"/>
    </row>
    <row r="29" spans="1:16" s="723" customFormat="1" ht="13">
      <c r="A29" s="737">
        <f>A28+1</f>
        <v>3</v>
      </c>
      <c r="B29" s="716"/>
      <c r="C29" s="716"/>
      <c r="D29" s="716"/>
      <c r="E29" s="716"/>
      <c r="F29" s="716"/>
      <c r="G29" s="716"/>
      <c r="H29" s="716"/>
      <c r="I29" s="716"/>
      <c r="J29" s="742"/>
      <c r="K29" s="742"/>
      <c r="M29" s="715"/>
    </row>
    <row r="30" spans="1:16" s="723" customFormat="1" ht="13">
      <c r="A30" s="737">
        <f t="shared" ref="A30:A34" si="6">A29+1</f>
        <v>4</v>
      </c>
      <c r="B30" s="716"/>
      <c r="C30" s="716"/>
      <c r="D30" s="716"/>
      <c r="E30" s="716"/>
      <c r="G30" s="1001"/>
      <c r="I30" s="763"/>
      <c r="J30" s="743"/>
      <c r="K30" s="743"/>
      <c r="L30" s="743"/>
      <c r="M30" s="715"/>
    </row>
    <row r="31" spans="1:16" s="723" customFormat="1" ht="15.5">
      <c r="A31" s="737">
        <f t="shared" si="6"/>
        <v>5</v>
      </c>
      <c r="B31" s="1009" t="s">
        <v>2199</v>
      </c>
      <c r="C31" s="716"/>
      <c r="D31" s="716"/>
      <c r="E31" s="716"/>
      <c r="F31" s="716"/>
      <c r="G31" s="716"/>
      <c r="H31" s="716"/>
      <c r="I31" s="716"/>
      <c r="J31" s="716"/>
      <c r="K31" s="716"/>
      <c r="L31" s="716"/>
      <c r="M31" s="715"/>
    </row>
    <row r="32" spans="1:16" s="755" customFormat="1" ht="13">
      <c r="A32" s="737">
        <f t="shared" si="6"/>
        <v>6</v>
      </c>
      <c r="B32" s="713"/>
      <c r="C32" s="725" t="s">
        <v>358</v>
      </c>
      <c r="D32" s="725" t="s">
        <v>342</v>
      </c>
      <c r="E32" s="725" t="s">
        <v>343</v>
      </c>
      <c r="F32" s="725" t="s">
        <v>344</v>
      </c>
      <c r="G32" s="725" t="s">
        <v>345</v>
      </c>
      <c r="H32" s="725" t="s">
        <v>346</v>
      </c>
      <c r="I32" s="725" t="s">
        <v>347</v>
      </c>
      <c r="J32" s="725" t="s">
        <v>534</v>
      </c>
      <c r="K32" s="713"/>
      <c r="M32" s="752"/>
    </row>
    <row r="33" spans="1:13" s="1165" customFormat="1" ht="42.75" customHeight="1">
      <c r="A33" s="737">
        <f t="shared" si="6"/>
        <v>7</v>
      </c>
      <c r="B33" s="1163"/>
      <c r="C33" s="1164" t="s">
        <v>2080</v>
      </c>
      <c r="D33" s="1196" t="s">
        <v>2200</v>
      </c>
      <c r="E33" s="1196" t="s">
        <v>2201</v>
      </c>
      <c r="F33" s="1205"/>
      <c r="H33" s="999" t="s">
        <v>2080</v>
      </c>
      <c r="I33" s="999" t="s">
        <v>1171</v>
      </c>
      <c r="J33" s="1197" t="s">
        <v>2202</v>
      </c>
      <c r="K33" s="1010"/>
      <c r="L33" s="1010"/>
      <c r="M33" s="1010"/>
    </row>
    <row r="34" spans="1:13" s="755" customFormat="1" ht="13">
      <c r="A34" s="737">
        <f t="shared" si="6"/>
        <v>8</v>
      </c>
      <c r="B34" s="713"/>
      <c r="C34" s="725"/>
      <c r="D34" s="725"/>
      <c r="E34" s="725"/>
      <c r="F34" s="1011"/>
      <c r="K34" s="1011"/>
      <c r="L34" s="1011"/>
      <c r="M34" s="1012"/>
    </row>
    <row r="35" spans="1:13" s="747" customFormat="1" ht="47.9" customHeight="1">
      <c r="A35" s="737">
        <v>9</v>
      </c>
      <c r="B35" s="745" t="s">
        <v>1152</v>
      </c>
      <c r="C35" s="736" t="s">
        <v>2203</v>
      </c>
      <c r="D35" s="745" t="s">
        <v>2204</v>
      </c>
      <c r="E35" s="745" t="s">
        <v>2205</v>
      </c>
      <c r="F35" s="1013"/>
      <c r="G35" s="745" t="s">
        <v>1152</v>
      </c>
      <c r="H35" s="745" t="s">
        <v>2206</v>
      </c>
      <c r="I35" s="745" t="s">
        <v>2207</v>
      </c>
      <c r="J35" s="745" t="s">
        <v>2208</v>
      </c>
      <c r="K35" s="1013"/>
      <c r="L35" s="1014"/>
      <c r="M35" s="1014"/>
    </row>
    <row r="36" spans="1:13" s="749" customFormat="1" ht="13">
      <c r="A36" s="748" t="s">
        <v>2081</v>
      </c>
      <c r="B36" s="1213" t="s">
        <v>2915</v>
      </c>
      <c r="C36" s="1015">
        <f>D21</f>
        <v>1230073.7369407071</v>
      </c>
      <c r="D36" s="1179">
        <f>I21</f>
        <v>232.41999999599994</v>
      </c>
      <c r="E36" s="1180">
        <f>C36/D36/10^3</f>
        <v>5.2924607906457162</v>
      </c>
      <c r="F36" s="1016"/>
      <c r="G36" s="1213" t="s">
        <v>2915</v>
      </c>
      <c r="H36" s="1015">
        <f>D18</f>
        <v>116595906.09341139</v>
      </c>
      <c r="I36" s="1007">
        <f>H18+H21</f>
        <v>19521.225000004</v>
      </c>
      <c r="J36" s="1176">
        <f>H36/(I36*10^3)</f>
        <v>5.9727760984972758</v>
      </c>
      <c r="K36" s="1017"/>
      <c r="L36" s="1018"/>
      <c r="M36" s="1016"/>
    </row>
    <row r="37" spans="1:13" s="749" customFormat="1" ht="13">
      <c r="A37" s="748" t="s">
        <v>2082</v>
      </c>
      <c r="B37" s="1213" t="s">
        <v>2916</v>
      </c>
      <c r="C37" s="1015">
        <f>D22</f>
        <v>2694504.8498963215</v>
      </c>
      <c r="D37" s="1179">
        <f>I22</f>
        <v>1174.2039599999998</v>
      </c>
      <c r="E37" s="1180">
        <f t="shared" ref="E37:E38" si="7">C37/D37/10^3</f>
        <v>2.2947502662964294</v>
      </c>
      <c r="F37" s="1016"/>
      <c r="G37" s="1213" t="s">
        <v>2916</v>
      </c>
      <c r="H37" s="1015">
        <f t="shared" ref="H37:H38" si="8">D19</f>
        <v>82926370.401872844</v>
      </c>
      <c r="I37" s="1007">
        <f t="shared" ref="I37:I38" si="9">H19+H22</f>
        <v>14061.91504</v>
      </c>
      <c r="J37" s="1176">
        <f t="shared" ref="J37:J38" si="10">H37/(I37*10^3)</f>
        <v>5.8972316477509343</v>
      </c>
      <c r="K37" s="1017"/>
      <c r="L37" s="1018"/>
      <c r="M37" s="1016"/>
    </row>
    <row r="38" spans="1:13" s="749" customFormat="1" ht="13">
      <c r="A38" s="748" t="s">
        <v>2083</v>
      </c>
      <c r="B38" s="1213" t="s">
        <v>2917</v>
      </c>
      <c r="C38" s="1015">
        <f>D23</f>
        <v>4543653.2607396748</v>
      </c>
      <c r="D38" s="1179">
        <f>I23</f>
        <v>7509.7719999600022</v>
      </c>
      <c r="E38" s="1180">
        <f t="shared" si="7"/>
        <v>0.60503211825390635</v>
      </c>
      <c r="F38" s="1016"/>
      <c r="G38" s="1213" t="s">
        <v>2917</v>
      </c>
      <c r="H38" s="1015">
        <f t="shared" si="8"/>
        <v>88390506.751954556</v>
      </c>
      <c r="I38" s="1007">
        <f t="shared" si="9"/>
        <v>15988.773000039997</v>
      </c>
      <c r="J38" s="1172">
        <f t="shared" si="10"/>
        <v>5.5282858010263478</v>
      </c>
      <c r="K38" s="1017"/>
      <c r="L38" s="1018"/>
      <c r="M38" s="1016"/>
    </row>
    <row r="39" spans="1:13" s="755" customFormat="1" ht="13">
      <c r="A39" s="748" t="s">
        <v>2084</v>
      </c>
      <c r="B39" s="1214" t="s">
        <v>76</v>
      </c>
      <c r="C39" s="725"/>
      <c r="D39" s="725"/>
      <c r="E39" s="725"/>
      <c r="F39" s="725"/>
      <c r="G39" s="1214" t="s">
        <v>76</v>
      </c>
      <c r="H39" s="725"/>
      <c r="I39" s="744"/>
      <c r="K39" s="713"/>
      <c r="M39" s="752"/>
    </row>
    <row r="40" spans="1:13" s="723" customFormat="1" ht="13">
      <c r="A40" s="737">
        <v>10</v>
      </c>
      <c r="B40" s="716"/>
      <c r="C40" s="725"/>
      <c r="D40" s="725"/>
      <c r="E40" s="725"/>
      <c r="F40" s="725"/>
      <c r="G40" s="725"/>
      <c r="H40" s="725"/>
      <c r="I40" s="744"/>
      <c r="K40" s="716"/>
      <c r="M40" s="715"/>
    </row>
    <row r="41" spans="1:13" s="755" customFormat="1" ht="13">
      <c r="A41" s="737">
        <v>11</v>
      </c>
      <c r="B41" s="1188" t="s">
        <v>1624</v>
      </c>
      <c r="C41" s="713"/>
      <c r="D41" s="713"/>
      <c r="E41" s="713"/>
      <c r="G41" s="713"/>
      <c r="H41" s="713"/>
      <c r="I41" s="713"/>
      <c r="J41" s="713"/>
      <c r="K41" s="713"/>
      <c r="L41" s="713"/>
      <c r="M41" s="752"/>
    </row>
    <row r="42" spans="1:13" s="755" customFormat="1" ht="13">
      <c r="A42" s="737">
        <v>12</v>
      </c>
      <c r="B42" s="713"/>
      <c r="C42" s="725" t="s">
        <v>358</v>
      </c>
      <c r="D42" s="725" t="s">
        <v>342</v>
      </c>
      <c r="E42" s="725" t="s">
        <v>343</v>
      </c>
      <c r="F42" s="725" t="s">
        <v>344</v>
      </c>
      <c r="G42" s="725" t="s">
        <v>345</v>
      </c>
      <c r="H42" s="725" t="s">
        <v>346</v>
      </c>
      <c r="I42" s="725" t="s">
        <v>347</v>
      </c>
      <c r="J42" s="725" t="s">
        <v>534</v>
      </c>
      <c r="K42" s="725" t="s">
        <v>949</v>
      </c>
      <c r="L42" s="725" t="s">
        <v>961</v>
      </c>
      <c r="M42" s="725" t="s">
        <v>964</v>
      </c>
    </row>
    <row r="43" spans="1:13" s="1165" customFormat="1" ht="56.9" customHeight="1">
      <c r="A43" s="751">
        <v>13</v>
      </c>
      <c r="B43" s="1163"/>
      <c r="C43" s="1196" t="s">
        <v>2209</v>
      </c>
      <c r="D43" s="1196" t="s">
        <v>2210</v>
      </c>
      <c r="E43" s="1196" t="s">
        <v>2211</v>
      </c>
      <c r="G43" s="1196" t="s">
        <v>2212</v>
      </c>
      <c r="H43" s="1196" t="s">
        <v>2213</v>
      </c>
      <c r="I43" s="1196" t="s">
        <v>2214</v>
      </c>
      <c r="J43" s="1196" t="s">
        <v>2085</v>
      </c>
      <c r="K43" s="1196" t="s">
        <v>2086</v>
      </c>
      <c r="L43" s="765"/>
      <c r="M43" s="1196" t="s">
        <v>2212</v>
      </c>
    </row>
    <row r="44" spans="1:13" s="755" customFormat="1" ht="13">
      <c r="A44" s="737">
        <v>14</v>
      </c>
      <c r="B44" s="713"/>
      <c r="C44" s="752"/>
      <c r="D44" s="1204" t="s">
        <v>2187</v>
      </c>
      <c r="E44" s="1002"/>
      <c r="G44" s="752"/>
      <c r="H44" s="752" t="s">
        <v>2188</v>
      </c>
      <c r="I44" s="752" t="s">
        <v>2215</v>
      </c>
      <c r="J44" s="752"/>
      <c r="K44" s="752"/>
      <c r="L44" s="752"/>
      <c r="M44" s="997"/>
    </row>
    <row r="45" spans="1:13" s="1166" customFormat="1" ht="64.400000000000006" customHeight="1">
      <c r="A45" s="737">
        <v>15</v>
      </c>
      <c r="B45" s="734" t="str">
        <f>B11</f>
        <v>CPUC Rate Group</v>
      </c>
      <c r="C45" s="736" t="s">
        <v>2216</v>
      </c>
      <c r="D45" s="736" t="s">
        <v>2087</v>
      </c>
      <c r="E45" s="736" t="s">
        <v>2088</v>
      </c>
      <c r="G45" s="736" t="s">
        <v>1172</v>
      </c>
      <c r="H45" s="736" t="s">
        <v>2089</v>
      </c>
      <c r="I45" s="746" t="s">
        <v>2090</v>
      </c>
      <c r="J45" s="736" t="s">
        <v>2091</v>
      </c>
      <c r="K45" s="746" t="s">
        <v>2092</v>
      </c>
      <c r="L45" s="753" t="s">
        <v>168</v>
      </c>
      <c r="M45" s="1122" t="s">
        <v>2443</v>
      </c>
    </row>
    <row r="46" spans="1:13" s="755" customFormat="1" ht="13.5" thickBot="1">
      <c r="A46" s="737" t="s">
        <v>2093</v>
      </c>
      <c r="B46" s="468" t="s">
        <v>2906</v>
      </c>
      <c r="C46" s="1015">
        <f>D46+E46</f>
        <v>612155502.66518819</v>
      </c>
      <c r="D46" s="1015">
        <f>D12-E46</f>
        <v>612155502.66518819</v>
      </c>
      <c r="E46" s="1181"/>
      <c r="G46" s="1181">
        <f>D46/(J12*10^6)</f>
        <v>2.3498659369319309E-2</v>
      </c>
      <c r="H46" s="1181"/>
      <c r="I46" s="1182"/>
      <c r="J46" s="1434"/>
      <c r="K46" s="1181"/>
      <c r="L46" s="1181"/>
      <c r="M46" s="997"/>
    </row>
    <row r="47" spans="1:13" s="755" customFormat="1" ht="13.5" thickBot="1">
      <c r="A47" s="737" t="s">
        <v>2094</v>
      </c>
      <c r="B47" s="468" t="s">
        <v>2907</v>
      </c>
      <c r="C47" s="1015">
        <f t="shared" ref="C47:C59" si="11">D47+E47</f>
        <v>107340358.63109951</v>
      </c>
      <c r="D47" s="1015">
        <f t="shared" ref="D47" si="12">D13-E47</f>
        <v>107338437.30513033</v>
      </c>
      <c r="E47" s="1015">
        <f>I47*I13*10^3</f>
        <v>1921.3259691737526</v>
      </c>
      <c r="G47" s="1181">
        <f>D47/(J13*10^6)</f>
        <v>1.8218538329866713E-2</v>
      </c>
      <c r="H47" s="1184">
        <f>(M14-E47)/N13/10^3</f>
        <v>3.7673058219093187</v>
      </c>
      <c r="I47" s="1185">
        <f>MIN($I$54,L14)</f>
        <v>3.7673058219093187</v>
      </c>
      <c r="J47" s="1185"/>
      <c r="K47" s="1185"/>
      <c r="L47" s="1000" t="s">
        <v>2217</v>
      </c>
      <c r="M47" s="1186">
        <f>$D47/(J13*10^6)</f>
        <v>1.8218538329866713E-2</v>
      </c>
    </row>
    <row r="48" spans="1:13" s="755" customFormat="1" ht="13.5" thickBot="1">
      <c r="A48" s="737" t="s">
        <v>2095</v>
      </c>
      <c r="B48" s="468" t="s">
        <v>2909</v>
      </c>
      <c r="C48" s="1015">
        <f t="shared" si="11"/>
        <v>693573.02562219312</v>
      </c>
      <c r="D48" s="1015">
        <f>D15-E48</f>
        <v>693573.02562219312</v>
      </c>
      <c r="E48" s="1181"/>
      <c r="G48" s="1181">
        <f>D48/(J15*10^6)</f>
        <v>1.2499036100897908E-2</v>
      </c>
      <c r="H48" s="1181"/>
      <c r="I48" s="1182"/>
      <c r="J48" s="1434"/>
      <c r="K48" s="1181"/>
      <c r="L48" s="1181"/>
      <c r="M48" s="1435"/>
    </row>
    <row r="49" spans="1:13" s="755" customFormat="1" ht="13">
      <c r="A49" s="737" t="s">
        <v>2096</v>
      </c>
      <c r="B49" s="468" t="s">
        <v>2910</v>
      </c>
      <c r="C49" s="1015">
        <f t="shared" si="11"/>
        <v>213368136.78264275</v>
      </c>
      <c r="D49" s="1015">
        <f t="shared" ref="D49:D50" si="13">D16-E49</f>
        <v>213195337.73138636</v>
      </c>
      <c r="E49" s="1015">
        <f>I49*I16*10^3</f>
        <v>172799.05125640315</v>
      </c>
      <c r="G49" s="1015"/>
      <c r="H49" s="1019">
        <f t="shared" ref="H49:H58" si="14">D49/H16/10^3</f>
        <v>5.0883112855242389</v>
      </c>
      <c r="I49" s="1020">
        <f>MIN($I$54,L16)</f>
        <v>5.0883112855242389</v>
      </c>
      <c r="J49" s="1434"/>
      <c r="K49" s="1181"/>
      <c r="L49" s="1552" t="s">
        <v>2218</v>
      </c>
      <c r="M49" s="1436">
        <f>($D49+D50)/((J16+J17)*10^6)</f>
        <v>1.7232355149907855E-2</v>
      </c>
    </row>
    <row r="50" spans="1:13" s="755" customFormat="1" ht="13.5" thickBot="1">
      <c r="A50" s="737" t="s">
        <v>2097</v>
      </c>
      <c r="B50" s="468" t="s">
        <v>2911</v>
      </c>
      <c r="C50" s="1015">
        <f t="shared" si="11"/>
        <v>120232110.59249517</v>
      </c>
      <c r="D50" s="1015">
        <f t="shared" si="13"/>
        <v>119844730.67143592</v>
      </c>
      <c r="E50" s="1015">
        <f>I50*I17*10^3</f>
        <v>387379.92105925229</v>
      </c>
      <c r="G50" s="1015"/>
      <c r="H50" s="1019">
        <f t="shared" si="14"/>
        <v>5.5910015683673304</v>
      </c>
      <c r="I50" s="1020">
        <f>MIN($I$54,L17)</f>
        <v>5.2924607906457162</v>
      </c>
      <c r="J50" s="1434"/>
      <c r="K50" s="1181"/>
      <c r="L50" s="1553"/>
      <c r="M50" s="1437">
        <f>M49</f>
        <v>1.7232355149907855E-2</v>
      </c>
    </row>
    <row r="51" spans="1:13" s="755" customFormat="1" ht="13">
      <c r="A51" s="737" t="s">
        <v>2098</v>
      </c>
      <c r="B51" s="468" t="s">
        <v>2912</v>
      </c>
      <c r="C51" s="1015">
        <f t="shared" si="11"/>
        <v>114868531.46349329</v>
      </c>
      <c r="D51" s="1015">
        <f>J36*H18*1000</f>
        <v>114868531.46349329</v>
      </c>
      <c r="E51" s="1181"/>
      <c r="G51" s="1015"/>
      <c r="H51" s="1019">
        <f t="shared" si="14"/>
        <v>5.9727760984972766</v>
      </c>
      <c r="I51" s="1182"/>
      <c r="J51" s="1434"/>
      <c r="K51" s="1181"/>
      <c r="L51" s="1181"/>
      <c r="M51" s="1186">
        <f>$D51/(J18*10^6)</f>
        <v>1.5346699932027077E-2</v>
      </c>
    </row>
    <row r="52" spans="1:13" s="755" customFormat="1" ht="13">
      <c r="A52" s="737" t="s">
        <v>2099</v>
      </c>
      <c r="B52" s="468" t="s">
        <v>2913</v>
      </c>
      <c r="C52" s="1015">
        <f t="shared" si="11"/>
        <v>76846678.171051234</v>
      </c>
      <c r="D52" s="1015">
        <f t="shared" ref="D52:D53" si="15">J37*H19*1000</f>
        <v>76846678.171051234</v>
      </c>
      <c r="E52" s="1181"/>
      <c r="G52" s="1015"/>
      <c r="H52" s="1019">
        <f t="shared" si="14"/>
        <v>5.8972316477509343</v>
      </c>
      <c r="I52" s="1182"/>
      <c r="J52" s="1434"/>
      <c r="K52" s="1181"/>
      <c r="L52" s="1181"/>
      <c r="M52" s="1186">
        <f>$D52/(J19*10^6)</f>
        <v>1.3798100872889978E-2</v>
      </c>
    </row>
    <row r="53" spans="1:13" s="755" customFormat="1" ht="13">
      <c r="A53" s="737" t="s">
        <v>2100</v>
      </c>
      <c r="B53" s="468" t="s">
        <v>2914</v>
      </c>
      <c r="C53" s="1015">
        <f t="shared" si="11"/>
        <v>66637945.988999985</v>
      </c>
      <c r="D53" s="1015">
        <f t="shared" si="15"/>
        <v>66637945.988999985</v>
      </c>
      <c r="E53" s="1181"/>
      <c r="G53" s="1015"/>
      <c r="H53" s="1019">
        <f t="shared" si="14"/>
        <v>5.5282858010263469</v>
      </c>
      <c r="I53" s="1182"/>
      <c r="J53" s="1438"/>
      <c r="K53" s="1186"/>
      <c r="L53" s="1186"/>
      <c r="M53" s="1186">
        <f>$D53/(J20*10^6)</f>
        <v>1.1194145908050634E-2</v>
      </c>
    </row>
    <row r="54" spans="1:13" s="755" customFormat="1" ht="13">
      <c r="A54" s="737" t="s">
        <v>2101</v>
      </c>
      <c r="B54" s="468" t="s">
        <v>2915</v>
      </c>
      <c r="C54" s="1015">
        <f t="shared" si="11"/>
        <v>2957448.366858799</v>
      </c>
      <c r="D54" s="1015">
        <f>J36*H21*1000</f>
        <v>1727374.6299180919</v>
      </c>
      <c r="E54" s="1015">
        <f>I54*I21*10^3</f>
        <v>1230073.7369407073</v>
      </c>
      <c r="G54" s="1015"/>
      <c r="H54" s="1019">
        <f>J36</f>
        <v>5.9727760984972758</v>
      </c>
      <c r="I54" s="1020">
        <f>E36</f>
        <v>5.2924607906457162</v>
      </c>
      <c r="J54" s="1438"/>
      <c r="K54" s="1186"/>
      <c r="L54" s="1186"/>
      <c r="M54" s="752"/>
    </row>
    <row r="55" spans="1:13" s="755" customFormat="1" ht="13">
      <c r="A55" s="737" t="s">
        <v>2102</v>
      </c>
      <c r="B55" s="468" t="s">
        <v>2916</v>
      </c>
      <c r="C55" s="1015">
        <f t="shared" si="11"/>
        <v>8774197.0807179343</v>
      </c>
      <c r="D55" s="1015">
        <f t="shared" ref="D55:D56" si="16">J37*H22*1000</f>
        <v>6079692.2308216132</v>
      </c>
      <c r="E55" s="1015">
        <f>I55*I22*10^3</f>
        <v>2694504.8498963215</v>
      </c>
      <c r="G55" s="1015"/>
      <c r="H55" s="1019">
        <f>J37</f>
        <v>5.8972316477509343</v>
      </c>
      <c r="I55" s="1020">
        <f>E37</f>
        <v>2.2947502662964294</v>
      </c>
      <c r="J55" s="1438"/>
      <c r="K55" s="1186"/>
      <c r="L55" s="1186"/>
      <c r="M55" s="752"/>
    </row>
    <row r="56" spans="1:13" s="755" customFormat="1" ht="13.5" thickBot="1">
      <c r="A56" s="737" t="s">
        <v>2103</v>
      </c>
      <c r="B56" s="468" t="s">
        <v>2917</v>
      </c>
      <c r="C56" s="1015">
        <f t="shared" si="11"/>
        <v>26296214.023694247</v>
      </c>
      <c r="D56" s="1015">
        <f t="shared" si="16"/>
        <v>21752560.76295457</v>
      </c>
      <c r="E56" s="1015">
        <f>I56*I23*10^3</f>
        <v>4543653.2607396748</v>
      </c>
      <c r="G56" s="1015"/>
      <c r="H56" s="1019">
        <f>J38</f>
        <v>5.5282858010263478</v>
      </c>
      <c r="I56" s="1020">
        <f>E38</f>
        <v>0.60503211825390635</v>
      </c>
      <c r="J56" s="1438"/>
      <c r="K56" s="1186"/>
      <c r="L56" s="1186"/>
      <c r="M56" s="752"/>
    </row>
    <row r="57" spans="1:13" s="755" customFormat="1" ht="13.5" thickBot="1">
      <c r="A57" s="737" t="s">
        <v>2104</v>
      </c>
      <c r="B57" s="468" t="s">
        <v>2918</v>
      </c>
      <c r="C57" s="1015">
        <f t="shared" si="11"/>
        <v>23148835.404843073</v>
      </c>
      <c r="D57" s="1015">
        <f t="shared" ref="D57:D59" si="17">D24-E57</f>
        <v>23147453.749713127</v>
      </c>
      <c r="E57" s="1015">
        <f>I57*I24*10^3</f>
        <v>1381.6551299471976</v>
      </c>
      <c r="G57" s="1015"/>
      <c r="H57" s="1019">
        <f t="shared" si="14"/>
        <v>2.6367464311969422</v>
      </c>
      <c r="I57" s="1020">
        <f>MIN($I$54,L24)</f>
        <v>2.6367464311969417</v>
      </c>
      <c r="J57" s="1439">
        <f>H57*0.746</f>
        <v>1.9670128376729188</v>
      </c>
      <c r="K57" s="1185">
        <f>I57*0.746</f>
        <v>1.9670128376729186</v>
      </c>
      <c r="L57" s="1000" t="s">
        <v>2236</v>
      </c>
      <c r="M57" s="752"/>
    </row>
    <row r="58" spans="1:13" s="755" customFormat="1" ht="13">
      <c r="A58" s="737" t="s">
        <v>2105</v>
      </c>
      <c r="B58" s="468" t="s">
        <v>2919</v>
      </c>
      <c r="C58" s="1015">
        <f t="shared" si="11"/>
        <v>18865745.307898127</v>
      </c>
      <c r="D58" s="1015">
        <f t="shared" si="17"/>
        <v>18796984.230843231</v>
      </c>
      <c r="E58" s="1015">
        <f>I58*I25*10^3</f>
        <v>68761.077054895635</v>
      </c>
      <c r="G58" s="1015"/>
      <c r="H58" s="1019">
        <f t="shared" si="14"/>
        <v>3.5163506750508002</v>
      </c>
      <c r="I58" s="1020">
        <f>MIN($I$54,L25)</f>
        <v>3.5163506750508002</v>
      </c>
      <c r="J58" s="1434"/>
      <c r="K58" s="1181"/>
      <c r="L58" s="1181"/>
      <c r="M58" s="752"/>
    </row>
    <row r="59" spans="1:13" s="755" customFormat="1" ht="13">
      <c r="A59" s="737" t="s">
        <v>2106</v>
      </c>
      <c r="B59" s="468" t="s">
        <v>2920</v>
      </c>
      <c r="C59" s="1015">
        <f t="shared" si="11"/>
        <v>6010337.0658587636</v>
      </c>
      <c r="D59" s="1015">
        <f t="shared" si="17"/>
        <v>6010337.0658587636</v>
      </c>
      <c r="E59" s="1181"/>
      <c r="G59" s="1181">
        <f>D59/(J26*10^6)</f>
        <v>1.2658972381905506E-2</v>
      </c>
      <c r="H59" s="1181"/>
      <c r="I59" s="1182"/>
      <c r="J59" s="1434"/>
      <c r="K59" s="1181"/>
      <c r="L59" s="1181"/>
      <c r="M59" s="752"/>
    </row>
    <row r="60" spans="1:13" s="755" customFormat="1" ht="13">
      <c r="A60" s="737" t="s">
        <v>2107</v>
      </c>
      <c r="B60" s="741" t="s">
        <v>76</v>
      </c>
      <c r="C60" s="1015"/>
      <c r="D60" s="1015"/>
      <c r="E60" s="1181"/>
      <c r="G60" s="1181"/>
      <c r="H60" s="1181"/>
      <c r="I60" s="1182"/>
      <c r="J60" s="1183"/>
      <c r="K60" s="1181"/>
      <c r="L60" s="1181"/>
      <c r="M60" s="726"/>
    </row>
    <row r="61" spans="1:13" s="755" customFormat="1" ht="13">
      <c r="A61" s="737">
        <v>17</v>
      </c>
      <c r="B61" s="469" t="s">
        <v>197</v>
      </c>
      <c r="C61" s="1203">
        <f>SUM(C46:C60)</f>
        <v>1398195614.5704634</v>
      </c>
      <c r="D61" s="1203">
        <f>SUM(D46:D60)</f>
        <v>1389095139.6924171</v>
      </c>
      <c r="E61" s="1203">
        <f>SUM(E46:E59)</f>
        <v>9100474.8780463748</v>
      </c>
      <c r="G61" s="1187"/>
      <c r="H61" s="1187"/>
      <c r="I61" s="1187"/>
      <c r="J61" s="1187"/>
      <c r="K61" s="713"/>
      <c r="L61" s="713"/>
      <c r="M61" s="726"/>
    </row>
    <row r="62" spans="1:13" s="755" customFormat="1" ht="13">
      <c r="A62" s="737">
        <v>18</v>
      </c>
      <c r="B62" s="713"/>
      <c r="C62" s="713"/>
      <c r="D62" s="713"/>
      <c r="E62" s="713"/>
      <c r="F62" s="713"/>
      <c r="G62" s="713"/>
      <c r="H62" s="713"/>
      <c r="I62" s="713"/>
      <c r="J62" s="713"/>
      <c r="K62" s="713"/>
      <c r="L62" s="713"/>
      <c r="M62" s="752"/>
    </row>
    <row r="63" spans="1:13" s="755" customFormat="1" ht="13">
      <c r="A63" s="737">
        <v>19</v>
      </c>
      <c r="B63" s="754" t="s">
        <v>230</v>
      </c>
      <c r="C63" s="713"/>
      <c r="D63" s="713"/>
      <c r="E63" s="713"/>
      <c r="F63" s="713"/>
      <c r="G63" s="713"/>
      <c r="H63" s="713"/>
      <c r="I63" s="713"/>
      <c r="J63" s="713"/>
      <c r="K63" s="713"/>
      <c r="L63" s="713"/>
      <c r="M63" s="752"/>
    </row>
    <row r="64" spans="1:13" s="755" customFormat="1">
      <c r="A64" s="713"/>
      <c r="B64" s="755" t="s">
        <v>2108</v>
      </c>
      <c r="M64" s="752"/>
    </row>
    <row r="65" spans="1:13" s="755" customFormat="1">
      <c r="A65" s="713"/>
      <c r="B65" s="755" t="s">
        <v>2189</v>
      </c>
      <c r="M65" s="752"/>
    </row>
    <row r="66" spans="1:13" s="755" customFormat="1">
      <c r="A66" s="713"/>
      <c r="B66" s="755" t="s">
        <v>2219</v>
      </c>
      <c r="M66" s="752"/>
    </row>
    <row r="67" spans="1:13" s="755" customFormat="1">
      <c r="A67" s="713"/>
      <c r="B67" s="1003" t="s">
        <v>2220</v>
      </c>
      <c r="M67" s="752"/>
    </row>
    <row r="68" spans="1:13" s="755" customFormat="1">
      <c r="A68" s="713"/>
      <c r="B68" s="1003" t="s">
        <v>2221</v>
      </c>
      <c r="M68" s="752"/>
    </row>
    <row r="69" spans="1:13" s="755" customFormat="1">
      <c r="A69" s="713"/>
      <c r="B69" s="1021" t="s">
        <v>2222</v>
      </c>
      <c r="M69" s="752"/>
    </row>
    <row r="70" spans="1:13" s="755" customFormat="1">
      <c r="A70" s="713"/>
      <c r="B70" s="755" t="s">
        <v>2223</v>
      </c>
      <c r="M70" s="752"/>
    </row>
    <row r="71" spans="1:13" s="755" customFormat="1">
      <c r="A71" s="713"/>
      <c r="B71" s="755" t="s">
        <v>2224</v>
      </c>
      <c r="M71" s="752"/>
    </row>
    <row r="72" spans="1:13" s="755" customFormat="1">
      <c r="A72" s="713"/>
      <c r="B72" s="755" t="s">
        <v>2225</v>
      </c>
      <c r="M72" s="752"/>
    </row>
    <row r="73" spans="1:13" s="755" customFormat="1">
      <c r="A73" s="713"/>
      <c r="B73" s="755" t="s">
        <v>2226</v>
      </c>
      <c r="M73" s="752"/>
    </row>
    <row r="74" spans="1:13" s="755" customFormat="1">
      <c r="A74" s="713"/>
      <c r="B74" s="755" t="s">
        <v>2227</v>
      </c>
      <c r="M74" s="752"/>
    </row>
    <row r="75" spans="1:13" s="755" customFormat="1">
      <c r="A75" s="713"/>
      <c r="B75" s="1003" t="s">
        <v>2228</v>
      </c>
      <c r="M75" s="752"/>
    </row>
    <row r="76" spans="1:13" s="755" customFormat="1">
      <c r="A76" s="713"/>
      <c r="B76" s="1003" t="s">
        <v>2229</v>
      </c>
      <c r="M76" s="752"/>
    </row>
    <row r="77" spans="1:13" s="755" customFormat="1">
      <c r="A77" s="713"/>
      <c r="B77" s="1003" t="s">
        <v>2230</v>
      </c>
      <c r="M77" s="752"/>
    </row>
    <row r="78" spans="1:13" s="755" customFormat="1" ht="15.5">
      <c r="A78" s="713"/>
      <c r="B78" s="755" t="s">
        <v>2461</v>
      </c>
      <c r="M78" s="752"/>
    </row>
    <row r="79" spans="1:13" s="755" customFormat="1">
      <c r="A79" s="713"/>
      <c r="B79" s="755" t="s">
        <v>2463</v>
      </c>
      <c r="M79" s="752"/>
    </row>
    <row r="80" spans="1:13" s="755" customFormat="1">
      <c r="A80" s="713"/>
      <c r="B80" s="755" t="s">
        <v>2231</v>
      </c>
      <c r="M80" s="752"/>
    </row>
    <row r="81" spans="1:13" s="755" customFormat="1">
      <c r="A81" s="713"/>
      <c r="B81" s="713" t="s">
        <v>2444</v>
      </c>
      <c r="M81" s="752"/>
    </row>
    <row r="82" spans="1:13" s="755" customFormat="1">
      <c r="A82" s="713"/>
      <c r="B82" s="713" t="s">
        <v>2445</v>
      </c>
      <c r="M82" s="752"/>
    </row>
    <row r="83" spans="1:13" s="755" customFormat="1">
      <c r="A83" s="713"/>
      <c r="B83" s="755" t="s">
        <v>2446</v>
      </c>
      <c r="M83" s="752"/>
    </row>
    <row r="84" spans="1:13" s="755" customFormat="1">
      <c r="A84" s="713"/>
      <c r="B84" s="755" t="s">
        <v>2447</v>
      </c>
      <c r="M84" s="752"/>
    </row>
    <row r="85" spans="1:13" ht="13">
      <c r="A85" s="737">
        <v>20</v>
      </c>
    </row>
    <row r="86" spans="1:13" s="723" customFormat="1" ht="13">
      <c r="A86" s="737">
        <v>21</v>
      </c>
      <c r="B86" s="756"/>
      <c r="C86" s="716"/>
      <c r="D86" s="716"/>
      <c r="M86" s="715"/>
    </row>
    <row r="87" spans="1:13" s="755" customFormat="1" ht="15.5">
      <c r="A87" s="737">
        <v>22</v>
      </c>
      <c r="B87" s="712" t="s">
        <v>1173</v>
      </c>
      <c r="C87" s="713"/>
      <c r="D87" s="713"/>
      <c r="E87" s="713"/>
      <c r="F87" s="713"/>
      <c r="G87" s="713"/>
      <c r="H87" s="713"/>
      <c r="I87" s="713"/>
      <c r="J87" s="713"/>
      <c r="K87" s="713"/>
      <c r="L87" s="713"/>
      <c r="M87" s="752"/>
    </row>
    <row r="88" spans="1:13" s="713" customFormat="1" ht="13">
      <c r="A88" s="737">
        <v>23</v>
      </c>
      <c r="M88" s="752"/>
    </row>
    <row r="89" spans="1:13" s="713" customFormat="1" ht="13">
      <c r="A89" s="737">
        <v>24</v>
      </c>
      <c r="M89" s="752"/>
    </row>
    <row r="90" spans="1:13" s="755" customFormat="1" ht="25.5" customHeight="1">
      <c r="A90" s="737">
        <v>25</v>
      </c>
      <c r="B90" s="734" t="str">
        <f>B11</f>
        <v>CPUC Rate Group</v>
      </c>
      <c r="C90" s="757" t="s">
        <v>1174</v>
      </c>
      <c r="D90" s="758"/>
      <c r="E90" s="1211" t="s">
        <v>1174</v>
      </c>
      <c r="F90" s="758"/>
      <c r="G90" s="758"/>
      <c r="H90" s="758"/>
      <c r="I90" s="758"/>
      <c r="J90" s="758"/>
      <c r="K90" s="1212"/>
      <c r="L90" s="714"/>
      <c r="M90" s="1178"/>
    </row>
    <row r="91" spans="1:13" s="755" customFormat="1" ht="13">
      <c r="A91" s="737" t="s">
        <v>2109</v>
      </c>
      <c r="B91" s="759" t="s">
        <v>2906</v>
      </c>
      <c r="C91" s="760" t="s">
        <v>2921</v>
      </c>
      <c r="D91" s="761"/>
      <c r="E91" s="761"/>
      <c r="F91" s="761"/>
      <c r="G91" s="761"/>
      <c r="H91" s="761"/>
      <c r="I91" s="761"/>
      <c r="J91" s="761"/>
      <c r="K91" s="761"/>
      <c r="M91" s="752"/>
    </row>
    <row r="92" spans="1:13" s="755" customFormat="1" ht="13">
      <c r="A92" s="737"/>
      <c r="B92" s="1004" t="s">
        <v>2922</v>
      </c>
      <c r="C92" s="1126" t="s">
        <v>2923</v>
      </c>
      <c r="D92" s="761"/>
      <c r="E92" s="1006"/>
      <c r="F92" s="1006"/>
      <c r="G92" s="1006"/>
      <c r="H92" s="1006"/>
      <c r="I92" s="761"/>
      <c r="J92" s="761"/>
      <c r="K92" s="761"/>
      <c r="M92" s="752"/>
    </row>
    <row r="93" spans="1:13" s="755" customFormat="1" ht="13">
      <c r="A93" s="737" t="s">
        <v>2110</v>
      </c>
      <c r="B93" s="759" t="s">
        <v>2907</v>
      </c>
      <c r="C93" s="760" t="s">
        <v>2924</v>
      </c>
      <c r="D93" s="761"/>
      <c r="E93" s="761"/>
      <c r="F93" s="761"/>
      <c r="G93" s="761"/>
      <c r="H93" s="761"/>
      <c r="I93" s="761"/>
      <c r="J93" s="759"/>
      <c r="K93" s="761"/>
      <c r="M93" s="752"/>
    </row>
    <row r="94" spans="1:13" s="755" customFormat="1" ht="13">
      <c r="A94" s="737" t="s">
        <v>2111</v>
      </c>
      <c r="B94" s="759" t="s">
        <v>2909</v>
      </c>
      <c r="C94" s="760" t="s">
        <v>2925</v>
      </c>
      <c r="D94" s="761"/>
      <c r="E94" s="761"/>
      <c r="F94" s="761"/>
      <c r="G94" s="761"/>
      <c r="H94" s="761"/>
      <c r="I94" s="761"/>
      <c r="J94" s="759"/>
      <c r="K94" s="761"/>
      <c r="M94" s="752"/>
    </row>
    <row r="95" spans="1:13" s="755" customFormat="1" ht="13">
      <c r="A95" s="737" t="s">
        <v>2112</v>
      </c>
      <c r="B95" s="759" t="s">
        <v>2910</v>
      </c>
      <c r="C95" s="760" t="s">
        <v>2926</v>
      </c>
      <c r="D95" s="761"/>
      <c r="E95" s="761"/>
      <c r="F95" s="761"/>
      <c r="G95" s="761"/>
      <c r="H95" s="761"/>
      <c r="I95" s="761"/>
      <c r="J95" s="759"/>
      <c r="K95" s="761"/>
      <c r="M95" s="752"/>
    </row>
    <row r="96" spans="1:13" s="755" customFormat="1" ht="13">
      <c r="A96" s="737" t="s">
        <v>2113</v>
      </c>
      <c r="B96" s="759" t="s">
        <v>2911</v>
      </c>
      <c r="C96" s="760" t="s">
        <v>2927</v>
      </c>
      <c r="D96" s="761"/>
      <c r="E96" s="761"/>
      <c r="F96" s="761"/>
      <c r="G96" s="761"/>
      <c r="H96" s="761"/>
      <c r="I96" s="761"/>
      <c r="J96" s="759"/>
      <c r="K96" s="761"/>
      <c r="M96" s="752"/>
    </row>
    <row r="97" spans="1:13" s="755" customFormat="1" ht="13">
      <c r="A97" s="737" t="s">
        <v>2114</v>
      </c>
      <c r="B97" s="1004" t="s">
        <v>2912</v>
      </c>
      <c r="C97" s="1005" t="s">
        <v>2928</v>
      </c>
      <c r="D97" s="1006"/>
      <c r="E97" s="1006"/>
      <c r="F97" s="1006"/>
      <c r="G97" s="1006"/>
      <c r="H97" s="1006"/>
      <c r="I97" s="1006"/>
      <c r="J97" s="1004"/>
      <c r="K97" s="761"/>
      <c r="M97" s="752"/>
    </row>
    <row r="98" spans="1:13" s="713" customFormat="1" ht="13">
      <c r="A98" s="737" t="s">
        <v>2115</v>
      </c>
      <c r="B98" s="1004" t="s">
        <v>2913</v>
      </c>
      <c r="C98" s="1005" t="s">
        <v>2928</v>
      </c>
      <c r="D98" s="1006"/>
      <c r="E98" s="1006"/>
      <c r="F98" s="1006"/>
      <c r="G98" s="1006"/>
      <c r="H98" s="1006"/>
      <c r="I98" s="1006"/>
      <c r="J98" s="1004"/>
      <c r="K98" s="761"/>
      <c r="L98" s="755"/>
      <c r="M98" s="752"/>
    </row>
    <row r="99" spans="1:13" s="713" customFormat="1" ht="13">
      <c r="A99" s="737" t="s">
        <v>2116</v>
      </c>
      <c r="B99" s="1004" t="s">
        <v>2914</v>
      </c>
      <c r="C99" s="1005" t="s">
        <v>2928</v>
      </c>
      <c r="D99" s="1006"/>
      <c r="E99" s="1006"/>
      <c r="F99" s="1006"/>
      <c r="G99" s="1006"/>
      <c r="H99" s="1006"/>
      <c r="I99" s="1006"/>
      <c r="J99" s="1004"/>
      <c r="K99" s="761"/>
      <c r="L99" s="755"/>
      <c r="M99" s="752"/>
    </row>
    <row r="100" spans="1:13" s="713" customFormat="1" ht="13">
      <c r="A100" s="737" t="s">
        <v>2117</v>
      </c>
      <c r="B100" s="1004" t="s">
        <v>2915</v>
      </c>
      <c r="C100" s="1005" t="s">
        <v>2929</v>
      </c>
      <c r="D100" s="1006"/>
      <c r="E100" s="1006"/>
      <c r="F100" s="1006"/>
      <c r="G100" s="1006"/>
      <c r="H100" s="1006"/>
      <c r="I100" s="1006"/>
      <c r="J100" s="1004"/>
      <c r="K100" s="761"/>
      <c r="L100" s="755"/>
      <c r="M100" s="752"/>
    </row>
    <row r="101" spans="1:13" s="713" customFormat="1" ht="13">
      <c r="A101" s="737" t="s">
        <v>2118</v>
      </c>
      <c r="B101" s="1004" t="s">
        <v>2916</v>
      </c>
      <c r="C101" s="1005" t="s">
        <v>2930</v>
      </c>
      <c r="D101" s="1006"/>
      <c r="E101" s="1006"/>
      <c r="F101" s="1006"/>
      <c r="G101" s="1006"/>
      <c r="H101" s="1006"/>
      <c r="I101" s="1006"/>
      <c r="J101" s="1004"/>
      <c r="K101" s="761"/>
      <c r="L101" s="755"/>
      <c r="M101" s="752"/>
    </row>
    <row r="102" spans="1:13" s="713" customFormat="1" ht="13">
      <c r="A102" s="737" t="s">
        <v>2119</v>
      </c>
      <c r="B102" s="1004" t="s">
        <v>2917</v>
      </c>
      <c r="C102" s="1005" t="s">
        <v>2930</v>
      </c>
      <c r="D102" s="1006"/>
      <c r="E102" s="1006"/>
      <c r="F102" s="1006"/>
      <c r="G102" s="1006"/>
      <c r="H102" s="1006"/>
      <c r="I102" s="1006"/>
      <c r="J102" s="1004"/>
      <c r="K102" s="761"/>
      <c r="L102" s="755"/>
      <c r="M102" s="752"/>
    </row>
    <row r="103" spans="1:13" s="713" customFormat="1" ht="13">
      <c r="A103" s="737" t="s">
        <v>2120</v>
      </c>
      <c r="B103" s="759" t="s">
        <v>2918</v>
      </c>
      <c r="C103" s="760" t="s">
        <v>2931</v>
      </c>
      <c r="D103" s="761"/>
      <c r="E103" s="761"/>
      <c r="F103" s="761"/>
      <c r="G103" s="761"/>
      <c r="H103" s="761"/>
      <c r="I103" s="761"/>
      <c r="J103" s="759"/>
      <c r="K103" s="761"/>
      <c r="L103" s="755"/>
      <c r="M103" s="752"/>
    </row>
    <row r="104" spans="1:13" s="713" customFormat="1" ht="13">
      <c r="A104" s="737" t="s">
        <v>2121</v>
      </c>
      <c r="B104" s="759" t="s">
        <v>2919</v>
      </c>
      <c r="C104" s="760" t="s">
        <v>2932</v>
      </c>
      <c r="D104" s="761"/>
      <c r="E104" s="761"/>
      <c r="F104" s="761"/>
      <c r="G104" s="761"/>
      <c r="H104" s="761"/>
      <c r="I104" s="761"/>
      <c r="J104" s="759"/>
      <c r="K104" s="761"/>
      <c r="L104" s="755"/>
      <c r="M104" s="752"/>
    </row>
    <row r="105" spans="1:13" s="713" customFormat="1" ht="13">
      <c r="A105" s="737" t="s">
        <v>2122</v>
      </c>
      <c r="B105" s="759" t="s">
        <v>2920</v>
      </c>
      <c r="C105" s="760" t="s">
        <v>2933</v>
      </c>
      <c r="D105" s="761"/>
      <c r="E105" s="761"/>
      <c r="F105" s="761"/>
      <c r="G105" s="761"/>
      <c r="H105" s="761"/>
      <c r="I105" s="761"/>
      <c r="J105" s="759"/>
      <c r="K105" s="761"/>
      <c r="L105" s="755"/>
      <c r="M105" s="752"/>
    </row>
    <row r="106" spans="1:13" s="713" customFormat="1" ht="13">
      <c r="A106" s="737" t="s">
        <v>2123</v>
      </c>
      <c r="B106" s="762" t="s">
        <v>76</v>
      </c>
      <c r="C106" s="760"/>
      <c r="D106" s="761"/>
      <c r="E106" s="761"/>
      <c r="F106" s="761"/>
      <c r="G106" s="761"/>
      <c r="H106" s="761"/>
      <c r="I106" s="761"/>
      <c r="J106" s="759"/>
      <c r="K106" s="761"/>
      <c r="L106" s="755"/>
      <c r="M106" s="752"/>
    </row>
    <row r="107" spans="1:13" s="713" customFormat="1" ht="13">
      <c r="A107" s="737">
        <v>27</v>
      </c>
      <c r="M107" s="752"/>
    </row>
    <row r="108" spans="1:13" s="713" customFormat="1" ht="13">
      <c r="A108" s="737">
        <f t="shared" ref="A108:A114" si="18">A107+1</f>
        <v>28</v>
      </c>
      <c r="M108" s="752"/>
    </row>
    <row r="109" spans="1:13" s="713" customFormat="1" ht="15.5">
      <c r="A109" s="737">
        <f t="shared" si="18"/>
        <v>29</v>
      </c>
      <c r="B109" s="712" t="s">
        <v>1175</v>
      </c>
      <c r="M109" s="752"/>
    </row>
    <row r="110" spans="1:13" s="713" customFormat="1" ht="13">
      <c r="A110" s="737">
        <f t="shared" si="18"/>
        <v>30</v>
      </c>
      <c r="C110" s="725" t="s">
        <v>358</v>
      </c>
      <c r="D110" s="725" t="s">
        <v>342</v>
      </c>
      <c r="E110" s="725" t="s">
        <v>343</v>
      </c>
      <c r="F110" s="725" t="s">
        <v>344</v>
      </c>
      <c r="G110" s="763" t="s">
        <v>345</v>
      </c>
      <c r="H110" s="763" t="s">
        <v>346</v>
      </c>
      <c r="I110" s="763" t="s">
        <v>347</v>
      </c>
      <c r="J110" s="763" t="s">
        <v>534</v>
      </c>
      <c r="K110" s="763" t="s">
        <v>949</v>
      </c>
      <c r="L110" s="763" t="s">
        <v>961</v>
      </c>
      <c r="M110" s="763" t="s">
        <v>964</v>
      </c>
    </row>
    <row r="111" spans="1:13" s="1163" customFormat="1" ht="37.5">
      <c r="A111" s="764">
        <f t="shared" si="18"/>
        <v>31</v>
      </c>
      <c r="C111" s="730"/>
      <c r="D111" s="730"/>
      <c r="E111" s="730"/>
      <c r="F111" s="1196" t="s">
        <v>2124</v>
      </c>
      <c r="G111" s="765"/>
      <c r="H111" s="1196"/>
      <c r="I111" s="1197" t="s">
        <v>2125</v>
      </c>
      <c r="J111" s="1197" t="s">
        <v>2232</v>
      </c>
      <c r="K111" s="1197" t="s">
        <v>2233</v>
      </c>
      <c r="L111" s="1197" t="s">
        <v>2234</v>
      </c>
      <c r="M111" s="1197" t="s">
        <v>2235</v>
      </c>
    </row>
    <row r="112" spans="1:13" s="1022" customFormat="1" ht="13">
      <c r="A112" s="737">
        <f t="shared" si="18"/>
        <v>32</v>
      </c>
      <c r="C112" s="766"/>
      <c r="D112" s="766"/>
      <c r="E112" s="766"/>
      <c r="F112" s="1198"/>
      <c r="G112" s="767"/>
      <c r="H112" s="1198"/>
      <c r="I112" s="999" t="s">
        <v>2448</v>
      </c>
      <c r="J112" s="1199"/>
      <c r="K112" s="1198"/>
      <c r="L112" s="1198"/>
      <c r="M112" s="1198"/>
    </row>
    <row r="113" spans="1:13" s="713" customFormat="1" ht="21.75" customHeight="1">
      <c r="A113" s="737">
        <f t="shared" si="18"/>
        <v>33</v>
      </c>
      <c r="B113" s="1189"/>
      <c r="C113" s="1547" t="s">
        <v>1445</v>
      </c>
      <c r="D113" s="1548"/>
      <c r="E113" s="1548"/>
      <c r="F113" s="1551"/>
      <c r="G113" s="1189"/>
      <c r="H113" s="768"/>
      <c r="I113" s="1190"/>
      <c r="J113" s="1190"/>
      <c r="K113" s="1189"/>
      <c r="L113" s="1191" t="s">
        <v>148</v>
      </c>
      <c r="M113" s="769"/>
    </row>
    <row r="114" spans="1:13" s="726" customFormat="1" ht="51.75" customHeight="1">
      <c r="A114" s="737">
        <f t="shared" si="18"/>
        <v>34</v>
      </c>
      <c r="B114" s="770" t="str">
        <f>B11</f>
        <v>CPUC Rate Group</v>
      </c>
      <c r="C114" s="771">
        <v>2017</v>
      </c>
      <c r="D114" s="772">
        <v>2018</v>
      </c>
      <c r="E114" s="772">
        <v>2019</v>
      </c>
      <c r="F114" s="770" t="s">
        <v>2126</v>
      </c>
      <c r="G114" s="770" t="s">
        <v>1176</v>
      </c>
      <c r="H114" s="773" t="s">
        <v>2703</v>
      </c>
      <c r="I114" s="1023" t="s">
        <v>2237</v>
      </c>
      <c r="J114" s="770" t="s">
        <v>2197</v>
      </c>
      <c r="K114" s="770" t="s">
        <v>2238</v>
      </c>
      <c r="L114" s="770" t="s">
        <v>1446</v>
      </c>
      <c r="M114" s="770" t="s">
        <v>2127</v>
      </c>
    </row>
    <row r="115" spans="1:13" s="713" customFormat="1" ht="13">
      <c r="A115" s="737" t="s">
        <v>2128</v>
      </c>
      <c r="B115" s="468" t="s">
        <v>2906</v>
      </c>
      <c r="C115" s="1024">
        <v>78359.38</v>
      </c>
      <c r="D115" s="1024">
        <v>66767.509999999995</v>
      </c>
      <c r="E115" s="1024">
        <v>68198.86</v>
      </c>
      <c r="F115" s="1007">
        <f>(C115+D115+E115)/3</f>
        <v>71108.583333333328</v>
      </c>
      <c r="G115" s="1192">
        <v>1.0905</v>
      </c>
      <c r="H115" s="937">
        <v>29389.20838</v>
      </c>
      <c r="I115" s="1007">
        <f>E12</f>
        <v>27982.602819</v>
      </c>
      <c r="J115" s="1007">
        <f>F12</f>
        <v>0</v>
      </c>
      <c r="K115" s="1026">
        <f>I115+J115</f>
        <v>27982.602819</v>
      </c>
      <c r="L115" s="1007">
        <f>(F115*G115)*(K115/H115)</f>
        <v>73832.558196319398</v>
      </c>
      <c r="M115" s="1025">
        <f t="shared" ref="M115:M128" si="19">L115/$L$130</f>
        <v>0.43781821104713387</v>
      </c>
    </row>
    <row r="116" spans="1:13" s="713" customFormat="1" ht="13">
      <c r="A116" s="737" t="s">
        <v>2129</v>
      </c>
      <c r="B116" s="468" t="s">
        <v>2907</v>
      </c>
      <c r="C116" s="1024">
        <v>12202.27</v>
      </c>
      <c r="D116" s="1024">
        <v>11735.3</v>
      </c>
      <c r="E116" s="1024">
        <v>11548.74</v>
      </c>
      <c r="F116" s="1007">
        <f t="shared" ref="F116:F128" si="20">(C116+D116+E116)/3</f>
        <v>11828.769999999999</v>
      </c>
      <c r="G116" s="1192">
        <v>1.0909</v>
      </c>
      <c r="H116" s="937">
        <v>5904.2390299999997</v>
      </c>
      <c r="I116" s="1007">
        <f t="shared" ref="I116" si="21">E13</f>
        <v>5923.6392599999999</v>
      </c>
      <c r="J116" s="1007">
        <f>F13</f>
        <v>0</v>
      </c>
      <c r="K116" s="1026">
        <f t="shared" ref="K116:K128" si="22">I116+J116</f>
        <v>5923.6392599999999</v>
      </c>
      <c r="L116" s="1007">
        <f t="shared" ref="L116:L128" si="23">(F116*G116)*(K116/H116)</f>
        <v>12946.405351156434</v>
      </c>
      <c r="M116" s="1025">
        <f t="shared" si="19"/>
        <v>7.6770630312751553E-2</v>
      </c>
    </row>
    <row r="117" spans="1:13" s="713" customFormat="1" ht="13">
      <c r="A117" s="737" t="s">
        <v>2130</v>
      </c>
      <c r="B117" s="468" t="s">
        <v>2909</v>
      </c>
      <c r="C117" s="1024">
        <v>82.93</v>
      </c>
      <c r="D117" s="1024">
        <v>76.02</v>
      </c>
      <c r="E117" s="1024">
        <v>83.93</v>
      </c>
      <c r="F117" s="1007">
        <f t="shared" si="20"/>
        <v>80.959999999999994</v>
      </c>
      <c r="G117" s="1192">
        <v>1.0916999999999999</v>
      </c>
      <c r="H117" s="937">
        <v>58.628816666666665</v>
      </c>
      <c r="I117" s="1007">
        <f t="shared" ref="I117:J119" si="24">E15</f>
        <v>55.490121000000002</v>
      </c>
      <c r="J117" s="1007">
        <f t="shared" si="24"/>
        <v>0</v>
      </c>
      <c r="K117" s="1026">
        <f t="shared" si="22"/>
        <v>55.490121000000002</v>
      </c>
      <c r="L117" s="1007">
        <f t="shared" si="23"/>
        <v>83.652389882470288</v>
      </c>
      <c r="M117" s="1025">
        <f t="shared" si="19"/>
        <v>4.9604863467924993E-4</v>
      </c>
    </row>
    <row r="118" spans="1:13" s="713" customFormat="1" ht="13">
      <c r="A118" s="737" t="s">
        <v>2131</v>
      </c>
      <c r="B118" s="468" t="s">
        <v>2910</v>
      </c>
      <c r="C118" s="1024">
        <v>28687.18</v>
      </c>
      <c r="D118" s="1024">
        <v>27970.65</v>
      </c>
      <c r="E118" s="1024">
        <v>26717.13</v>
      </c>
      <c r="F118" s="1007">
        <f t="shared" si="20"/>
        <v>27791.653333333335</v>
      </c>
      <c r="G118" s="1192">
        <v>1.0905</v>
      </c>
      <c r="H118" s="937">
        <v>14349.524393333335</v>
      </c>
      <c r="I118" s="1007">
        <f t="shared" si="24"/>
        <v>12184.653306</v>
      </c>
      <c r="J118" s="1007">
        <f t="shared" si="24"/>
        <v>0</v>
      </c>
      <c r="K118" s="1026">
        <f t="shared" si="22"/>
        <v>12184.653306</v>
      </c>
      <c r="L118" s="1007">
        <f t="shared" si="23"/>
        <v>25734.499334985027</v>
      </c>
      <c r="M118" s="1025">
        <f t="shared" si="19"/>
        <v>0.15260249321279062</v>
      </c>
    </row>
    <row r="119" spans="1:13" s="713" customFormat="1" ht="13">
      <c r="A119" s="737" t="s">
        <v>2132</v>
      </c>
      <c r="B119" s="468" t="s">
        <v>2911</v>
      </c>
      <c r="C119" s="1024">
        <v>15513.31</v>
      </c>
      <c r="D119" s="1024">
        <v>14472.22</v>
      </c>
      <c r="E119" s="1024">
        <v>13923.97</v>
      </c>
      <c r="F119" s="1007">
        <f t="shared" si="20"/>
        <v>14636.5</v>
      </c>
      <c r="G119" s="1192">
        <v>1.0900000000000001</v>
      </c>
      <c r="H119" s="937">
        <v>8144.7807766666665</v>
      </c>
      <c r="I119" s="1007">
        <f t="shared" si="24"/>
        <v>7403.2479320000002</v>
      </c>
      <c r="J119" s="1007">
        <f t="shared" si="24"/>
        <v>0</v>
      </c>
      <c r="K119" s="1026">
        <f t="shared" si="22"/>
        <v>7403.2479320000002</v>
      </c>
      <c r="L119" s="1007">
        <f t="shared" si="23"/>
        <v>14501.289727427171</v>
      </c>
      <c r="M119" s="1025">
        <f t="shared" si="19"/>
        <v>8.5990908095811336E-2</v>
      </c>
    </row>
    <row r="120" spans="1:13" s="713" customFormat="1" ht="13">
      <c r="A120" s="737" t="s">
        <v>2133</v>
      </c>
      <c r="B120" s="468" t="s">
        <v>2912</v>
      </c>
      <c r="C120" s="1024">
        <v>14237.300000000001</v>
      </c>
      <c r="D120" s="1024">
        <v>14200.609999999999</v>
      </c>
      <c r="E120" s="1024">
        <v>13319.56</v>
      </c>
      <c r="F120" s="1007">
        <f t="shared" si="20"/>
        <v>13919.156666666668</v>
      </c>
      <c r="G120" s="1192">
        <v>1.0909</v>
      </c>
      <c r="H120" s="938">
        <v>8232.7151366666676</v>
      </c>
      <c r="I120" s="1007">
        <f>E18+E21</f>
        <v>7624.5582048847409</v>
      </c>
      <c r="J120" s="1007">
        <f t="shared" ref="J120:J128" si="25">F18</f>
        <v>0</v>
      </c>
      <c r="K120" s="1026">
        <f>I120+J120</f>
        <v>7624.5582048847409</v>
      </c>
      <c r="L120" s="1007">
        <f t="shared" si="23"/>
        <v>14062.724233654</v>
      </c>
      <c r="M120" s="1025">
        <f t="shared" si="19"/>
        <v>8.3390267340547025E-2</v>
      </c>
    </row>
    <row r="121" spans="1:13" s="713" customFormat="1" ht="13">
      <c r="A121" s="737" t="s">
        <v>2134</v>
      </c>
      <c r="B121" s="468" t="s">
        <v>2913</v>
      </c>
      <c r="C121" s="1024">
        <v>9644.42</v>
      </c>
      <c r="D121" s="1024">
        <v>9263.0499999999993</v>
      </c>
      <c r="E121" s="1024">
        <v>9174.48</v>
      </c>
      <c r="F121" s="1007">
        <f t="shared" si="20"/>
        <v>9360.65</v>
      </c>
      <c r="G121" s="1192">
        <v>1.0644</v>
      </c>
      <c r="H121" s="938">
        <v>5973.2814666666673</v>
      </c>
      <c r="I121" s="1007">
        <f>E19+E22</f>
        <v>5996.2664450700395</v>
      </c>
      <c r="J121" s="1007">
        <f t="shared" si="25"/>
        <v>0</v>
      </c>
      <c r="K121" s="1026">
        <f t="shared" si="22"/>
        <v>5996.2664450700395</v>
      </c>
      <c r="L121" s="1007">
        <f t="shared" si="23"/>
        <v>10001.814967028959</v>
      </c>
      <c r="M121" s="1025">
        <f t="shared" si="19"/>
        <v>5.9309562651824271E-2</v>
      </c>
    </row>
    <row r="122" spans="1:13" s="713" customFormat="1" ht="13">
      <c r="A122" s="737" t="s">
        <v>2135</v>
      </c>
      <c r="B122" s="468" t="s">
        <v>2914</v>
      </c>
      <c r="C122" s="1024">
        <v>11029.240000000002</v>
      </c>
      <c r="D122" s="1024">
        <v>11532.400000000001</v>
      </c>
      <c r="E122" s="1024">
        <v>11495.74</v>
      </c>
      <c r="F122" s="1007">
        <f t="shared" si="20"/>
        <v>11352.460000000001</v>
      </c>
      <c r="G122" s="1192">
        <v>1.0315000000000001</v>
      </c>
      <c r="H122" s="938">
        <v>8674.5990899999997</v>
      </c>
      <c r="I122" s="1007">
        <f>E20+E23</f>
        <v>7897.3608435469996</v>
      </c>
      <c r="J122" s="1007">
        <f t="shared" si="25"/>
        <v>0</v>
      </c>
      <c r="K122" s="1026">
        <f t="shared" si="22"/>
        <v>7897.3608435469996</v>
      </c>
      <c r="L122" s="1007">
        <f t="shared" si="23"/>
        <v>10660.848763676351</v>
      </c>
      <c r="M122" s="1025">
        <f t="shared" si="19"/>
        <v>6.3217553989474359E-2</v>
      </c>
    </row>
    <row r="123" spans="1:13" s="713" customFormat="1" ht="13">
      <c r="A123" s="737" t="s">
        <v>2136</v>
      </c>
      <c r="B123" s="468" t="s">
        <v>2915</v>
      </c>
      <c r="C123" s="1024">
        <v>142.24</v>
      </c>
      <c r="D123" s="1024">
        <v>137.02000000000001</v>
      </c>
      <c r="E123" s="1024">
        <v>127.16</v>
      </c>
      <c r="F123" s="1007">
        <f t="shared" si="20"/>
        <v>135.47333333333333</v>
      </c>
      <c r="G123" s="1192">
        <v>1.0911</v>
      </c>
      <c r="H123" s="938">
        <v>84.287893333333329</v>
      </c>
      <c r="I123" s="1026">
        <f>E21*0</f>
        <v>0</v>
      </c>
      <c r="J123" s="1007">
        <f t="shared" si="25"/>
        <v>84.598786115260026</v>
      </c>
      <c r="K123" s="1026">
        <f t="shared" si="22"/>
        <v>84.598786115260026</v>
      </c>
      <c r="L123" s="1007">
        <f t="shared" si="23"/>
        <v>148.36016399923074</v>
      </c>
      <c r="M123" s="1025">
        <f t="shared" si="19"/>
        <v>8.797579710036463E-4</v>
      </c>
    </row>
    <row r="124" spans="1:13" s="713" customFormat="1" ht="13">
      <c r="A124" s="737" t="s">
        <v>2137</v>
      </c>
      <c r="B124" s="468" t="s">
        <v>2916</v>
      </c>
      <c r="C124" s="1024">
        <v>301.33999999999997</v>
      </c>
      <c r="D124" s="1024">
        <v>296.75</v>
      </c>
      <c r="E124" s="1024">
        <v>330.41</v>
      </c>
      <c r="F124" s="1007">
        <f t="shared" si="20"/>
        <v>309.5</v>
      </c>
      <c r="G124" s="1192">
        <v>1.0645</v>
      </c>
      <c r="H124" s="938">
        <v>213.40585666666666</v>
      </c>
      <c r="I124" s="1026">
        <f>E22*0</f>
        <v>0</v>
      </c>
      <c r="J124" s="1007">
        <f t="shared" si="25"/>
        <v>210.50632192996005</v>
      </c>
      <c r="K124" s="1026">
        <f t="shared" si="22"/>
        <v>210.50632192996005</v>
      </c>
      <c r="L124" s="1007">
        <f t="shared" si="23"/>
        <v>324.98635603876016</v>
      </c>
      <c r="M124" s="1025">
        <f t="shared" si="19"/>
        <v>1.927130096688291E-3</v>
      </c>
    </row>
    <row r="125" spans="1:13" s="713" customFormat="1" ht="13">
      <c r="A125" s="737" t="s">
        <v>2138</v>
      </c>
      <c r="B125" s="468" t="s">
        <v>2917</v>
      </c>
      <c r="C125" s="942">
        <v>601.61</v>
      </c>
      <c r="D125" s="942">
        <v>789.23</v>
      </c>
      <c r="E125" s="942">
        <v>861.75</v>
      </c>
      <c r="F125" s="1007">
        <f t="shared" si="20"/>
        <v>750.86333333333334</v>
      </c>
      <c r="G125" s="1192">
        <v>1.0316000000000001</v>
      </c>
      <c r="H125" s="938">
        <v>748.4435533333334</v>
      </c>
      <c r="I125" s="1026">
        <f>E23*0</f>
        <v>0</v>
      </c>
      <c r="J125" s="1007">
        <f t="shared" si="25"/>
        <v>529.51487145299984</v>
      </c>
      <c r="K125" s="1026">
        <f t="shared" si="22"/>
        <v>529.51487145299984</v>
      </c>
      <c r="L125" s="1007">
        <f t="shared" si="23"/>
        <v>548.01360493681602</v>
      </c>
      <c r="M125" s="1025">
        <f t="shared" si="19"/>
        <v>3.2496549219513328E-3</v>
      </c>
    </row>
    <row r="126" spans="1:13" s="713" customFormat="1" ht="13">
      <c r="A126" s="737" t="s">
        <v>2139</v>
      </c>
      <c r="B126" s="468" t="s">
        <v>2918</v>
      </c>
      <c r="C126" s="1024">
        <v>2325.3000000000002</v>
      </c>
      <c r="D126" s="1024">
        <v>2677.66</v>
      </c>
      <c r="E126" s="1024">
        <v>2346.63</v>
      </c>
      <c r="F126" s="1007">
        <f t="shared" si="20"/>
        <v>2449.8633333333332</v>
      </c>
      <c r="G126" s="1192">
        <v>1.091</v>
      </c>
      <c r="H126" s="937">
        <v>1753.62799</v>
      </c>
      <c r="I126" s="1007">
        <f>E24</f>
        <v>1831.8342130000001</v>
      </c>
      <c r="J126" s="1007">
        <f t="shared" si="25"/>
        <v>0</v>
      </c>
      <c r="K126" s="1026">
        <f t="shared" si="22"/>
        <v>1831.8342130000001</v>
      </c>
      <c r="L126" s="1007">
        <f t="shared" si="23"/>
        <v>2791.9993037126865</v>
      </c>
      <c r="M126" s="1025">
        <f t="shared" si="19"/>
        <v>1.6556220863240639E-2</v>
      </c>
    </row>
    <row r="127" spans="1:13" s="713" customFormat="1" ht="13">
      <c r="A127" s="737" t="s">
        <v>2140</v>
      </c>
      <c r="B127" s="468" t="s">
        <v>2919</v>
      </c>
      <c r="C127" s="1024">
        <v>1857.81</v>
      </c>
      <c r="D127" s="1024">
        <v>1924.38</v>
      </c>
      <c r="E127" s="1024">
        <v>1937.47</v>
      </c>
      <c r="F127" s="1007">
        <f t="shared" si="20"/>
        <v>1906.5533333333333</v>
      </c>
      <c r="G127" s="1192">
        <v>1.0895999999999999</v>
      </c>
      <c r="H127" s="937">
        <v>1414.3051633333332</v>
      </c>
      <c r="I127" s="1007">
        <f>E25</f>
        <v>1549.127628</v>
      </c>
      <c r="J127" s="1007">
        <f t="shared" si="25"/>
        <v>0</v>
      </c>
      <c r="K127" s="1026">
        <f t="shared" si="22"/>
        <v>1549.127628</v>
      </c>
      <c r="L127" s="1007">
        <f t="shared" si="23"/>
        <v>2275.4124275579093</v>
      </c>
      <c r="M127" s="1025">
        <f t="shared" si="19"/>
        <v>1.3492922672121118E-2</v>
      </c>
    </row>
    <row r="128" spans="1:13" s="713" customFormat="1" ht="13">
      <c r="A128" s="737" t="s">
        <v>2141</v>
      </c>
      <c r="B128" s="468" t="s">
        <v>2920</v>
      </c>
      <c r="C128" s="1024">
        <v>959.84</v>
      </c>
      <c r="D128" s="1024">
        <v>708.84</v>
      </c>
      <c r="E128" s="1024">
        <v>1071.79</v>
      </c>
      <c r="F128" s="1007">
        <f t="shared" si="20"/>
        <v>913.49000000000012</v>
      </c>
      <c r="G128" s="1192">
        <v>1.0938000000000001</v>
      </c>
      <c r="H128" s="937">
        <v>654.42081666666661</v>
      </c>
      <c r="I128" s="1007">
        <f>E26</f>
        <v>474.788702</v>
      </c>
      <c r="J128" s="1007">
        <f t="shared" si="25"/>
        <v>0</v>
      </c>
      <c r="K128" s="1026">
        <f t="shared" si="22"/>
        <v>474.788702</v>
      </c>
      <c r="L128" s="1007">
        <f t="shared" si="23"/>
        <v>724.91149595566344</v>
      </c>
      <c r="M128" s="1025">
        <f t="shared" si="19"/>
        <v>4.2986381899825839E-3</v>
      </c>
    </row>
    <row r="129" spans="1:13" s="713" customFormat="1" ht="13">
      <c r="A129" s="737" t="s">
        <v>2142</v>
      </c>
      <c r="B129" s="741" t="s">
        <v>76</v>
      </c>
      <c r="C129" s="1024"/>
      <c r="D129" s="1024"/>
      <c r="E129" s="1024"/>
      <c r="F129" s="1007"/>
      <c r="G129" s="1192"/>
      <c r="H129" s="937"/>
      <c r="K129" s="1026"/>
      <c r="L129" s="1007"/>
      <c r="M129" s="1025"/>
    </row>
    <row r="130" spans="1:13" s="713" customFormat="1" ht="13">
      <c r="A130" s="737">
        <v>36</v>
      </c>
      <c r="B130" s="471" t="s">
        <v>197</v>
      </c>
      <c r="C130" s="1200">
        <f>SUM(C115:C129)</f>
        <v>175944.16999999995</v>
      </c>
      <c r="D130" s="1200">
        <f>SUM(D115:D129)</f>
        <v>162551.63999999998</v>
      </c>
      <c r="E130" s="1200">
        <f>SUM(E115:E129)</f>
        <v>161137.62000000002</v>
      </c>
      <c r="F130" s="1200">
        <f>SUM(F115:F129)</f>
        <v>166544.47666666668</v>
      </c>
      <c r="G130" s="1201"/>
      <c r="H130" s="1200">
        <f>SUM(H115:H129)</f>
        <v>85595.468363333319</v>
      </c>
      <c r="I130" s="1200">
        <f t="shared" ref="I130:M130" si="26">SUM(I115:I129)</f>
        <v>78923.569474501783</v>
      </c>
      <c r="J130" s="1200">
        <f t="shared" si="26"/>
        <v>824.61997949821989</v>
      </c>
      <c r="K130" s="1200">
        <f t="shared" si="26"/>
        <v>79748.189453999992</v>
      </c>
      <c r="L130" s="1200">
        <f t="shared" si="26"/>
        <v>168637.4763163309</v>
      </c>
      <c r="M130" s="1202">
        <f t="shared" si="26"/>
        <v>0.99999999999999967</v>
      </c>
    </row>
    <row r="131" spans="1:13">
      <c r="J131" s="774"/>
      <c r="L131" s="749"/>
      <c r="M131" s="750"/>
    </row>
    <row r="132" spans="1:13">
      <c r="J132" s="774"/>
      <c r="L132" s="749"/>
      <c r="M132" s="750"/>
    </row>
    <row r="133" spans="1:13">
      <c r="J133" s="774"/>
      <c r="L133" s="749"/>
      <c r="M133" s="750"/>
    </row>
    <row r="134" spans="1:13">
      <c r="J134" s="774"/>
      <c r="L134" s="749"/>
      <c r="M134" s="750"/>
    </row>
    <row r="135" spans="1:13">
      <c r="J135" s="774"/>
      <c r="L135" s="749"/>
      <c r="M135" s="750"/>
    </row>
    <row r="136" spans="1:13">
      <c r="J136" s="774"/>
      <c r="L136" s="749"/>
      <c r="M136" s="750"/>
    </row>
    <row r="137" spans="1:13">
      <c r="J137" s="774"/>
      <c r="L137" s="749"/>
      <c r="M137" s="750"/>
    </row>
    <row r="138" spans="1:13">
      <c r="J138" s="774"/>
      <c r="L138" s="749"/>
      <c r="M138" s="750"/>
    </row>
    <row r="139" spans="1:13">
      <c r="J139" s="774"/>
      <c r="L139" s="749"/>
      <c r="M139" s="750"/>
    </row>
    <row r="140" spans="1:13">
      <c r="L140" s="749"/>
    </row>
    <row r="144" spans="1:13">
      <c r="M144" s="716"/>
    </row>
    <row r="145" spans="13:13">
      <c r="M145" s="716"/>
    </row>
    <row r="146" spans="13:13">
      <c r="M146" s="716"/>
    </row>
    <row r="147" spans="13:13">
      <c r="M147" s="716"/>
    </row>
    <row r="148" spans="13:13">
      <c r="M148" s="716"/>
    </row>
    <row r="149" spans="13:13">
      <c r="M149" s="716"/>
    </row>
    <row r="150" spans="13:13">
      <c r="M150" s="716"/>
    </row>
    <row r="151" spans="13:13">
      <c r="M151" s="716"/>
    </row>
    <row r="152" spans="13:13">
      <c r="M152" s="716"/>
    </row>
    <row r="153" spans="13:13">
      <c r="M153" s="716"/>
    </row>
    <row r="154" spans="13:13">
      <c r="M154" s="716"/>
    </row>
    <row r="155" spans="13:13">
      <c r="M155" s="716"/>
    </row>
    <row r="156" spans="13:13">
      <c r="M156" s="716"/>
    </row>
    <row r="157" spans="13:13">
      <c r="M157" s="716"/>
    </row>
    <row r="158" spans="13:13">
      <c r="M158" s="716"/>
    </row>
    <row r="159" spans="13:13">
      <c r="M159" s="716"/>
    </row>
    <row r="160" spans="13:13">
      <c r="M160" s="716"/>
    </row>
    <row r="161" spans="13:13">
      <c r="M161" s="716"/>
    </row>
    <row r="162" spans="13:13">
      <c r="M162" s="716"/>
    </row>
    <row r="163" spans="13:13">
      <c r="M163" s="716"/>
    </row>
    <row r="164" spans="13:13">
      <c r="M164" s="716"/>
    </row>
    <row r="165" spans="13:13">
      <c r="M165" s="716"/>
    </row>
    <row r="166" spans="13:13">
      <c r="M166" s="716"/>
    </row>
    <row r="167" spans="13:13">
      <c r="M167" s="716"/>
    </row>
    <row r="168" spans="13:13">
      <c r="M168" s="716"/>
    </row>
    <row r="169" spans="13:13">
      <c r="M169" s="716"/>
    </row>
    <row r="170" spans="13:13">
      <c r="M170" s="716"/>
    </row>
    <row r="171" spans="13:13">
      <c r="M171" s="716"/>
    </row>
    <row r="172" spans="13:13">
      <c r="M172" s="716"/>
    </row>
    <row r="173" spans="13:13">
      <c r="M173" s="716"/>
    </row>
    <row r="174" spans="13:13">
      <c r="M174" s="716"/>
    </row>
    <row r="175" spans="13:13">
      <c r="M175" s="716"/>
    </row>
    <row r="176" spans="13:13">
      <c r="M176" s="716"/>
    </row>
    <row r="177" spans="13:13">
      <c r="M177" s="716"/>
    </row>
    <row r="178" spans="13:13">
      <c r="M178" s="716"/>
    </row>
    <row r="179" spans="13:13">
      <c r="M179" s="716"/>
    </row>
    <row r="180" spans="13:13">
      <c r="M180" s="716"/>
    </row>
    <row r="181" spans="13:13">
      <c r="M181" s="716"/>
    </row>
    <row r="182" spans="13:13">
      <c r="M182" s="716"/>
    </row>
    <row r="183" spans="13:13">
      <c r="M183" s="716"/>
    </row>
    <row r="184" spans="13:13">
      <c r="M184" s="716"/>
    </row>
    <row r="185" spans="13:13">
      <c r="M185" s="716"/>
    </row>
    <row r="186" spans="13:13">
      <c r="M186" s="716"/>
    </row>
    <row r="187" spans="13:13">
      <c r="M187" s="716"/>
    </row>
    <row r="188" spans="13:13">
      <c r="M188" s="716"/>
    </row>
    <row r="189" spans="13:13">
      <c r="M189" s="716"/>
    </row>
    <row r="190" spans="13:13">
      <c r="M190" s="716"/>
    </row>
    <row r="191" spans="13:13">
      <c r="M191" s="716"/>
    </row>
    <row r="192" spans="13:13">
      <c r="M192" s="716"/>
    </row>
    <row r="193" spans="13:13">
      <c r="M193" s="716"/>
    </row>
    <row r="194" spans="13:13">
      <c r="M194" s="716"/>
    </row>
    <row r="195" spans="13:13">
      <c r="M195" s="716"/>
    </row>
    <row r="196" spans="13:13">
      <c r="M196" s="716"/>
    </row>
    <row r="197" spans="13:13">
      <c r="M197" s="716"/>
    </row>
    <row r="198" spans="13:13">
      <c r="M198" s="716"/>
    </row>
    <row r="199" spans="13:13">
      <c r="M199" s="716"/>
    </row>
    <row r="200" spans="13:13">
      <c r="M200" s="716"/>
    </row>
    <row r="201" spans="13:13">
      <c r="M201" s="716"/>
    </row>
    <row r="202" spans="13:13">
      <c r="M202" s="716"/>
    </row>
    <row r="203" spans="13:13">
      <c r="M203" s="716"/>
    </row>
    <row r="204" spans="13:13">
      <c r="M204" s="716"/>
    </row>
    <row r="205" spans="13:13">
      <c r="M205" s="716"/>
    </row>
    <row r="206" spans="13:13">
      <c r="M206" s="716"/>
    </row>
    <row r="207" spans="13:13">
      <c r="M207" s="716"/>
    </row>
    <row r="208" spans="13:13">
      <c r="M208" s="716"/>
    </row>
    <row r="209" spans="13:13">
      <c r="M209" s="716"/>
    </row>
    <row r="210" spans="13:13">
      <c r="M210" s="716"/>
    </row>
    <row r="211" spans="13:13">
      <c r="M211" s="716"/>
    </row>
    <row r="212" spans="13:13">
      <c r="M212" s="716"/>
    </row>
    <row r="213" spans="13:13">
      <c r="M213" s="716"/>
    </row>
    <row r="214" spans="13:13">
      <c r="M214" s="716"/>
    </row>
    <row r="215" spans="13:13">
      <c r="M215" s="716"/>
    </row>
    <row r="216" spans="13:13">
      <c r="M216" s="716"/>
    </row>
    <row r="217" spans="13:13">
      <c r="M217" s="716"/>
    </row>
    <row r="218" spans="13:13">
      <c r="M218" s="716"/>
    </row>
    <row r="219" spans="13:13">
      <c r="M219" s="716"/>
    </row>
    <row r="220" spans="13:13">
      <c r="M220" s="716"/>
    </row>
    <row r="221" spans="13:13">
      <c r="M221" s="716"/>
    </row>
    <row r="222" spans="13:13">
      <c r="M222" s="716"/>
    </row>
    <row r="223" spans="13:13">
      <c r="M223" s="716"/>
    </row>
    <row r="224" spans="13:13">
      <c r="M224" s="716"/>
    </row>
    <row r="225" spans="13:13">
      <c r="M225" s="716"/>
    </row>
    <row r="226" spans="13:13">
      <c r="M226" s="716"/>
    </row>
    <row r="227" spans="13:13">
      <c r="M227" s="716"/>
    </row>
    <row r="228" spans="13:13">
      <c r="M228" s="716"/>
    </row>
    <row r="229" spans="13:13">
      <c r="M229" s="716"/>
    </row>
    <row r="230" spans="13:13">
      <c r="M230" s="716"/>
    </row>
    <row r="231" spans="13:13">
      <c r="M231" s="716"/>
    </row>
    <row r="232" spans="13:13">
      <c r="M232" s="716"/>
    </row>
    <row r="233" spans="13:13">
      <c r="M233" s="716"/>
    </row>
    <row r="234" spans="13:13">
      <c r="M234" s="716"/>
    </row>
    <row r="235" spans="13:13">
      <c r="M235" s="716"/>
    </row>
    <row r="236" spans="13:13">
      <c r="M236" s="716"/>
    </row>
    <row r="237" spans="13:13">
      <c r="M237" s="716"/>
    </row>
    <row r="238" spans="13:13">
      <c r="M238" s="716"/>
    </row>
    <row r="239" spans="13:13">
      <c r="M239" s="716"/>
    </row>
    <row r="240" spans="13:13">
      <c r="M240" s="716"/>
    </row>
    <row r="241" spans="13:13">
      <c r="M241" s="716"/>
    </row>
    <row r="242" spans="13:13">
      <c r="M242" s="716"/>
    </row>
    <row r="243" spans="13:13">
      <c r="M243" s="716"/>
    </row>
    <row r="244" spans="13:13">
      <c r="M244" s="716"/>
    </row>
    <row r="245" spans="13:13">
      <c r="M245" s="716"/>
    </row>
    <row r="246" spans="13:13">
      <c r="M246" s="716"/>
    </row>
    <row r="247" spans="13:13">
      <c r="M247" s="716"/>
    </row>
    <row r="248" spans="13:13">
      <c r="M248" s="716"/>
    </row>
    <row r="249" spans="13:13">
      <c r="M249" s="716"/>
    </row>
    <row r="250" spans="13:13">
      <c r="M250" s="716"/>
    </row>
    <row r="251" spans="13:13">
      <c r="M251" s="716"/>
    </row>
    <row r="252" spans="13:13">
      <c r="M252" s="716"/>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&amp;RTO2022 Draft Annual Update 
Attachment 1</oddHeader>
    <oddFooter>&amp;R33-RetailRates</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73"/>
  <sheetViews>
    <sheetView tabSelected="1" zoomScaleNormal="100" zoomScalePageLayoutView="80" workbookViewId="0"/>
  </sheetViews>
  <sheetFormatPr defaultRowHeight="12.5"/>
  <cols>
    <col min="1" max="1" width="4.54296875" customWidth="1"/>
    <col min="7" max="7" width="13.54296875" customWidth="1"/>
    <col min="8" max="8" width="24.54296875" customWidth="1"/>
    <col min="9" max="9" width="29.453125" customWidth="1"/>
    <col min="10" max="10" width="2.54296875" customWidth="1"/>
    <col min="11" max="11" width="21.54296875" bestFit="1" customWidth="1"/>
    <col min="12" max="12" width="12.453125" bestFit="1" customWidth="1"/>
  </cols>
  <sheetData>
    <row r="1" spans="1:11" ht="13">
      <c r="A1" s="1" t="s">
        <v>166</v>
      </c>
    </row>
    <row r="2" spans="1:11">
      <c r="I2" s="96" t="s">
        <v>301</v>
      </c>
      <c r="J2" s="96"/>
      <c r="K2" s="14"/>
    </row>
    <row r="3" spans="1:11" ht="13">
      <c r="A3" s="1" t="s">
        <v>167</v>
      </c>
    </row>
    <row r="4" spans="1:11" ht="13">
      <c r="H4" s="2"/>
      <c r="I4" s="2" t="s">
        <v>169</v>
      </c>
      <c r="K4" s="244">
        <v>2020</v>
      </c>
    </row>
    <row r="5" spans="1:11" ht="13">
      <c r="A5" s="53" t="s">
        <v>319</v>
      </c>
      <c r="H5" s="3" t="s">
        <v>168</v>
      </c>
      <c r="I5" s="3" t="s">
        <v>170</v>
      </c>
      <c r="K5" s="3" t="s">
        <v>171</v>
      </c>
    </row>
    <row r="7" spans="1:11" ht="13">
      <c r="A7" s="10" t="s">
        <v>176</v>
      </c>
      <c r="B7" s="11"/>
      <c r="C7" s="11"/>
      <c r="D7" s="11"/>
      <c r="E7" s="11"/>
      <c r="F7" s="11"/>
      <c r="G7" s="11"/>
      <c r="H7" s="9"/>
      <c r="I7" s="9"/>
      <c r="J7" s="9"/>
      <c r="K7" s="9"/>
    </row>
    <row r="9" spans="1:11" ht="13">
      <c r="A9" s="2">
        <v>1</v>
      </c>
      <c r="B9" s="50" t="s">
        <v>1043</v>
      </c>
      <c r="I9" s="15" t="str">
        <f>"6-PlantInService, Line "&amp;'6-PlantInService'!A44&amp;""</f>
        <v>6-PlantInService, Line 19</v>
      </c>
      <c r="K9" s="7">
        <f>'6-PlantInService'!D44</f>
        <v>9662547990.8865414</v>
      </c>
    </row>
    <row r="10" spans="1:11" ht="13">
      <c r="A10" s="2">
        <f>A9+1</f>
        <v>2</v>
      </c>
      <c r="B10" s="50" t="s">
        <v>317</v>
      </c>
      <c r="I10" s="15" t="str">
        <f>"6-PlantInService, Line "&amp;'6-PlantInService'!A64&amp;""</f>
        <v>6-PlantInService, Line 27</v>
      </c>
      <c r="K10" s="7">
        <f>'6-PlantInService'!F64</f>
        <v>352208942.61672616</v>
      </c>
    </row>
    <row r="11" spans="1:11" ht="13">
      <c r="A11" s="2">
        <f>A10+1</f>
        <v>3</v>
      </c>
      <c r="B11" s="50" t="s">
        <v>157</v>
      </c>
      <c r="I11" s="15" t="str">
        <f>"11-PHFU, Line "&amp;'11-PHFU'!A39&amp;""</f>
        <v>11-PHFU, Line 8</v>
      </c>
      <c r="K11" s="7">
        <f>'11-PHFU'!E39</f>
        <v>9942155</v>
      </c>
    </row>
    <row r="12" spans="1:11" ht="13">
      <c r="A12" s="2">
        <f>A11+1</f>
        <v>4</v>
      </c>
      <c r="B12" s="108" t="s">
        <v>312</v>
      </c>
      <c r="C12" s="14"/>
      <c r="D12" s="14"/>
      <c r="E12" s="14"/>
      <c r="F12" s="14"/>
      <c r="G12" s="14"/>
      <c r="H12" s="14"/>
      <c r="I12" s="15" t="str">
        <f>"12-AbandonedPlant, Line "&amp;'12-AbandonedPlant'!A20&amp;""</f>
        <v>12-AbandonedPlant, Line 3</v>
      </c>
      <c r="K12" s="63">
        <f>'12-AbandonedPlant'!G20</f>
        <v>0</v>
      </c>
    </row>
    <row r="13" spans="1:11" ht="13">
      <c r="A13" s="2"/>
      <c r="B13" s="108"/>
      <c r="C13" s="14"/>
      <c r="D13" s="14"/>
      <c r="E13" s="14"/>
      <c r="F13" s="14"/>
      <c r="G13" s="14"/>
      <c r="H13" s="14"/>
      <c r="I13" s="14"/>
      <c r="K13" s="63"/>
    </row>
    <row r="14" spans="1:11" ht="13">
      <c r="A14" s="2"/>
      <c r="B14" s="45" t="s">
        <v>243</v>
      </c>
      <c r="C14" s="14"/>
      <c r="D14" s="14"/>
      <c r="E14" s="14"/>
      <c r="F14" s="14"/>
      <c r="G14" s="14"/>
      <c r="H14" s="14"/>
      <c r="I14" s="14"/>
      <c r="K14" s="63"/>
    </row>
    <row r="15" spans="1:11" ht="13">
      <c r="A15" s="2">
        <f>A12+1</f>
        <v>5</v>
      </c>
      <c r="B15" s="13" t="s">
        <v>91</v>
      </c>
      <c r="I15" s="15" t="str">
        <f>"13-WorkCap, Line "&amp;'13-WorkCap'!A26&amp;""</f>
        <v>13-WorkCap, Line 16</v>
      </c>
      <c r="K15" s="63">
        <f>'13-WorkCap'!F26</f>
        <v>28126583.489685465</v>
      </c>
    </row>
    <row r="16" spans="1:11" ht="13">
      <c r="A16" s="2">
        <f>A15+1</f>
        <v>6</v>
      </c>
      <c r="B16" s="16" t="s">
        <v>92</v>
      </c>
      <c r="I16" s="15" t="str">
        <f>"13-WorkCap, Line "&amp;'13-WorkCap'!A55&amp;""</f>
        <v>13-WorkCap, Line 36</v>
      </c>
      <c r="K16" s="63">
        <f>'13-WorkCap'!F55</f>
        <v>19550715.733762827</v>
      </c>
    </row>
    <row r="17" spans="1:11" ht="13">
      <c r="A17" s="2">
        <f>A16+1</f>
        <v>7</v>
      </c>
      <c r="B17" s="13" t="s">
        <v>172</v>
      </c>
      <c r="I17" s="15" t="str">
        <f>"(Line "&amp;A126&amp;" + Line "&amp;A127&amp;") / 8"</f>
        <v>(Line 66 + Line 67) / 8</v>
      </c>
      <c r="K17" s="101">
        <f>(K126+K127)/8</f>
        <v>37591188.718961693</v>
      </c>
    </row>
    <row r="18" spans="1:11" ht="13">
      <c r="A18" s="2">
        <f>A17+1</f>
        <v>8</v>
      </c>
      <c r="B18" s="13" t="s">
        <v>90</v>
      </c>
      <c r="I18" s="15" t="str">
        <f>"Line "&amp;A15&amp;" + Line "&amp;A16&amp;" + Line "&amp;A17&amp;""</f>
        <v>Line 5 + Line 6 + Line 7</v>
      </c>
      <c r="K18" s="63">
        <f>SUM(K15:K17)</f>
        <v>85268487.942409992</v>
      </c>
    </row>
    <row r="19" spans="1:11" ht="13">
      <c r="A19" s="2"/>
      <c r="B19" s="13"/>
      <c r="I19" s="14"/>
      <c r="K19" s="63"/>
    </row>
    <row r="20" spans="1:11" ht="13">
      <c r="A20" s="2"/>
      <c r="B20" s="76" t="s">
        <v>165</v>
      </c>
      <c r="I20" s="14"/>
      <c r="K20" s="63"/>
    </row>
    <row r="21" spans="1:11" ht="13">
      <c r="A21" s="2">
        <f>A18+1</f>
        <v>9</v>
      </c>
      <c r="B21" s="13" t="s">
        <v>1046</v>
      </c>
      <c r="H21" t="s">
        <v>151</v>
      </c>
      <c r="I21" s="15" t="str">
        <f>"8-AccDep, Line "&amp;'8-AccDep'!A24&amp;", Col. 12"</f>
        <v>8-AccDep, Line 13, Col. 12</v>
      </c>
      <c r="K21" s="63">
        <f>-'8-AccDep'!N24</f>
        <v>-2029134780.6758177</v>
      </c>
    </row>
    <row r="22" spans="1:11" ht="13">
      <c r="A22" s="2">
        <f>A21+1</f>
        <v>10</v>
      </c>
      <c r="B22" s="13" t="s">
        <v>1047</v>
      </c>
      <c r="H22" t="s">
        <v>151</v>
      </c>
      <c r="I22" s="15" t="str">
        <f>"8-AccDep, Line "&amp;'8-AccDep'!A34&amp;", Col. 5"</f>
        <v>8-AccDep, Line 16, Col. 5</v>
      </c>
      <c r="K22" s="63">
        <f>-'8-AccDep'!G34</f>
        <v>0</v>
      </c>
    </row>
    <row r="23" spans="1:11" ht="13">
      <c r="A23" s="2">
        <f>A22+1</f>
        <v>11</v>
      </c>
      <c r="B23" s="13" t="s">
        <v>308</v>
      </c>
      <c r="C23" s="22"/>
      <c r="H23" t="s">
        <v>151</v>
      </c>
      <c r="I23" s="15" t="str">
        <f>"8-AccDep, Line "&amp;'8-AccDep'!A60&amp;""</f>
        <v>8-AccDep, Line 26</v>
      </c>
      <c r="K23" s="101">
        <f>-'8-AccDep'!F60</f>
        <v>-134498636.06097016</v>
      </c>
    </row>
    <row r="24" spans="1:11" ht="13">
      <c r="A24" s="2">
        <f>A23+1</f>
        <v>12</v>
      </c>
      <c r="B24" s="77" t="s">
        <v>163</v>
      </c>
      <c r="C24" s="22"/>
      <c r="I24" s="15" t="str">
        <f>"Line "&amp;A21&amp;" + Line "&amp;A22&amp;" + Line "&amp;A23&amp;""</f>
        <v>Line 9 + Line 10 + Line 11</v>
      </c>
      <c r="K24" s="63">
        <f>SUM(K21:K23)</f>
        <v>-2163633416.7367878</v>
      </c>
    </row>
    <row r="25" spans="1:11">
      <c r="B25" s="12"/>
      <c r="I25" s="14"/>
      <c r="K25" s="63"/>
    </row>
    <row r="26" spans="1:11" ht="13">
      <c r="A26" s="2">
        <f>A24+1</f>
        <v>13</v>
      </c>
      <c r="B26" s="533" t="s">
        <v>2656</v>
      </c>
      <c r="I26" s="15" t="str">
        <f>"9-ADIT-1, Line "&amp;'9-ADIT-1'!A14&amp;", Col. 2"</f>
        <v>9-ADIT-1, Line 5, Col. 2</v>
      </c>
      <c r="K26" s="63">
        <f>'9-ADIT-1'!D14</f>
        <v>-1530621504.6263843</v>
      </c>
    </row>
    <row r="27" spans="1:11" ht="13">
      <c r="A27" s="2"/>
      <c r="B27" s="65"/>
      <c r="I27" s="14"/>
      <c r="K27" s="14"/>
    </row>
    <row r="28" spans="1:11" ht="13">
      <c r="A28" s="2">
        <f>A26+1</f>
        <v>14</v>
      </c>
      <c r="B28" s="50" t="s">
        <v>240</v>
      </c>
      <c r="I28" s="15" t="str">
        <f>"14-IncentivePlant, L "&amp;'14-IncentivePlant'!A38&amp;", Col 1"</f>
        <v>14-IncentivePlant, L 13, Col 1</v>
      </c>
      <c r="K28" s="63">
        <f>'14-IncentivePlant'!E38</f>
        <v>974174702.12</v>
      </c>
    </row>
    <row r="29" spans="1:11" ht="13">
      <c r="A29" s="2"/>
      <c r="B29" s="50"/>
      <c r="I29" s="14"/>
      <c r="K29" s="63"/>
    </row>
    <row r="30" spans="1:11" ht="13">
      <c r="A30" s="2">
        <f>A28+1</f>
        <v>15</v>
      </c>
      <c r="B30" s="50" t="s">
        <v>362</v>
      </c>
      <c r="I30" s="15" t="str">
        <f>"23-RegAssets, Line "&amp;'23-RegAssets'!A17&amp;""</f>
        <v>23-RegAssets, Line 14</v>
      </c>
      <c r="K30" s="63">
        <f>'23-RegAssets'!E17</f>
        <v>0</v>
      </c>
    </row>
    <row r="31" spans="1:11" ht="13">
      <c r="A31" s="549">
        <f t="shared" ref="A31:A32" si="0">A30+1</f>
        <v>16</v>
      </c>
      <c r="B31" s="839" t="s">
        <v>1953</v>
      </c>
      <c r="C31" s="14"/>
      <c r="D31" s="14"/>
      <c r="E31" s="14"/>
      <c r="F31" s="14"/>
      <c r="G31" s="14"/>
      <c r="H31" s="14"/>
      <c r="I31" s="15" t="str">
        <f>"34-UnfundedReserves, Line "&amp;'34-UnfundedReserves'!A9&amp;""</f>
        <v>34-UnfundedReserves, Line 6</v>
      </c>
      <c r="J31" s="14"/>
      <c r="K31" s="63">
        <f>'34-UnfundedReserves'!K9</f>
        <v>-272077295.05142099</v>
      </c>
    </row>
    <row r="32" spans="1:11" ht="13">
      <c r="A32" s="549">
        <f t="shared" si="0"/>
        <v>17</v>
      </c>
      <c r="B32" s="839" t="s">
        <v>55</v>
      </c>
      <c r="C32" s="14"/>
      <c r="D32" s="14"/>
      <c r="E32" s="14"/>
      <c r="F32" s="14"/>
      <c r="G32" s="14"/>
      <c r="H32" s="14" t="s">
        <v>151</v>
      </c>
      <c r="I32" s="15" t="str">
        <f>"22-NUCs, Line "&amp;'22-NUCs'!A11&amp;""</f>
        <v>22-NUCs, Line 4</v>
      </c>
      <c r="J32" s="14"/>
      <c r="K32" s="63">
        <f>-'22-NUCs'!E11</f>
        <v>-19178430</v>
      </c>
    </row>
    <row r="33" spans="1:11" ht="13">
      <c r="A33" s="109"/>
      <c r="B33" s="839"/>
      <c r="C33" s="14"/>
      <c r="D33" s="14"/>
      <c r="E33" s="14"/>
      <c r="F33" s="14"/>
      <c r="G33" s="14"/>
      <c r="H33" s="14"/>
      <c r="I33" s="14"/>
      <c r="J33" s="14"/>
      <c r="K33" s="14"/>
    </row>
    <row r="34" spans="1:11" ht="13">
      <c r="A34" s="549">
        <f>A32+1</f>
        <v>18</v>
      </c>
      <c r="B34" s="14" t="s">
        <v>173</v>
      </c>
      <c r="C34" s="14"/>
      <c r="D34" s="14"/>
      <c r="E34" s="14"/>
      <c r="F34" s="14"/>
      <c r="G34" s="14"/>
      <c r="H34" s="14"/>
      <c r="I34" s="15" t="str">
        <f>"L"&amp;A9&amp;" + L"&amp;A10&amp;" + L"&amp;A11&amp;" + L"&amp;A12&amp;" + L"&amp;A18&amp;" + L"&amp;A24&amp;" +"</f>
        <v>L1 + L2 + L3 + L4 + L8 + L12 +</v>
      </c>
      <c r="J34" s="14"/>
      <c r="K34" s="63">
        <f>K9+K10+K11+K12+K18+K24+K26+K28+K30+K31+K32</f>
        <v>7098631632.151083</v>
      </c>
    </row>
    <row r="35" spans="1:11" ht="13">
      <c r="A35" s="109"/>
      <c r="B35" s="14"/>
      <c r="C35" s="14"/>
      <c r="D35" s="14"/>
      <c r="E35" s="14"/>
      <c r="F35" s="14"/>
      <c r="G35" s="14"/>
      <c r="H35" s="14"/>
      <c r="I35" s="108" t="str">
        <f>"L"&amp;A26&amp;" + L"&amp;A28&amp;"+ L"&amp;A30&amp;"+ L"&amp;A31&amp;" + L"&amp;A32&amp;""</f>
        <v>L13 + L14+ L15+ L16 + L17</v>
      </c>
      <c r="J35" s="14"/>
      <c r="K35" s="63"/>
    </row>
    <row r="37" spans="1:11" ht="13">
      <c r="A37" s="10" t="s">
        <v>251</v>
      </c>
      <c r="B37" s="11"/>
      <c r="C37" s="11"/>
      <c r="D37" s="11"/>
      <c r="E37" s="11"/>
      <c r="F37" s="11"/>
      <c r="G37" s="11"/>
      <c r="H37" s="9"/>
      <c r="I37" s="9"/>
      <c r="J37" s="9"/>
      <c r="K37" s="9"/>
    </row>
    <row r="39" spans="1:11" ht="13">
      <c r="A39" s="2">
        <f>A34+1</f>
        <v>19</v>
      </c>
      <c r="B39" s="465" t="s">
        <v>1755</v>
      </c>
      <c r="C39" s="14"/>
      <c r="D39" s="14"/>
      <c r="H39" s="961" t="s">
        <v>2466</v>
      </c>
      <c r="I39" s="463" t="s">
        <v>2267</v>
      </c>
      <c r="K39" s="6">
        <v>364015060</v>
      </c>
    </row>
    <row r="40" spans="1:11" ht="13">
      <c r="A40" s="2">
        <f>A39+1</f>
        <v>20</v>
      </c>
      <c r="B40" s="112" t="s">
        <v>57</v>
      </c>
      <c r="C40" s="14"/>
      <c r="D40" s="14"/>
      <c r="H40" s="955"/>
      <c r="I40" s="15" t="str">
        <f>"27-Allocators, Line "&amp;'27-Allocators'!A28&amp;""</f>
        <v>27-Allocators, Line 22</v>
      </c>
      <c r="K40" s="8">
        <f>'27-Allocators'!G28</f>
        <v>0.18354771144232984</v>
      </c>
    </row>
    <row r="41" spans="1:11" ht="13">
      <c r="A41" s="2">
        <f>A40+1</f>
        <v>21</v>
      </c>
      <c r="B41" s="14" t="s">
        <v>60</v>
      </c>
      <c r="C41" s="14"/>
      <c r="D41" s="14"/>
      <c r="H41" s="955"/>
      <c r="I41" s="15" t="str">
        <f>"Line "&amp;A39&amp;" * Line "&amp;A40&amp;""</f>
        <v>Line 19 * Line 20</v>
      </c>
      <c r="K41" s="7">
        <f>K39*K40</f>
        <v>66814131.193542384</v>
      </c>
    </row>
    <row r="42" spans="1:11" ht="13">
      <c r="A42" s="2" t="s">
        <v>328</v>
      </c>
      <c r="B42" s="14"/>
      <c r="C42" s="14"/>
      <c r="D42" s="14"/>
      <c r="H42" s="463"/>
      <c r="I42" s="14"/>
      <c r="K42" s="8"/>
    </row>
    <row r="43" spans="1:11" ht="13">
      <c r="A43" s="2">
        <f>A41+1</f>
        <v>22</v>
      </c>
      <c r="B43" s="15" t="s">
        <v>252</v>
      </c>
      <c r="C43" s="14"/>
      <c r="D43" s="14"/>
      <c r="H43" s="955"/>
      <c r="I43" s="14"/>
      <c r="K43" s="8"/>
    </row>
    <row r="44" spans="1:11" ht="13">
      <c r="A44" s="2">
        <f t="shared" ref="A44:A56" si="1">A43+1</f>
        <v>23</v>
      </c>
      <c r="B44" s="112" t="s">
        <v>16</v>
      </c>
      <c r="C44" s="14"/>
      <c r="D44" s="14"/>
      <c r="E44" s="1"/>
      <c r="F44" s="1"/>
      <c r="G44" s="1"/>
      <c r="H44" s="955"/>
      <c r="I44" s="15" t="str">
        <f>"Line "&amp;A45&amp;" + Line "&amp;A46&amp;"+ Line "&amp;A47&amp;""</f>
        <v>Line 24 + Line 25+ Line 26</v>
      </c>
      <c r="K44" s="63">
        <f>SUM(K45:K47)</f>
        <v>124268886</v>
      </c>
    </row>
    <row r="45" spans="1:11" ht="13">
      <c r="A45" s="2">
        <f t="shared" si="1"/>
        <v>24</v>
      </c>
      <c r="B45" s="368" t="s">
        <v>39</v>
      </c>
      <c r="C45" s="14"/>
      <c r="D45" s="14"/>
      <c r="E45" s="1"/>
      <c r="F45" s="1"/>
      <c r="G45" s="1"/>
      <c r="H45" s="961" t="s">
        <v>2467</v>
      </c>
      <c r="I45" s="463" t="s">
        <v>2267</v>
      </c>
      <c r="K45" s="6">
        <v>125500351</v>
      </c>
    </row>
    <row r="46" spans="1:11" ht="13">
      <c r="A46" s="2">
        <f t="shared" si="1"/>
        <v>25</v>
      </c>
      <c r="B46" s="368" t="s">
        <v>40</v>
      </c>
      <c r="C46" s="14"/>
      <c r="D46" s="14"/>
      <c r="E46" s="1"/>
      <c r="F46" s="1"/>
      <c r="G46" s="1"/>
      <c r="H46" s="961" t="s">
        <v>2468</v>
      </c>
      <c r="I46" s="463" t="s">
        <v>2267</v>
      </c>
      <c r="K46" s="6">
        <v>-1579284</v>
      </c>
    </row>
    <row r="47" spans="1:11" ht="13">
      <c r="A47" s="2">
        <f t="shared" si="1"/>
        <v>26</v>
      </c>
      <c r="B47" s="368" t="s">
        <v>41</v>
      </c>
      <c r="C47" s="14"/>
      <c r="D47" s="14"/>
      <c r="E47" s="1"/>
      <c r="F47" s="1"/>
      <c r="G47" s="1"/>
      <c r="H47" s="961" t="s">
        <v>2469</v>
      </c>
      <c r="I47" s="463" t="s">
        <v>2267</v>
      </c>
      <c r="K47" s="6">
        <v>347819</v>
      </c>
    </row>
    <row r="48" spans="1:11" ht="13">
      <c r="A48" s="2">
        <f t="shared" si="1"/>
        <v>27</v>
      </c>
      <c r="B48" s="462" t="s">
        <v>1756</v>
      </c>
      <c r="C48" s="14"/>
      <c r="D48" s="14"/>
      <c r="H48" s="961" t="s">
        <v>2470</v>
      </c>
      <c r="I48" s="463" t="s">
        <v>2267</v>
      </c>
      <c r="K48" s="6">
        <v>5912271</v>
      </c>
    </row>
    <row r="49" spans="1:11" ht="13">
      <c r="A49" s="2">
        <f t="shared" si="1"/>
        <v>28</v>
      </c>
      <c r="B49" s="112" t="s">
        <v>1757</v>
      </c>
      <c r="C49" s="14"/>
      <c r="D49" s="14"/>
      <c r="H49" s="961" t="s">
        <v>2471</v>
      </c>
      <c r="I49" s="463" t="s">
        <v>2267</v>
      </c>
      <c r="K49" s="6">
        <v>592590</v>
      </c>
    </row>
    <row r="50" spans="1:11" ht="13">
      <c r="A50" s="537">
        <f t="shared" si="1"/>
        <v>29</v>
      </c>
      <c r="B50" s="112" t="s">
        <v>1616</v>
      </c>
      <c r="C50" s="14"/>
      <c r="D50" s="14"/>
      <c r="H50" s="961" t="s">
        <v>2472</v>
      </c>
      <c r="I50" s="463" t="s">
        <v>2267</v>
      </c>
      <c r="K50" s="6">
        <v>2012111</v>
      </c>
    </row>
    <row r="51" spans="1:11" ht="13">
      <c r="A51" s="537">
        <f t="shared" si="1"/>
        <v>30</v>
      </c>
      <c r="B51" s="112" t="s">
        <v>1758</v>
      </c>
      <c r="C51" s="14"/>
      <c r="D51" s="14"/>
      <c r="H51" s="961" t="s">
        <v>2473</v>
      </c>
      <c r="I51" s="463" t="s">
        <v>2267</v>
      </c>
      <c r="K51" s="6">
        <v>97096</v>
      </c>
    </row>
    <row r="52" spans="1:11" ht="13">
      <c r="A52" s="537">
        <f t="shared" si="1"/>
        <v>31</v>
      </c>
      <c r="B52" t="s">
        <v>61</v>
      </c>
      <c r="I52" s="15" t="str">
        <f>"Line "&amp;A44&amp;" + (Line "&amp;A48&amp;" to Line "&amp;A51&amp;")"</f>
        <v>Line 23 + (Line 27 to Line 30)</v>
      </c>
      <c r="K52" s="7">
        <f>K44+K48+K49+K50+K51</f>
        <v>132882954</v>
      </c>
    </row>
    <row r="53" spans="1:11" ht="13">
      <c r="A53" s="537">
        <f t="shared" si="1"/>
        <v>32</v>
      </c>
      <c r="B53" s="465" t="s">
        <v>1617</v>
      </c>
      <c r="C53" s="14"/>
      <c r="D53" s="14"/>
      <c r="E53" s="14"/>
      <c r="F53" s="14"/>
      <c r="G53" s="14"/>
      <c r="H53" s="465"/>
      <c r="I53" s="465" t="str">
        <f>"26-TaxRates, Line "&amp;'26-TaxRates'!A22&amp;""</f>
        <v>26-TaxRates, Line 16</v>
      </c>
      <c r="K53" s="231">
        <f>'26-TaxRates'!F22</f>
        <v>60461744.07</v>
      </c>
    </row>
    <row r="54" spans="1:11" ht="13">
      <c r="A54" s="537">
        <f t="shared" si="1"/>
        <v>33</v>
      </c>
      <c r="B54" s="14" t="s">
        <v>1307</v>
      </c>
      <c r="C54" s="14"/>
      <c r="D54" s="14"/>
      <c r="E54" s="14"/>
      <c r="F54" s="14"/>
      <c r="G54" s="14"/>
      <c r="I54" s="15" t="str">
        <f>"Line "&amp;A52&amp;" - Line "&amp;A53&amp;""</f>
        <v>Line 31 - Line 32</v>
      </c>
      <c r="K54" s="7">
        <f>K52-K53</f>
        <v>72421209.930000007</v>
      </c>
    </row>
    <row r="55" spans="1:11" ht="13">
      <c r="A55" s="537">
        <f t="shared" si="1"/>
        <v>34</v>
      </c>
      <c r="B55" s="13" t="s">
        <v>93</v>
      </c>
      <c r="I55" s="15" t="str">
        <f>"27-Allocators, Line "&amp;'27-Allocators'!A15&amp;""</f>
        <v>27-Allocators, Line 9</v>
      </c>
      <c r="K55" s="8">
        <f>'27-Allocators'!G15</f>
        <v>6.9804259326257695E-2</v>
      </c>
    </row>
    <row r="56" spans="1:11" ht="13">
      <c r="A56" s="537">
        <f t="shared" si="1"/>
        <v>35</v>
      </c>
      <c r="B56" s="50" t="s">
        <v>252</v>
      </c>
      <c r="I56" s="15" t="str">
        <f>"Line "&amp;A54&amp;" * Line "&amp;A55&amp;""</f>
        <v>Line 33 * Line 34</v>
      </c>
      <c r="K56" s="7">
        <f>K54*K55</f>
        <v>5055308.9186750697</v>
      </c>
    </row>
    <row r="57" spans="1:11" ht="13">
      <c r="A57" s="2"/>
      <c r="K57" s="7"/>
    </row>
    <row r="58" spans="1:11" ht="13">
      <c r="A58" s="2">
        <f>A56+1</f>
        <v>36</v>
      </c>
      <c r="B58" s="12" t="s">
        <v>79</v>
      </c>
      <c r="H58" s="463" t="s">
        <v>359</v>
      </c>
      <c r="I58" s="12" t="str">
        <f>"Line "&amp;A41&amp;" + Line "&amp;A56&amp;""</f>
        <v>Line 21 + Line 35</v>
      </c>
      <c r="K58" s="7">
        <f>K41+K56</f>
        <v>71869440.112217456</v>
      </c>
    </row>
    <row r="60" spans="1:11" ht="13">
      <c r="A60" s="10" t="s">
        <v>177</v>
      </c>
      <c r="B60" s="11"/>
      <c r="C60" s="11"/>
      <c r="D60" s="11"/>
      <c r="E60" s="11"/>
      <c r="F60" s="11"/>
      <c r="G60" s="11"/>
      <c r="H60" s="9"/>
      <c r="I60" s="9"/>
      <c r="J60" s="9"/>
      <c r="K60" s="9"/>
    </row>
    <row r="61" spans="1:11" ht="13">
      <c r="A61" s="44"/>
      <c r="B61" s="15"/>
      <c r="C61" s="15"/>
      <c r="D61" s="15"/>
      <c r="E61" s="15"/>
      <c r="F61" s="15"/>
      <c r="G61" s="15"/>
      <c r="H61" s="15"/>
      <c r="I61" s="15"/>
      <c r="J61" s="15"/>
      <c r="K61" s="15"/>
    </row>
    <row r="62" spans="1:11">
      <c r="A62" s="105"/>
      <c r="B62" s="45" t="s">
        <v>26</v>
      </c>
      <c r="C62" s="15"/>
      <c r="D62" s="15"/>
      <c r="E62" s="15"/>
      <c r="F62" s="15"/>
      <c r="G62" s="15"/>
      <c r="H62" s="15"/>
      <c r="I62" s="15"/>
      <c r="J62" s="15"/>
      <c r="K62" s="15"/>
    </row>
    <row r="63" spans="1:11" ht="13">
      <c r="A63" s="109">
        <f>A58+1</f>
        <v>37</v>
      </c>
      <c r="B63" s="15" t="s">
        <v>209</v>
      </c>
      <c r="C63" s="15"/>
      <c r="D63" s="15"/>
      <c r="E63" s="15"/>
      <c r="F63" s="15"/>
      <c r="G63" s="15"/>
      <c r="H63" s="15"/>
      <c r="I63" s="15" t="str">
        <f>"5-ROR-1, Line "&amp;'5-ROR-1'!A12&amp;""</f>
        <v>5-ROR-1, Line 4</v>
      </c>
      <c r="J63" s="15"/>
      <c r="K63" s="47">
        <f>'5-ROR-1'!L12</f>
        <v>16844429073.086924</v>
      </c>
    </row>
    <row r="64" spans="1:11" ht="13">
      <c r="A64" s="2">
        <f>A63+1</f>
        <v>38</v>
      </c>
      <c r="B64" s="15" t="s">
        <v>253</v>
      </c>
      <c r="C64" s="15"/>
      <c r="D64" s="15"/>
      <c r="E64" s="15"/>
      <c r="F64" s="15"/>
      <c r="G64" s="15"/>
      <c r="H64" s="15"/>
      <c r="I64" s="15" t="str">
        <f>"5-ROR-1, Line "&amp;'5-ROR-1'!A21&amp;""</f>
        <v>5-ROR-1, Line 11</v>
      </c>
      <c r="J64" s="465"/>
      <c r="K64" s="47">
        <f>'5-ROR-1'!L21</f>
        <v>748333605</v>
      </c>
    </row>
    <row r="65" spans="1:11" ht="13">
      <c r="A65" s="2">
        <f>A64+1</f>
        <v>39</v>
      </c>
      <c r="B65" s="15" t="s">
        <v>254</v>
      </c>
      <c r="C65" s="15"/>
      <c r="D65" s="15"/>
      <c r="E65" s="15"/>
      <c r="F65" s="15"/>
      <c r="G65" s="15"/>
      <c r="I65" s="15" t="str">
        <f>"5-ROR-1, Line "&amp;'5-ROR-1'!A23&amp;""</f>
        <v>5-ROR-1, Line 12</v>
      </c>
      <c r="J65" s="15"/>
      <c r="K65" s="48">
        <f>'5-ROR-1'!L23</f>
        <v>4.4426178041002594E-2</v>
      </c>
    </row>
    <row r="66" spans="1:11" ht="13">
      <c r="A66" s="109"/>
      <c r="B66" s="15"/>
      <c r="C66" s="15"/>
      <c r="D66" s="15"/>
      <c r="E66" s="15"/>
      <c r="F66" s="15"/>
      <c r="G66" s="15"/>
      <c r="I66" s="15"/>
      <c r="J66" s="15"/>
      <c r="K66" s="48"/>
    </row>
    <row r="67" spans="1:11" ht="13">
      <c r="A67" s="109"/>
      <c r="B67" s="45" t="s">
        <v>27</v>
      </c>
      <c r="C67" s="15"/>
      <c r="D67" s="15"/>
      <c r="E67" s="15"/>
      <c r="F67" s="15"/>
      <c r="G67" s="15"/>
      <c r="H67" s="15"/>
      <c r="I67" s="15"/>
      <c r="J67" s="15"/>
      <c r="K67" s="15"/>
    </row>
    <row r="68" spans="1:11" ht="13">
      <c r="A68" s="109">
        <f>A65+1</f>
        <v>40</v>
      </c>
      <c r="B68" s="465" t="s">
        <v>47</v>
      </c>
      <c r="C68" s="15"/>
      <c r="D68" s="15"/>
      <c r="E68" s="15"/>
      <c r="F68" s="15"/>
      <c r="G68" s="15"/>
      <c r="H68" s="15"/>
      <c r="I68" s="15" t="str">
        <f>"5-ROR-1, Line "&amp;'5-ROR-1'!A29&amp;""</f>
        <v>5-ROR-1, Line 16</v>
      </c>
      <c r="J68" s="465"/>
      <c r="K68" s="47">
        <f>'5-ROR-1'!L29</f>
        <v>2091962125.6683834</v>
      </c>
    </row>
    <row r="69" spans="1:11" ht="13">
      <c r="A69" s="2">
        <f>A68+1</f>
        <v>41</v>
      </c>
      <c r="B69" s="465" t="s">
        <v>25</v>
      </c>
      <c r="C69" s="15"/>
      <c r="D69" s="15"/>
      <c r="E69" s="15"/>
      <c r="F69" s="15"/>
      <c r="G69" s="15"/>
      <c r="H69" s="15"/>
      <c r="I69" s="15" t="str">
        <f>"5-ROR-1, Line "&amp;'5-ROR-1'!A35&amp;""</f>
        <v>5-ROR-1, Line 20</v>
      </c>
      <c r="J69" s="465"/>
      <c r="K69" s="47">
        <f>'5-ROR-1'!L35</f>
        <v>122238334.53840116</v>
      </c>
    </row>
    <row r="70" spans="1:11" ht="13">
      <c r="A70" s="2">
        <f>A69+1</f>
        <v>42</v>
      </c>
      <c r="B70" s="465" t="s">
        <v>43</v>
      </c>
      <c r="C70" s="15"/>
      <c r="D70" s="15"/>
      <c r="E70" s="15"/>
      <c r="F70" s="15"/>
      <c r="G70" s="15"/>
      <c r="I70" s="15" t="str">
        <f>"5-ROR-1, Line "&amp;'5-ROR-1'!A37&amp;""</f>
        <v>5-ROR-1, Line 21</v>
      </c>
      <c r="J70" s="465"/>
      <c r="K70" s="48">
        <f>'5-ROR-1'!L37</f>
        <v>5.8432384142397376E-2</v>
      </c>
    </row>
    <row r="71" spans="1:11" ht="13">
      <c r="A71" s="109"/>
      <c r="B71" s="15"/>
      <c r="C71" s="15"/>
      <c r="D71" s="15"/>
      <c r="E71" s="15"/>
      <c r="F71" s="15"/>
      <c r="G71" s="15"/>
      <c r="I71" s="15"/>
      <c r="J71" s="15"/>
      <c r="K71" s="48"/>
    </row>
    <row r="72" spans="1:11" ht="13">
      <c r="A72" s="109"/>
      <c r="B72" s="45" t="s">
        <v>28</v>
      </c>
      <c r="C72" s="15"/>
      <c r="D72" s="15"/>
      <c r="E72" s="15"/>
      <c r="F72" s="15"/>
      <c r="G72" s="15"/>
      <c r="H72" s="15"/>
      <c r="I72" s="15"/>
      <c r="J72" s="15"/>
      <c r="K72" s="15"/>
    </row>
    <row r="73" spans="1:11" ht="13">
      <c r="A73" s="109">
        <f>A70+1</f>
        <v>43</v>
      </c>
      <c r="B73" s="15" t="s">
        <v>44</v>
      </c>
      <c r="C73" s="15"/>
      <c r="D73" s="15"/>
      <c r="E73" s="15"/>
      <c r="F73" s="15"/>
      <c r="G73" s="15"/>
      <c r="H73" s="15"/>
      <c r="I73" s="15" t="str">
        <f>"5-ROR-1, Line "&amp;'5-ROR-1'!A45&amp;""</f>
        <v>5-ROR-1, Line 27</v>
      </c>
      <c r="J73" s="465"/>
      <c r="K73" s="47">
        <f>'5-ROR-1'!L45</f>
        <v>16329591138.725721</v>
      </c>
    </row>
    <row r="74" spans="1:11" ht="13">
      <c r="A74" s="109"/>
      <c r="B74" s="15"/>
      <c r="C74" s="15"/>
      <c r="D74" s="15"/>
      <c r="E74" s="15"/>
      <c r="F74" s="15"/>
      <c r="G74" s="15"/>
      <c r="H74" s="15"/>
      <c r="I74" s="64"/>
      <c r="J74" s="15"/>
      <c r="K74" s="15"/>
    </row>
    <row r="75" spans="1:11" ht="13">
      <c r="A75" s="2">
        <f>A73+1</f>
        <v>44</v>
      </c>
      <c r="B75" s="15" t="s">
        <v>46</v>
      </c>
      <c r="C75" s="15"/>
      <c r="D75" s="15"/>
      <c r="E75" s="15"/>
      <c r="F75" s="15"/>
      <c r="G75" s="15"/>
      <c r="H75" s="15"/>
      <c r="I75" s="12" t="str">
        <f>"Line "&amp;A63&amp;" + Line "&amp;A68&amp;" + Line "&amp;A73&amp;""</f>
        <v>Line 37 + Line 40 + Line 43</v>
      </c>
      <c r="J75" s="15"/>
      <c r="K75" s="47">
        <f>K63+K68+K73</f>
        <v>35265982337.481026</v>
      </c>
    </row>
    <row r="76" spans="1:11" s="955" customFormat="1" ht="13">
      <c r="A76" s="549"/>
      <c r="B76" s="15"/>
      <c r="C76" s="15"/>
      <c r="D76" s="15"/>
      <c r="E76" s="15"/>
      <c r="F76" s="15"/>
      <c r="G76" s="15"/>
      <c r="H76" s="15"/>
      <c r="I76" s="12"/>
      <c r="J76" s="15"/>
      <c r="K76" s="47"/>
    </row>
    <row r="77" spans="1:11" s="14" customFormat="1" ht="13">
      <c r="A77" s="109" t="s">
        <v>2530</v>
      </c>
      <c r="B77" s="465" t="s">
        <v>2476</v>
      </c>
      <c r="C77" s="15"/>
      <c r="D77" s="15"/>
      <c r="E77" s="15"/>
      <c r="F77" s="15"/>
      <c r="G77" s="15"/>
      <c r="H77" s="15"/>
      <c r="I77" s="15"/>
      <c r="J77" s="15"/>
      <c r="K77" s="1239">
        <v>0.47499999999999998</v>
      </c>
    </row>
    <row r="78" spans="1:11" ht="13">
      <c r="A78" s="109"/>
      <c r="B78" s="46"/>
      <c r="C78" s="15"/>
      <c r="D78" s="15"/>
      <c r="E78" s="15"/>
      <c r="F78" s="15"/>
      <c r="G78" s="15"/>
      <c r="I78" s="15"/>
      <c r="J78" s="15"/>
      <c r="K78" s="47"/>
    </row>
    <row r="79" spans="1:11" ht="13">
      <c r="A79" s="109"/>
      <c r="B79" s="45" t="s">
        <v>48</v>
      </c>
      <c r="C79" s="15"/>
      <c r="D79" s="15"/>
      <c r="E79" s="15"/>
      <c r="F79" s="15"/>
      <c r="G79" s="15"/>
      <c r="H79" s="15"/>
      <c r="I79" s="15"/>
      <c r="J79" s="15"/>
      <c r="K79" s="15"/>
    </row>
    <row r="80" spans="1:11" ht="13">
      <c r="A80" s="109">
        <f>A75+1</f>
        <v>45</v>
      </c>
      <c r="B80" s="15" t="s">
        <v>255</v>
      </c>
      <c r="C80" s="15"/>
      <c r="D80" s="15"/>
      <c r="E80" s="15"/>
      <c r="F80" s="15"/>
      <c r="G80" s="15"/>
      <c r="H80" s="15"/>
      <c r="I80" s="15" t="str">
        <f>"100% - (Line "&amp;A81&amp;" + Line "&amp;A82&amp;")"</f>
        <v>100% - (Line 46 + Line 47)</v>
      </c>
      <c r="J80" s="15"/>
      <c r="K80" s="48">
        <f>1-(K81+K82)</f>
        <v>0.46568045218054155</v>
      </c>
    </row>
    <row r="81" spans="1:11" ht="13">
      <c r="A81" s="109">
        <f>A80+1</f>
        <v>46</v>
      </c>
      <c r="B81" s="465" t="s">
        <v>256</v>
      </c>
      <c r="C81" s="15"/>
      <c r="D81" s="15"/>
      <c r="E81" s="15"/>
      <c r="F81" s="15"/>
      <c r="G81" s="15"/>
      <c r="H81" s="15"/>
      <c r="I81" s="15" t="str">
        <f>"Line "&amp;A68&amp;" / Line "&amp;A75&amp;""</f>
        <v>Line 40 / Line 44</v>
      </c>
      <c r="J81" s="15"/>
      <c r="K81" s="48">
        <f>K68/K75</f>
        <v>5.9319547819458467E-2</v>
      </c>
    </row>
    <row r="82" spans="1:11" ht="13">
      <c r="A82" s="109">
        <f>A81+1</f>
        <v>47</v>
      </c>
      <c r="B82" s="15" t="s">
        <v>49</v>
      </c>
      <c r="C82" s="15"/>
      <c r="D82" s="15"/>
      <c r="E82" s="15"/>
      <c r="F82" s="15"/>
      <c r="G82" s="15"/>
      <c r="H82" s="15"/>
      <c r="I82" s="15" t="str">
        <f>"Max Line "&amp;A77&amp;" or (Line "&amp;A73&amp;" / Line "&amp;A75&amp;")"</f>
        <v>Max Line 44a or (Line 43 / Line 44)</v>
      </c>
      <c r="J82" s="15"/>
      <c r="K82" s="49">
        <f>MAX((K73/K75),K77)</f>
        <v>0.47499999999999998</v>
      </c>
    </row>
    <row r="83" spans="1:11" ht="13">
      <c r="A83" s="109"/>
      <c r="B83" s="15"/>
      <c r="C83" s="15"/>
      <c r="D83" s="15"/>
      <c r="E83" s="15"/>
      <c r="F83" s="15"/>
      <c r="G83" s="15"/>
      <c r="H83" s="15"/>
      <c r="I83" s="15" t="str">
        <f>"Line "&amp;A80&amp;" + Line "&amp;A81&amp;"+ Line "&amp;A82&amp;""</f>
        <v>Line 45 + Line 46+ Line 47</v>
      </c>
      <c r="J83" s="15"/>
      <c r="K83" s="48">
        <f>SUM(K80:K82)</f>
        <v>1</v>
      </c>
    </row>
    <row r="84" spans="1:11" ht="13">
      <c r="A84" s="109"/>
      <c r="B84" s="45" t="s">
        <v>220</v>
      </c>
      <c r="C84" s="15"/>
      <c r="D84" s="15"/>
      <c r="E84" s="15"/>
      <c r="F84" s="15"/>
      <c r="G84" s="15"/>
      <c r="H84" s="15"/>
      <c r="I84" s="15"/>
      <c r="J84" s="15"/>
      <c r="K84" s="48"/>
    </row>
    <row r="85" spans="1:11" ht="13">
      <c r="A85" s="109">
        <f>A82+1</f>
        <v>48</v>
      </c>
      <c r="B85" s="15" t="s">
        <v>254</v>
      </c>
      <c r="C85" s="15"/>
      <c r="D85" s="15"/>
      <c r="E85" s="15"/>
      <c r="F85" s="15"/>
      <c r="G85" s="15"/>
      <c r="I85" s="12" t="str">
        <f>"Line "&amp;A65&amp;""</f>
        <v>Line 39</v>
      </c>
      <c r="J85" s="15"/>
      <c r="K85" s="48">
        <f>K65</f>
        <v>4.4426178041002594E-2</v>
      </c>
    </row>
    <row r="86" spans="1:11" ht="13">
      <c r="A86" s="109">
        <f>A85+1</f>
        <v>49</v>
      </c>
      <c r="B86" s="465" t="s">
        <v>43</v>
      </c>
      <c r="C86" s="15"/>
      <c r="D86" s="15"/>
      <c r="E86" s="15"/>
      <c r="F86" s="15"/>
      <c r="G86" s="15"/>
      <c r="I86" s="12" t="str">
        <f>"Line "&amp;A70&amp;""</f>
        <v>Line 42</v>
      </c>
      <c r="J86" s="15"/>
      <c r="K86" s="48">
        <f>K70</f>
        <v>5.8432384142397376E-2</v>
      </c>
    </row>
    <row r="87" spans="1:11" ht="13">
      <c r="A87" s="109">
        <f>A86+1</f>
        <v>50</v>
      </c>
      <c r="B87" s="465" t="s">
        <v>1709</v>
      </c>
      <c r="C87" s="15"/>
      <c r="D87" s="15"/>
      <c r="E87" s="15"/>
      <c r="F87" s="15"/>
      <c r="G87" s="15"/>
      <c r="H87" s="463" t="s">
        <v>360</v>
      </c>
      <c r="I87" s="15" t="s">
        <v>213</v>
      </c>
      <c r="J87" s="15"/>
      <c r="K87" s="1240">
        <v>0.10299999999999999</v>
      </c>
    </row>
    <row r="88" spans="1:11" ht="13">
      <c r="A88" s="109"/>
      <c r="B88" s="15"/>
      <c r="C88" s="15"/>
      <c r="D88" s="15"/>
      <c r="E88" s="15"/>
      <c r="F88" s="15"/>
      <c r="G88" s="15"/>
      <c r="I88" s="69"/>
      <c r="J88" s="15"/>
      <c r="K88" s="48"/>
    </row>
    <row r="89" spans="1:11" ht="13">
      <c r="A89" s="109"/>
      <c r="B89" s="45" t="s">
        <v>259</v>
      </c>
      <c r="C89" s="15"/>
      <c r="D89" s="15"/>
      <c r="E89" s="15"/>
      <c r="F89" s="15"/>
      <c r="G89" s="15"/>
      <c r="H89" s="15"/>
      <c r="I89" s="15"/>
      <c r="J89" s="15"/>
      <c r="K89" s="15"/>
    </row>
    <row r="90" spans="1:11" ht="13">
      <c r="A90" s="109">
        <f>A87+1</f>
        <v>51</v>
      </c>
      <c r="B90" s="15" t="s">
        <v>50</v>
      </c>
      <c r="C90" s="15"/>
      <c r="D90" s="15"/>
      <c r="E90" s="15"/>
      <c r="F90" s="15"/>
      <c r="G90" s="15"/>
      <c r="I90" s="15" t="str">
        <f>"Line "&amp;A65&amp;" * Line "&amp;A80&amp;""</f>
        <v>Line 39 * Line 45</v>
      </c>
      <c r="J90" s="15"/>
      <c r="K90" s="48">
        <f>K65*K80</f>
        <v>2.0688402678787333E-2</v>
      </c>
    </row>
    <row r="91" spans="1:11" ht="13">
      <c r="A91" s="109">
        <f>A90+1</f>
        <v>52</v>
      </c>
      <c r="B91" s="465" t="s">
        <v>51</v>
      </c>
      <c r="C91" s="15"/>
      <c r="D91" s="15"/>
      <c r="E91" s="15"/>
      <c r="F91" s="15"/>
      <c r="G91" s="15"/>
      <c r="I91" s="15" t="str">
        <f>"Line "&amp;A70&amp;" * Line "&amp;A81&amp;""</f>
        <v>Line 42 * Line 46</v>
      </c>
      <c r="J91" s="15"/>
      <c r="K91" s="48">
        <f>K70*K81</f>
        <v>3.4661826053399079E-3</v>
      </c>
    </row>
    <row r="92" spans="1:11" ht="13">
      <c r="A92" s="109">
        <f>A91+1</f>
        <v>53</v>
      </c>
      <c r="B92" s="15" t="s">
        <v>52</v>
      </c>
      <c r="C92" s="15"/>
      <c r="D92" s="15"/>
      <c r="E92" s="15"/>
      <c r="F92" s="15"/>
      <c r="G92" s="15"/>
      <c r="I92" s="15" t="str">
        <f>"Line "&amp;A82&amp;" * Line "&amp;A87&amp;""</f>
        <v>Line 47 * Line 50</v>
      </c>
      <c r="J92" s="15"/>
      <c r="K92" s="49">
        <f>K82*K87</f>
        <v>4.8924999999999996E-2</v>
      </c>
    </row>
    <row r="93" spans="1:11" ht="13">
      <c r="A93" s="109">
        <f>A92+1</f>
        <v>54</v>
      </c>
      <c r="B93" s="46" t="s">
        <v>53</v>
      </c>
      <c r="C93" s="15"/>
      <c r="D93" s="15"/>
      <c r="E93" s="15"/>
      <c r="F93" s="15"/>
      <c r="G93" s="15"/>
      <c r="H93" s="14"/>
      <c r="I93" s="15" t="str">
        <f>"Line "&amp;A90&amp;" + Line "&amp;A91&amp;" + Line "&amp;A92&amp;""</f>
        <v>Line 51 + Line 52 + Line 53</v>
      </c>
      <c r="J93" s="15"/>
      <c r="K93" s="389">
        <f>SUM(K90:K92)</f>
        <v>7.3079585284127238E-2</v>
      </c>
    </row>
    <row r="94" spans="1:11" ht="13">
      <c r="A94" s="109"/>
      <c r="B94" s="46"/>
      <c r="C94" s="15"/>
      <c r="D94" s="15"/>
      <c r="E94" s="15"/>
      <c r="F94" s="15"/>
      <c r="G94" s="15"/>
      <c r="I94" s="15"/>
      <c r="J94" s="15"/>
      <c r="K94" s="1084"/>
    </row>
    <row r="95" spans="1:11" ht="13">
      <c r="A95" s="109">
        <f>A93+1</f>
        <v>55</v>
      </c>
      <c r="B95" s="841" t="s">
        <v>1710</v>
      </c>
      <c r="C95" s="15"/>
      <c r="D95" s="15"/>
      <c r="E95" s="15"/>
      <c r="F95" s="15"/>
      <c r="G95" s="15"/>
      <c r="H95" s="15" t="s">
        <v>215</v>
      </c>
      <c r="I95" s="15" t="str">
        <f>"Line "&amp;A91&amp;" + Line "&amp;A92&amp;""</f>
        <v>Line 52 + Line 53</v>
      </c>
      <c r="J95" s="15"/>
      <c r="K95" s="389">
        <f>K91+K92</f>
        <v>5.2391182605339905E-2</v>
      </c>
    </row>
    <row r="96" spans="1:11" ht="13">
      <c r="A96" s="109"/>
      <c r="B96" s="15"/>
      <c r="C96" s="15"/>
      <c r="D96" s="15"/>
      <c r="E96" s="15"/>
      <c r="F96" s="15"/>
      <c r="G96" s="15"/>
      <c r="I96" s="15"/>
      <c r="J96" s="15"/>
      <c r="K96" s="1084"/>
    </row>
    <row r="97" spans="1:11" ht="13">
      <c r="A97" s="109">
        <f>A95+1</f>
        <v>56</v>
      </c>
      <c r="B97" s="15" t="s">
        <v>54</v>
      </c>
      <c r="C97" s="15"/>
      <c r="D97" s="15"/>
      <c r="E97" s="15"/>
      <c r="F97" s="15"/>
      <c r="G97" s="15"/>
      <c r="I97" s="15" t="str">
        <f>"Line "&amp;A34&amp;" * Line "&amp;A93&amp;""</f>
        <v>Line 18 * Line 54</v>
      </c>
      <c r="J97" s="15"/>
      <c r="K97" s="47">
        <f>K34*K93</f>
        <v>518765055.76238841</v>
      </c>
    </row>
    <row r="98" spans="1:11">
      <c r="A98" s="105"/>
      <c r="B98" s="12"/>
      <c r="C98" s="12"/>
      <c r="D98" s="12"/>
      <c r="E98" s="12"/>
      <c r="F98" s="12"/>
      <c r="G98" s="12"/>
      <c r="H98" s="12"/>
      <c r="I98" s="12"/>
      <c r="J98" s="12"/>
      <c r="K98" s="12"/>
    </row>
    <row r="99" spans="1:11">
      <c r="A99" s="15"/>
      <c r="B99" s="12"/>
      <c r="C99" s="12"/>
      <c r="D99" s="12"/>
      <c r="E99" s="12"/>
      <c r="F99" s="12"/>
      <c r="G99" s="12"/>
      <c r="H99" s="12"/>
      <c r="I99" s="12"/>
      <c r="J99" s="12"/>
      <c r="K99" s="12"/>
    </row>
    <row r="100" spans="1:11" ht="13">
      <c r="A100" s="1232" t="s">
        <v>178</v>
      </c>
      <c r="B100" s="11"/>
      <c r="C100" s="11"/>
      <c r="D100" s="11"/>
      <c r="E100" s="11"/>
      <c r="F100" s="11"/>
      <c r="G100" s="11"/>
      <c r="H100" s="9"/>
      <c r="I100" s="9"/>
      <c r="J100" s="9"/>
      <c r="K100" s="9"/>
    </row>
    <row r="101" spans="1:11">
      <c r="A101" s="14"/>
    </row>
    <row r="102" spans="1:11" ht="13">
      <c r="A102" s="109">
        <f>A97+1</f>
        <v>57</v>
      </c>
      <c r="B102" t="s">
        <v>214</v>
      </c>
      <c r="I102" s="14" t="str">
        <f>"26-Tax Rates, Line "&amp;'26-TaxRates'!A7&amp;""</f>
        <v>26-Tax Rates, Line 1</v>
      </c>
      <c r="K102" s="67">
        <f>'26-TaxRates'!D7</f>
        <v>0.21</v>
      </c>
    </row>
    <row r="103" spans="1:11" ht="13">
      <c r="A103" s="109">
        <f>A102+1</f>
        <v>58</v>
      </c>
      <c r="B103" s="12" t="s">
        <v>258</v>
      </c>
      <c r="I103" s="14" t="str">
        <f>"26-Tax Rates, Line "&amp;'26-TaxRates'!A14&amp;""</f>
        <v>26-Tax Rates, Line 8</v>
      </c>
      <c r="K103" s="67">
        <f>'26-TaxRates'!D14</f>
        <v>8.8400000000000006E-2</v>
      </c>
    </row>
    <row r="104" spans="1:11" ht="13">
      <c r="A104" s="109">
        <f>A103+1</f>
        <v>59</v>
      </c>
      <c r="B104" s="12" t="s">
        <v>257</v>
      </c>
      <c r="H104" s="52" t="s">
        <v>1630</v>
      </c>
      <c r="I104" s="12" t="str">
        <f>"(L"&amp;A102&amp;" + L"&amp;A103&amp;") - (L"&amp;A102&amp;" * L"&amp;A103&amp;")"</f>
        <v>(L57 + L58) - (L57 * L58)</v>
      </c>
      <c r="K104" s="8">
        <f>(K102+K103)-(K102*K103)</f>
        <v>0.27983599999999997</v>
      </c>
    </row>
    <row r="105" spans="1:11" ht="13">
      <c r="A105" s="109"/>
      <c r="K105" s="8"/>
    </row>
    <row r="106" spans="1:11" ht="13">
      <c r="A106" s="109"/>
      <c r="B106" s="75" t="s">
        <v>260</v>
      </c>
      <c r="K106" s="8"/>
    </row>
    <row r="107" spans="1:11" ht="13">
      <c r="A107" s="109">
        <f>A104+1</f>
        <v>60</v>
      </c>
      <c r="B107" s="533" t="s">
        <v>2655</v>
      </c>
      <c r="C107" s="14"/>
      <c r="D107" s="14"/>
      <c r="E107" s="14"/>
      <c r="F107" s="14"/>
      <c r="G107" s="14"/>
      <c r="H107" s="463"/>
      <c r="I107" s="461" t="s">
        <v>2704</v>
      </c>
      <c r="K107" s="63">
        <f>-'9-ADIT-2'!I49</f>
        <v>-19087293</v>
      </c>
    </row>
    <row r="108" spans="1:11" ht="13">
      <c r="A108" s="109">
        <f>A107+1</f>
        <v>61</v>
      </c>
      <c r="B108" s="533" t="s">
        <v>1806</v>
      </c>
      <c r="C108" s="14"/>
      <c r="D108" s="14"/>
      <c r="E108" s="14"/>
      <c r="F108" s="14"/>
      <c r="G108" s="14"/>
      <c r="H108" s="463" t="s">
        <v>1151</v>
      </c>
      <c r="I108" s="14"/>
      <c r="K108" s="977">
        <v>0</v>
      </c>
    </row>
    <row r="109" spans="1:11" ht="13">
      <c r="A109" s="109">
        <f t="shared" ref="A109:A110" si="2">A108+1</f>
        <v>62</v>
      </c>
      <c r="B109" s="533" t="s">
        <v>1807</v>
      </c>
      <c r="C109" s="14"/>
      <c r="D109" s="14"/>
      <c r="E109" s="14"/>
      <c r="F109" s="14"/>
      <c r="G109" s="14"/>
      <c r="H109" s="463" t="s">
        <v>1151</v>
      </c>
      <c r="I109" s="14"/>
      <c r="K109" s="110">
        <v>2606000</v>
      </c>
    </row>
    <row r="110" spans="1:11" ht="13">
      <c r="A110" s="109">
        <f t="shared" si="2"/>
        <v>63</v>
      </c>
      <c r="B110" s="13" t="s">
        <v>261</v>
      </c>
      <c r="I110" s="463" t="str">
        <f>"Line "&amp;A107&amp;" + Line "&amp;A108&amp;"+ Line "&amp;A109&amp;""</f>
        <v>Line 60 + Line 61+ Line 62</v>
      </c>
      <c r="K110" s="63">
        <f>SUM(K107:K109)</f>
        <v>-16481293</v>
      </c>
    </row>
    <row r="111" spans="1:11" ht="13">
      <c r="A111" s="1113"/>
    </row>
    <row r="112" spans="1:11" ht="13">
      <c r="A112" s="109">
        <f>A110+1</f>
        <v>64</v>
      </c>
      <c r="B112" s="12" t="s">
        <v>262</v>
      </c>
      <c r="I112" t="str">
        <f>"Formula on Line "&amp;A114&amp;""</f>
        <v>Formula on Line 65</v>
      </c>
      <c r="K112" s="63">
        <f>(((K34*K95) + K121)*(K104/(1-K104)))+(K110/(1-K104))</f>
        <v>123331983.60915707</v>
      </c>
    </row>
    <row r="113" spans="1:11" ht="13">
      <c r="A113" s="109"/>
    </row>
    <row r="114" spans="1:11" ht="13">
      <c r="A114" s="109">
        <f>A112+1</f>
        <v>65</v>
      </c>
      <c r="B114" s="465" t="s">
        <v>2144</v>
      </c>
      <c r="C114" s="465"/>
      <c r="D114" s="465"/>
      <c r="E114" s="465"/>
      <c r="F114" s="465"/>
      <c r="G114" s="465"/>
    </row>
    <row r="115" spans="1:11">
      <c r="A115" s="838"/>
      <c r="I115" s="12"/>
    </row>
    <row r="116" spans="1:11">
      <c r="A116" s="838"/>
      <c r="C116" t="s">
        <v>216</v>
      </c>
    </row>
    <row r="117" spans="1:11">
      <c r="A117" s="838"/>
      <c r="C117" s="112" t="s">
        <v>217</v>
      </c>
      <c r="D117" s="14"/>
      <c r="E117" s="14"/>
      <c r="F117" s="14"/>
      <c r="G117" s="14"/>
      <c r="H117" s="14"/>
      <c r="I117" s="15" t="str">
        <f>"Line "&amp;A34&amp;""</f>
        <v>Line 18</v>
      </c>
    </row>
    <row r="118" spans="1:11">
      <c r="A118" s="838"/>
      <c r="C118" s="462" t="s">
        <v>1711</v>
      </c>
      <c r="D118" s="14"/>
      <c r="E118" s="14"/>
      <c r="F118" s="14"/>
      <c r="G118" s="14"/>
      <c r="H118" s="14"/>
      <c r="I118" s="15" t="str">
        <f>"Line "&amp;A95&amp;""</f>
        <v>Line 55</v>
      </c>
    </row>
    <row r="119" spans="1:11">
      <c r="A119" s="838"/>
      <c r="C119" s="112" t="s">
        <v>218</v>
      </c>
      <c r="D119" s="14"/>
      <c r="E119" s="14"/>
      <c r="F119" s="14"/>
      <c r="G119" s="14"/>
      <c r="H119" s="14"/>
      <c r="I119" s="15" t="str">
        <f>"Line "&amp;A104&amp;""</f>
        <v>Line 59</v>
      </c>
    </row>
    <row r="120" spans="1:11">
      <c r="A120" s="838"/>
      <c r="C120" s="112" t="s">
        <v>219</v>
      </c>
      <c r="D120" s="14"/>
      <c r="E120" s="14"/>
      <c r="F120" s="14"/>
      <c r="G120" s="14"/>
      <c r="H120" s="14"/>
      <c r="I120" s="15" t="str">
        <f>"Line "&amp;A110&amp;""</f>
        <v>Line 63</v>
      </c>
    </row>
    <row r="121" spans="1:11">
      <c r="A121" s="838"/>
      <c r="C121" s="462" t="s">
        <v>1708</v>
      </c>
      <c r="D121" s="14"/>
      <c r="E121" s="14"/>
      <c r="F121" s="14"/>
      <c r="G121" s="14"/>
      <c r="H121" s="842" t="s">
        <v>2531</v>
      </c>
      <c r="I121" s="961" t="s">
        <v>2941</v>
      </c>
      <c r="K121" s="493">
        <v>4388079</v>
      </c>
    </row>
    <row r="122" spans="1:11">
      <c r="A122" s="14"/>
      <c r="H122" s="37"/>
    </row>
    <row r="123" spans="1:11" ht="13">
      <c r="A123" s="1232" t="s">
        <v>62</v>
      </c>
      <c r="B123" s="11"/>
      <c r="C123" s="11"/>
      <c r="D123" s="11"/>
      <c r="E123" s="11"/>
      <c r="F123" s="11"/>
      <c r="G123" s="11"/>
      <c r="H123" s="9"/>
      <c r="I123" s="9"/>
      <c r="J123" s="9"/>
      <c r="K123" s="9"/>
    </row>
    <row r="124" spans="1:11">
      <c r="A124" s="14"/>
    </row>
    <row r="125" spans="1:11">
      <c r="A125" s="14"/>
      <c r="B125" s="75" t="s">
        <v>263</v>
      </c>
      <c r="K125" s="14"/>
    </row>
    <row r="126" spans="1:11" ht="13">
      <c r="A126" s="109">
        <f>A114+1</f>
        <v>66</v>
      </c>
      <c r="B126" t="s">
        <v>101</v>
      </c>
      <c r="H126" s="16"/>
      <c r="I126" s="14" t="str">
        <f>"19-OandM, Line "&amp;'19-OandM'!A124&amp;", Col. 6"</f>
        <v>19-OandM, Line 91, Col. 6</v>
      </c>
      <c r="K126" s="63">
        <f>'19-OandM'!G124</f>
        <v>126627276.98957931</v>
      </c>
    </row>
    <row r="127" spans="1:11" ht="13">
      <c r="A127" s="109">
        <f t="shared" ref="A127:A142" si="3">A126+1</f>
        <v>67</v>
      </c>
      <c r="B127" s="12" t="s">
        <v>264</v>
      </c>
      <c r="H127" s="16"/>
      <c r="I127" s="14" t="str">
        <f>"20-AandG, Line "&amp;'20-AandG'!A30&amp;""</f>
        <v>20-AandG, Line 23</v>
      </c>
      <c r="K127" s="63">
        <f>'20-AandG'!F30</f>
        <v>174102232.76211423</v>
      </c>
    </row>
    <row r="128" spans="1:11" ht="13">
      <c r="A128" s="109">
        <f t="shared" si="3"/>
        <v>68</v>
      </c>
      <c r="B128" t="s">
        <v>56</v>
      </c>
      <c r="H128" s="16"/>
      <c r="I128" s="15" t="str">
        <f>"22-NUCs, Line "&amp;'22-NUCs'!A17&amp;""</f>
        <v>22-NUCs, Line 8</v>
      </c>
      <c r="K128" s="63">
        <f>'22-NUCs'!E17</f>
        <v>2371003</v>
      </c>
    </row>
    <row r="129" spans="1:11" ht="13">
      <c r="A129" s="109">
        <f t="shared" si="3"/>
        <v>69</v>
      </c>
      <c r="B129" s="12" t="s">
        <v>250</v>
      </c>
      <c r="H129" s="16"/>
      <c r="I129" s="14" t="str">
        <f>"17-Depreciation, Line "&amp;'17-Depreciation'!A94&amp;""</f>
        <v>17-Depreciation, Line 70</v>
      </c>
      <c r="K129" s="63">
        <f>'17-Depreciation'!F94</f>
        <v>274391393.26948309</v>
      </c>
    </row>
    <row r="130" spans="1:11" ht="13">
      <c r="A130" s="109">
        <f t="shared" si="3"/>
        <v>70</v>
      </c>
      <c r="B130" s="12" t="s">
        <v>291</v>
      </c>
      <c r="H130" s="16"/>
      <c r="I130" s="14" t="str">
        <f>"12-AbandonedPlant, Line "&amp;'12-AbandonedPlant'!A18&amp;""</f>
        <v>12-AbandonedPlant, Line 1</v>
      </c>
      <c r="K130" s="63">
        <f>'12-AbandonedPlant'!G18</f>
        <v>0</v>
      </c>
    </row>
    <row r="131" spans="1:11" ht="13">
      <c r="A131" s="109">
        <f t="shared" si="3"/>
        <v>71</v>
      </c>
      <c r="B131" s="12" t="s">
        <v>79</v>
      </c>
      <c r="H131" s="16"/>
      <c r="I131" s="14" t="str">
        <f>"Line "&amp;A58&amp;""</f>
        <v>Line 36</v>
      </c>
      <c r="K131" s="63">
        <f>K58</f>
        <v>71869440.112217456</v>
      </c>
    </row>
    <row r="132" spans="1:11" ht="13">
      <c r="A132" s="109">
        <f t="shared" si="3"/>
        <v>72</v>
      </c>
      <c r="B132" t="s">
        <v>11</v>
      </c>
      <c r="H132" s="46" t="s">
        <v>151</v>
      </c>
      <c r="I132" s="14" t="str">
        <f>"21-Revenue Credits, Line "&amp;'21-RevenueCredits'!A249&amp;""</f>
        <v>21-Revenue Credits, Line 44</v>
      </c>
      <c r="K132" s="63">
        <f>-'21-RevenueCredits'!E249</f>
        <v>-48067624.029856279</v>
      </c>
    </row>
    <row r="133" spans="1:11" ht="13">
      <c r="A133" s="109">
        <f t="shared" si="3"/>
        <v>73</v>
      </c>
      <c r="B133" t="s">
        <v>87</v>
      </c>
      <c r="H133" s="16"/>
      <c r="I133" s="14" t="str">
        <f>"Line "&amp;A97&amp;""</f>
        <v>Line 56</v>
      </c>
      <c r="K133" s="63">
        <f>K97</f>
        <v>518765055.76238841</v>
      </c>
    </row>
    <row r="134" spans="1:11" ht="13">
      <c r="A134" s="109">
        <f t="shared" si="3"/>
        <v>74</v>
      </c>
      <c r="B134" t="s">
        <v>5</v>
      </c>
      <c r="H134" s="16"/>
      <c r="I134" s="14" t="str">
        <f>"Line "&amp;A112&amp;""</f>
        <v>Line 64</v>
      </c>
      <c r="K134" s="47">
        <f>K112</f>
        <v>123331983.60915707</v>
      </c>
    </row>
    <row r="135" spans="1:11" ht="13">
      <c r="A135" s="109">
        <f t="shared" si="3"/>
        <v>75</v>
      </c>
      <c r="B135" t="s">
        <v>946</v>
      </c>
      <c r="H135" s="13" t="s">
        <v>1146</v>
      </c>
      <c r="I135" s="15" t="str">
        <f>"11-PHFU, Line "&amp;'11-PHFU'!A47&amp;""</f>
        <v>11-PHFU, Line 10</v>
      </c>
      <c r="K135" s="47">
        <f>-'11-PHFU'!E47</f>
        <v>0</v>
      </c>
    </row>
    <row r="136" spans="1:11" ht="13">
      <c r="A136" s="109">
        <f t="shared" si="3"/>
        <v>76</v>
      </c>
      <c r="B136" s="565" t="s">
        <v>1697</v>
      </c>
      <c r="C136" s="669"/>
      <c r="D136" s="14"/>
      <c r="E136" s="14"/>
      <c r="H136" s="16"/>
      <c r="I136" s="15" t="str">
        <f>"23-RegAssets, Line "&amp;'23-RegAssets'!A19&amp;""</f>
        <v>23-RegAssets, Line 16</v>
      </c>
      <c r="K136" s="47">
        <f>'23-RegAssets'!E19</f>
        <v>0</v>
      </c>
    </row>
    <row r="137" spans="1:11" ht="13">
      <c r="A137" s="109">
        <f t="shared" si="3"/>
        <v>77</v>
      </c>
      <c r="B137" s="12" t="s">
        <v>265</v>
      </c>
      <c r="H137" s="16"/>
      <c r="I137" s="14" t="str">
        <f>"15-IncentiveAdder, Line "&amp;'15-IncentiveAdder'!A44&amp;""</f>
        <v>15-IncentiveAdder, Line 14</v>
      </c>
      <c r="K137" s="477">
        <f>'15-IncentiveAdder'!G44</f>
        <v>25580296.520964429</v>
      </c>
    </row>
    <row r="138" spans="1:11" s="955" customFormat="1" ht="13">
      <c r="A138" s="109" t="s">
        <v>2528</v>
      </c>
      <c r="B138" s="465" t="s">
        <v>2477</v>
      </c>
      <c r="C138" s="14"/>
      <c r="D138" s="14"/>
      <c r="E138" s="14"/>
      <c r="F138" s="14"/>
      <c r="G138" s="14"/>
      <c r="H138" s="462" t="s">
        <v>1168</v>
      </c>
      <c r="I138" s="465" t="s">
        <v>2529</v>
      </c>
      <c r="J138" s="14"/>
      <c r="K138" s="110">
        <f>-K137</f>
        <v>-25580296.520964429</v>
      </c>
    </row>
    <row r="139" spans="1:11" ht="13">
      <c r="A139" s="109">
        <f>A137+1</f>
        <v>78</v>
      </c>
      <c r="B139" s="15" t="s">
        <v>1429</v>
      </c>
      <c r="C139" s="14"/>
      <c r="D139" s="14"/>
      <c r="E139" s="14"/>
      <c r="F139" s="14"/>
      <c r="G139" s="14"/>
      <c r="H139" s="112"/>
      <c r="I139" s="14" t="str">
        <f>"Sum of Lines "&amp;A126&amp;" to "&amp;A138&amp;""</f>
        <v>Sum of Lines 66 to 77a</v>
      </c>
      <c r="J139" s="14"/>
      <c r="K139" s="63">
        <f>SUM(K126:K138)</f>
        <v>1243390761.4750831</v>
      </c>
    </row>
    <row r="140" spans="1:11" ht="13">
      <c r="A140" s="1113"/>
      <c r="B140" s="12"/>
      <c r="H140" s="16"/>
      <c r="I140" s="14"/>
      <c r="K140" s="63"/>
    </row>
    <row r="141" spans="1:11" ht="13">
      <c r="A141" s="109">
        <f>A139+1</f>
        <v>79</v>
      </c>
      <c r="B141" s="12" t="s">
        <v>286</v>
      </c>
      <c r="I141" s="14" t="str">
        <f>"L "&amp;A139&amp;" * FF Factor (28-FFU, L "&amp;'28-FFU'!A22&amp;")"</f>
        <v>L 78 * FF Factor (28-FFU, L 5)</v>
      </c>
      <c r="J141" s="14"/>
      <c r="K141" s="63">
        <f>'28-FFU'!D22*K139</f>
        <v>11498974.582883935</v>
      </c>
    </row>
    <row r="142" spans="1:11" ht="13">
      <c r="A142" s="109">
        <f t="shared" si="3"/>
        <v>80</v>
      </c>
      <c r="B142" s="12" t="s">
        <v>285</v>
      </c>
      <c r="I142" s="14" t="str">
        <f>"L "&amp;A139&amp;" * U Factor (28-FFU, L "&amp;'28-FFU'!A22&amp;")"</f>
        <v>L 78 * U Factor (28-FFU, L 5)</v>
      </c>
      <c r="J142" s="14"/>
      <c r="K142" s="63">
        <f>'28-FFU'!E22*K139</f>
        <v>16734981.892438401</v>
      </c>
    </row>
    <row r="143" spans="1:11" ht="13">
      <c r="A143" s="109"/>
      <c r="B143" s="12"/>
      <c r="K143" s="63"/>
    </row>
    <row r="144" spans="1:11" ht="13">
      <c r="A144" s="109">
        <f>A142+1</f>
        <v>81</v>
      </c>
      <c r="B144" s="12" t="s">
        <v>95</v>
      </c>
      <c r="I144" t="str">
        <f>"Line "&amp;A139&amp;" + Line "&amp;A141&amp;"+ Line "&amp;A142&amp;""</f>
        <v>Line 78 + Line 79+ Line 80</v>
      </c>
      <c r="K144" s="63">
        <f>K139+K141+K142</f>
        <v>1271624717.9504054</v>
      </c>
    </row>
    <row r="146" spans="1:13" ht="13">
      <c r="A146" s="10" t="s">
        <v>266</v>
      </c>
      <c r="B146" s="11"/>
      <c r="C146" s="11"/>
      <c r="D146" s="11"/>
      <c r="E146" s="11"/>
      <c r="F146" s="11"/>
      <c r="G146" s="11"/>
      <c r="H146" s="9"/>
      <c r="I146" s="9"/>
      <c r="J146" s="9"/>
      <c r="K146" s="9"/>
    </row>
    <row r="148" spans="1:13">
      <c r="B148" s="75" t="s">
        <v>1620</v>
      </c>
    </row>
    <row r="149" spans="1:13" ht="13">
      <c r="A149" s="109">
        <f>A144+1</f>
        <v>82</v>
      </c>
      <c r="B149" t="s">
        <v>95</v>
      </c>
      <c r="I149" t="str">
        <f>"Line "&amp;A144&amp;""</f>
        <v>Line 81</v>
      </c>
      <c r="K149" s="63">
        <f>K144</f>
        <v>1271624717.9504054</v>
      </c>
    </row>
    <row r="150" spans="1:13" ht="13">
      <c r="A150" s="109">
        <f>A149+1</f>
        <v>83</v>
      </c>
      <c r="B150" t="s">
        <v>318</v>
      </c>
      <c r="I150" s="15" t="str">
        <f>"2-IFPTRR, Line "&amp;'2-IFPTRR'!A91&amp;""</f>
        <v>2-IFPTRR, Line 82</v>
      </c>
      <c r="K150" s="63">
        <f>'2-IFPTRR'!D91</f>
        <v>111283192.67208581</v>
      </c>
    </row>
    <row r="151" spans="1:13" ht="13">
      <c r="A151" s="109">
        <f>A150+1</f>
        <v>84</v>
      </c>
      <c r="B151" s="12" t="s">
        <v>29</v>
      </c>
      <c r="H151" s="12"/>
      <c r="I151" s="15" t="str">
        <f>"3-TrueUpAdjust, Line "&amp;'3-TrueUpAdjust'!A44&amp;""</f>
        <v>3-TrueUpAdjust, Line 30</v>
      </c>
      <c r="K151" s="47">
        <f>'3-TrueUpAdjust'!E44</f>
        <v>98421523.947972402</v>
      </c>
      <c r="L151" s="98"/>
      <c r="M151" s="7"/>
    </row>
    <row r="152" spans="1:13" ht="13">
      <c r="A152" s="109">
        <f>A151+1</f>
        <v>85</v>
      </c>
      <c r="B152" s="465" t="s">
        <v>1869</v>
      </c>
      <c r="C152" s="14"/>
      <c r="H152" s="463" t="s">
        <v>1166</v>
      </c>
      <c r="I152" s="14"/>
      <c r="K152" s="1215">
        <v>-83133820</v>
      </c>
    </row>
    <row r="153" spans="1:13" ht="13">
      <c r="A153" s="109"/>
      <c r="I153" s="14"/>
      <c r="K153" s="7"/>
    </row>
    <row r="154" spans="1:13" ht="13">
      <c r="A154" s="109">
        <f>A152+1</f>
        <v>86</v>
      </c>
      <c r="B154" s="463" t="s">
        <v>1618</v>
      </c>
      <c r="H154" s="12" t="s">
        <v>267</v>
      </c>
      <c r="I154" s="14" t="str">
        <f>"L "&amp;A149&amp;" + L "&amp;A150&amp;" + L "&amp;A151&amp;" + L "&amp;A152&amp;""</f>
        <v>L 82 + L 83 + L 84 + L 85</v>
      </c>
      <c r="K154" s="63">
        <f>K149+K150+K151+K152</f>
        <v>1398195614.5704634</v>
      </c>
      <c r="L154" s="7"/>
      <c r="M154" s="7"/>
    </row>
    <row r="155" spans="1:13" ht="13">
      <c r="A155" s="109"/>
      <c r="I155" s="14"/>
      <c r="K155" s="7"/>
    </row>
    <row r="156" spans="1:13" ht="13">
      <c r="A156" s="109"/>
      <c r="B156" s="75" t="s">
        <v>1619</v>
      </c>
      <c r="I156" s="14"/>
      <c r="K156" s="7"/>
    </row>
    <row r="157" spans="1:13" ht="13">
      <c r="A157" s="109">
        <f>A154+1</f>
        <v>87</v>
      </c>
      <c r="B157" t="s">
        <v>1360</v>
      </c>
      <c r="I157" s="14" t="str">
        <f>"Line "&amp;A154&amp;""</f>
        <v>Line 86</v>
      </c>
      <c r="K157" s="63">
        <f>K154</f>
        <v>1398195614.5704634</v>
      </c>
    </row>
    <row r="158" spans="1:13" ht="13">
      <c r="A158" s="109">
        <f>A157+1</f>
        <v>88</v>
      </c>
      <c r="B158" t="s">
        <v>1359</v>
      </c>
      <c r="I158" s="15" t="str">
        <f>"25-WholesaleDifference, Line "&amp;'25-WholesaleDifference'!A93&amp;""</f>
        <v>25-WholesaleDifference, Line 45</v>
      </c>
      <c r="K158" s="110">
        <f>'25-WholesaleDifference'!H93</f>
        <v>-20403529.625749871</v>
      </c>
    </row>
    <row r="159" spans="1:13" ht="13">
      <c r="A159" s="109">
        <f>A158+1</f>
        <v>89</v>
      </c>
      <c r="B159" t="s">
        <v>1619</v>
      </c>
      <c r="I159" t="str">
        <f>"Line "&amp;A157&amp;" + Line "&amp;A158&amp;""</f>
        <v>Line 87 + Line 88</v>
      </c>
      <c r="K159" s="63">
        <f>K157+K158</f>
        <v>1377792084.9447136</v>
      </c>
    </row>
    <row r="160" spans="1:13">
      <c r="A160" s="14"/>
      <c r="H160" s="12"/>
    </row>
    <row r="161" spans="2:11" ht="13">
      <c r="B161" s="51" t="s">
        <v>230</v>
      </c>
    </row>
    <row r="162" spans="2:11" s="955" customFormat="1">
      <c r="B162" s="463" t="s">
        <v>2268</v>
      </c>
    </row>
    <row r="163" spans="2:11" s="955" customFormat="1">
      <c r="B163" s="467" t="s">
        <v>2269</v>
      </c>
    </row>
    <row r="164" spans="2:11">
      <c r="B164" s="465" t="s">
        <v>2270</v>
      </c>
      <c r="C164" s="14"/>
      <c r="D164" s="14"/>
      <c r="E164" s="14"/>
      <c r="F164" s="14"/>
      <c r="G164" s="14"/>
      <c r="H164" s="14"/>
      <c r="I164" s="14"/>
      <c r="J164" s="14"/>
      <c r="K164" s="14"/>
    </row>
    <row r="165" spans="2:11">
      <c r="B165" s="463" t="s">
        <v>2705</v>
      </c>
    </row>
    <row r="166" spans="2:11">
      <c r="B166" s="465" t="s">
        <v>1801</v>
      </c>
      <c r="C166" s="14"/>
      <c r="D166" s="14"/>
      <c r="E166" s="14"/>
      <c r="F166" s="14"/>
      <c r="G166" s="14"/>
      <c r="H166" s="14"/>
      <c r="I166" s="14"/>
      <c r="J166" s="14"/>
      <c r="K166" s="14"/>
    </row>
    <row r="167" spans="2:11">
      <c r="B167" s="465"/>
      <c r="C167" s="14" t="s">
        <v>1800</v>
      </c>
      <c r="D167" s="14"/>
      <c r="E167" s="14"/>
      <c r="F167" s="961" t="s">
        <v>2830</v>
      </c>
      <c r="G167" s="96"/>
      <c r="H167" s="96"/>
      <c r="I167" s="96"/>
      <c r="J167" s="14"/>
      <c r="K167" s="14"/>
    </row>
    <row r="168" spans="2:11">
      <c r="B168" s="463" t="s">
        <v>2441</v>
      </c>
      <c r="C168" s="465"/>
      <c r="D168" s="465"/>
      <c r="E168" s="465"/>
      <c r="F168" s="465"/>
      <c r="G168" s="465"/>
      <c r="H168" s="465"/>
      <c r="I168" s="14"/>
    </row>
    <row r="169" spans="2:11">
      <c r="B169" s="467" t="s">
        <v>2411</v>
      </c>
    </row>
    <row r="170" spans="2:11">
      <c r="B170" s="467" t="s">
        <v>2412</v>
      </c>
    </row>
    <row r="171" spans="2:11">
      <c r="B171" s="465" t="s">
        <v>2271</v>
      </c>
    </row>
    <row r="172" spans="2:11">
      <c r="B172" s="853" t="s">
        <v>2483</v>
      </c>
      <c r="C172" s="14"/>
      <c r="D172" s="14"/>
      <c r="E172" s="14"/>
      <c r="F172" s="14"/>
      <c r="G172" s="14"/>
      <c r="H172" s="14"/>
      <c r="I172" s="14"/>
    </row>
    <row r="173" spans="2:11">
      <c r="B173" s="462" t="s">
        <v>2706</v>
      </c>
      <c r="C173" s="14"/>
      <c r="D173" s="14"/>
      <c r="E173" s="14"/>
      <c r="F173" s="14"/>
      <c r="G173" s="14"/>
      <c r="H173" s="14"/>
      <c r="I173" s="14"/>
    </row>
  </sheetData>
  <phoneticPr fontId="23" type="noConversion"/>
  <pageMargins left="0.75" right="0.75" top="1" bottom="1" header="0.5" footer="0.5"/>
  <pageSetup scale="64" orientation="portrait" cellComments="asDisplayed" r:id="rId1"/>
  <headerFooter alignWithMargins="0">
    <oddHeader>&amp;CSchedule 1
Base TRR
&amp;RTO2022 Draft Annual Update 
Attachment 1</oddHeader>
    <oddFooter>&amp;R&amp;A</oddFooter>
  </headerFooter>
  <rowBreaks count="2" manualBreakCount="2">
    <brk id="59" max="16383" man="1"/>
    <brk id="12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56"/>
  <sheetViews>
    <sheetView zoomScaleNormal="100" workbookViewId="0"/>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20" ht="13">
      <c r="A1" s="668" t="s">
        <v>1954</v>
      </c>
      <c r="B1" s="668"/>
      <c r="C1" s="669"/>
      <c r="D1" s="669"/>
      <c r="G1" s="669"/>
      <c r="H1" s="669"/>
      <c r="I1" s="669"/>
      <c r="J1" s="669"/>
      <c r="K1" s="669"/>
      <c r="L1" s="669"/>
      <c r="M1" s="669"/>
      <c r="N1" s="14"/>
      <c r="O1" s="14"/>
      <c r="P1" s="14"/>
      <c r="Q1" s="14"/>
      <c r="R1" s="14"/>
      <c r="S1" s="14"/>
      <c r="T1" s="14"/>
    </row>
    <row r="2" spans="1:20" ht="13">
      <c r="A2" s="14"/>
      <c r="B2" s="14"/>
      <c r="C2" s="68" t="s">
        <v>2531</v>
      </c>
      <c r="D2" s="14"/>
      <c r="E2" s="961" t="s">
        <v>2868</v>
      </c>
      <c r="F2" s="96"/>
      <c r="G2" s="96"/>
      <c r="H2" s="14"/>
      <c r="I2" s="14"/>
      <c r="J2" s="14"/>
      <c r="K2" s="14"/>
      <c r="L2" s="14"/>
      <c r="M2" s="14"/>
      <c r="N2" s="14"/>
      <c r="O2" s="14"/>
      <c r="P2" s="14"/>
      <c r="Q2" s="14"/>
      <c r="R2" s="14"/>
      <c r="S2" s="14"/>
      <c r="T2" s="14"/>
    </row>
    <row r="3" spans="1:20" ht="13">
      <c r="A3" s="670" t="s">
        <v>329</v>
      </c>
      <c r="B3" s="670"/>
      <c r="C3" s="669"/>
      <c r="D3" s="669"/>
      <c r="E3" s="669"/>
      <c r="F3" s="669"/>
      <c r="G3" s="669"/>
      <c r="H3" s="669"/>
      <c r="I3" s="669"/>
      <c r="J3" s="669"/>
      <c r="K3" s="669"/>
      <c r="L3" s="669"/>
      <c r="M3" s="669"/>
      <c r="N3" s="14"/>
      <c r="O3" s="14"/>
      <c r="P3" s="14"/>
      <c r="Q3" s="14"/>
      <c r="R3" s="14"/>
      <c r="S3" s="14"/>
      <c r="T3" s="14"/>
    </row>
    <row r="4" spans="1:20" ht="13">
      <c r="A4" s="671">
        <v>1</v>
      </c>
      <c r="B4" s="671"/>
      <c r="C4" s="565"/>
      <c r="D4" s="565"/>
      <c r="E4" s="565"/>
      <c r="F4" s="565"/>
      <c r="G4" s="669"/>
      <c r="H4" s="669"/>
      <c r="I4" s="669"/>
      <c r="J4" s="669"/>
      <c r="K4" s="669"/>
      <c r="L4" s="669"/>
      <c r="M4" s="669"/>
      <c r="N4" s="14"/>
      <c r="O4" s="14"/>
      <c r="P4" s="14"/>
      <c r="Q4" s="14"/>
      <c r="R4" s="14"/>
      <c r="S4" s="14"/>
      <c r="T4" s="14"/>
    </row>
    <row r="5" spans="1:20" ht="13">
      <c r="A5" s="556">
        <v>2</v>
      </c>
      <c r="B5" s="556"/>
      <c r="C5" s="565"/>
      <c r="D5" s="565"/>
      <c r="E5" s="565"/>
      <c r="F5" s="565"/>
      <c r="G5" s="669"/>
      <c r="H5" s="669"/>
      <c r="I5" s="669"/>
      <c r="J5" s="669"/>
      <c r="K5" s="669"/>
      <c r="L5" s="669"/>
      <c r="M5" s="669"/>
      <c r="N5" s="14"/>
      <c r="O5" s="14"/>
    </row>
    <row r="6" spans="1:20" ht="13">
      <c r="A6" s="556">
        <v>3</v>
      </c>
      <c r="B6" s="556"/>
      <c r="C6" s="557"/>
      <c r="D6" s="557"/>
      <c r="E6" s="557"/>
      <c r="F6" s="557"/>
      <c r="G6" s="554"/>
      <c r="H6" s="554"/>
      <c r="I6" s="554"/>
      <c r="J6" s="554"/>
      <c r="K6" s="556" t="s">
        <v>63</v>
      </c>
      <c r="L6" s="554"/>
      <c r="M6" s="554"/>
    </row>
    <row r="7" spans="1:20" ht="13">
      <c r="A7" s="556">
        <v>4</v>
      </c>
      <c r="B7" s="556"/>
      <c r="C7" s="554"/>
      <c r="D7" s="554"/>
      <c r="E7" s="672" t="s">
        <v>205</v>
      </c>
      <c r="F7" s="673"/>
      <c r="G7" s="554"/>
      <c r="H7" s="554"/>
      <c r="I7" s="554"/>
      <c r="J7" s="554"/>
      <c r="K7" s="674" t="s">
        <v>175</v>
      </c>
      <c r="L7" s="554"/>
      <c r="M7" s="559"/>
    </row>
    <row r="8" spans="1:20" ht="13">
      <c r="A8" s="556">
        <v>5</v>
      </c>
      <c r="B8" s="556"/>
      <c r="C8" s="557"/>
      <c r="D8" s="557"/>
      <c r="E8" s="557"/>
      <c r="F8" s="557"/>
      <c r="G8" s="554"/>
      <c r="H8" s="554"/>
      <c r="I8" s="554"/>
      <c r="J8" s="554"/>
      <c r="K8" s="560"/>
      <c r="L8" s="554"/>
      <c r="M8" s="557"/>
    </row>
    <row r="9" spans="1:20" ht="13">
      <c r="A9" s="556">
        <v>6</v>
      </c>
      <c r="B9" s="556"/>
      <c r="C9" s="668" t="s">
        <v>1974</v>
      </c>
      <c r="D9" s="565"/>
      <c r="E9" s="565" t="s">
        <v>1975</v>
      </c>
      <c r="F9" s="565"/>
      <c r="G9" s="669"/>
      <c r="H9" s="669"/>
      <c r="I9" s="669"/>
      <c r="J9" s="669"/>
      <c r="K9" s="560">
        <f>I20</f>
        <v>-272077295.05142099</v>
      </c>
      <c r="L9" s="554"/>
      <c r="M9" s="557"/>
      <c r="N9" s="675"/>
    </row>
    <row r="10" spans="1:20" ht="13.5" thickBot="1">
      <c r="A10" s="556">
        <v>7</v>
      </c>
      <c r="B10" s="556"/>
      <c r="C10" s="668" t="s">
        <v>1973</v>
      </c>
      <c r="D10" s="670"/>
      <c r="E10" s="565" t="s">
        <v>1955</v>
      </c>
      <c r="F10" s="565"/>
      <c r="G10" s="669"/>
      <c r="H10" s="669"/>
      <c r="I10" s="669"/>
      <c r="J10" s="669"/>
      <c r="K10" s="676">
        <f>+K20</f>
        <v>-241129451.01540288</v>
      </c>
      <c r="L10" s="554"/>
      <c r="M10" s="557"/>
    </row>
    <row r="11" spans="1:20" ht="13.5" thickTop="1">
      <c r="A11" s="556">
        <v>8</v>
      </c>
      <c r="B11" s="556"/>
      <c r="C11" s="565"/>
      <c r="D11" s="565"/>
      <c r="E11" s="565"/>
      <c r="F11" s="565"/>
      <c r="G11" s="669"/>
      <c r="H11" s="669"/>
      <c r="I11" s="669"/>
      <c r="J11" s="669"/>
      <c r="K11" s="560"/>
      <c r="L11" s="554"/>
      <c r="M11" s="554"/>
    </row>
    <row r="12" spans="1:20" ht="13">
      <c r="A12" s="556">
        <v>9</v>
      </c>
      <c r="B12" s="556"/>
      <c r="C12" s="669"/>
      <c r="D12" s="669"/>
      <c r="E12" s="669"/>
      <c r="F12" s="669"/>
      <c r="G12" s="677" t="s">
        <v>358</v>
      </c>
      <c r="H12" s="677"/>
      <c r="I12" s="677" t="s">
        <v>342</v>
      </c>
      <c r="J12" s="677"/>
      <c r="K12" s="677" t="s">
        <v>343</v>
      </c>
      <c r="L12" s="554"/>
      <c r="M12" s="554"/>
    </row>
    <row r="13" spans="1:20" ht="13">
      <c r="A13" s="556">
        <v>10</v>
      </c>
      <c r="B13" s="556"/>
      <c r="C13" s="669"/>
      <c r="D13" s="669"/>
      <c r="E13" s="669"/>
      <c r="F13" s="669"/>
      <c r="G13" s="671" t="s">
        <v>63</v>
      </c>
      <c r="H13" s="671"/>
      <c r="I13" s="671" t="s">
        <v>63</v>
      </c>
      <c r="J13" s="673"/>
      <c r="K13" s="671" t="s">
        <v>63</v>
      </c>
      <c r="L13" s="554"/>
      <c r="M13" s="554"/>
    </row>
    <row r="14" spans="1:20" ht="14.5">
      <c r="A14" s="556">
        <v>11</v>
      </c>
      <c r="B14" s="556"/>
      <c r="C14" s="671"/>
      <c r="D14" s="671"/>
      <c r="E14" s="671"/>
      <c r="F14" s="671"/>
      <c r="G14" s="671" t="s">
        <v>380</v>
      </c>
      <c r="H14" s="671"/>
      <c r="I14" s="671" t="s">
        <v>299</v>
      </c>
      <c r="J14" s="673"/>
      <c r="K14" s="678" t="s">
        <v>229</v>
      </c>
      <c r="L14" s="554"/>
      <c r="M14" s="554"/>
    </row>
    <row r="15" spans="1:20" ht="13">
      <c r="A15" s="556">
        <v>12</v>
      </c>
      <c r="B15" s="556"/>
      <c r="C15" s="556" t="s">
        <v>410</v>
      </c>
      <c r="D15" s="556"/>
      <c r="E15" s="671"/>
      <c r="F15" s="556"/>
      <c r="G15" s="556" t="s">
        <v>1956</v>
      </c>
      <c r="H15" s="673"/>
      <c r="I15" s="556" t="s">
        <v>1956</v>
      </c>
      <c r="J15" s="673"/>
      <c r="K15" s="556" t="s">
        <v>1956</v>
      </c>
      <c r="L15" s="554"/>
      <c r="M15" s="554"/>
    </row>
    <row r="16" spans="1:20" ht="13">
      <c r="A16" s="556">
        <v>13</v>
      </c>
      <c r="B16" s="556"/>
      <c r="C16" s="558" t="s">
        <v>1953</v>
      </c>
      <c r="D16" s="558"/>
      <c r="E16" s="897"/>
      <c r="F16" s="558"/>
      <c r="G16" s="674" t="s">
        <v>1957</v>
      </c>
      <c r="H16" s="673"/>
      <c r="I16" s="674" t="s">
        <v>1957</v>
      </c>
      <c r="J16" s="673"/>
      <c r="K16" s="674" t="s">
        <v>1957</v>
      </c>
      <c r="L16" s="554"/>
      <c r="M16" s="554"/>
    </row>
    <row r="17" spans="1:14" ht="13">
      <c r="A17" s="556">
        <v>14</v>
      </c>
      <c r="B17" s="556"/>
      <c r="C17" s="565" t="s">
        <v>1958</v>
      </c>
      <c r="D17" s="565"/>
      <c r="E17" s="465" t="s">
        <v>2175</v>
      </c>
      <c r="F17" s="463"/>
      <c r="G17" s="560">
        <f>+G27</f>
        <v>-205220359.27432427</v>
      </c>
      <c r="H17" s="679"/>
      <c r="I17" s="560">
        <f>+I27</f>
        <v>-264893166.07095358</v>
      </c>
      <c r="J17" s="679"/>
      <c r="K17" s="560">
        <f>(+G17+I17)/2</f>
        <v>-235056762.67263892</v>
      </c>
      <c r="L17" s="554"/>
      <c r="M17" s="554"/>
      <c r="N17" s="554"/>
    </row>
    <row r="18" spans="1:14" ht="13">
      <c r="A18" s="556">
        <v>15</v>
      </c>
      <c r="B18" s="556"/>
      <c r="C18" s="565" t="s">
        <v>1959</v>
      </c>
      <c r="D18" s="565"/>
      <c r="E18" s="565" t="s">
        <v>2176</v>
      </c>
      <c r="F18" s="565"/>
      <c r="G18" s="560">
        <f>+G32</f>
        <v>-4308367.4819458826</v>
      </c>
      <c r="H18" s="679"/>
      <c r="I18" s="560">
        <f>+I32</f>
        <v>-6584711.7830293151</v>
      </c>
      <c r="J18" s="679"/>
      <c r="K18" s="560">
        <f>(+G18+I18)/2</f>
        <v>-5446539.6324875988</v>
      </c>
      <c r="L18" s="554"/>
      <c r="M18" s="554"/>
      <c r="N18" s="554"/>
    </row>
    <row r="19" spans="1:14" ht="13">
      <c r="A19" s="556">
        <v>16</v>
      </c>
      <c r="B19" s="556"/>
      <c r="C19" s="565" t="s">
        <v>1960</v>
      </c>
      <c r="D19" s="565"/>
      <c r="E19" s="565" t="s">
        <v>2177</v>
      </c>
      <c r="F19" s="565"/>
      <c r="G19" s="680">
        <f>+G39</f>
        <v>-652880.22311462997</v>
      </c>
      <c r="H19" s="681"/>
      <c r="I19" s="680">
        <f>+I39</f>
        <v>-599417.19743809919</v>
      </c>
      <c r="J19" s="681"/>
      <c r="K19" s="560">
        <f>(+G19+I19)/2</f>
        <v>-626148.71027636458</v>
      </c>
      <c r="L19" s="554"/>
      <c r="M19" s="554"/>
    </row>
    <row r="20" spans="1:14" ht="13.5" thickBot="1">
      <c r="A20" s="556">
        <v>17</v>
      </c>
      <c r="B20" s="556"/>
      <c r="C20" s="557" t="s">
        <v>197</v>
      </c>
      <c r="D20" s="557"/>
      <c r="E20" s="565" t="s">
        <v>1961</v>
      </c>
      <c r="F20" s="557"/>
      <c r="G20" s="682">
        <f>+G17+G18+G19</f>
        <v>-210181606.97938478</v>
      </c>
      <c r="H20" s="679"/>
      <c r="I20" s="682">
        <f>+I17+I18+I19</f>
        <v>-272077295.05142099</v>
      </c>
      <c r="J20" s="679"/>
      <c r="K20" s="682">
        <f>+K17+K18+K19</f>
        <v>-241129451.01540288</v>
      </c>
      <c r="L20" s="554"/>
      <c r="M20" s="557"/>
      <c r="N20" s="463" t="s">
        <v>328</v>
      </c>
    </row>
    <row r="21" spans="1:14" ht="13.5" thickTop="1">
      <c r="A21" s="556">
        <v>18</v>
      </c>
      <c r="B21" s="556"/>
      <c r="C21" s="554"/>
      <c r="D21" s="554"/>
      <c r="E21" s="669"/>
      <c r="F21" s="554"/>
      <c r="G21" s="554"/>
      <c r="H21" s="683"/>
      <c r="I21" s="554"/>
      <c r="J21" s="683"/>
      <c r="K21" s="554"/>
      <c r="L21" s="554"/>
      <c r="M21" s="554"/>
    </row>
    <row r="22" spans="1:14" ht="13">
      <c r="A22" s="556">
        <v>19</v>
      </c>
      <c r="B22" s="556"/>
      <c r="C22" s="555" t="s">
        <v>1962</v>
      </c>
      <c r="D22" s="555"/>
      <c r="E22" s="670"/>
      <c r="F22" s="555"/>
      <c r="G22" s="554"/>
      <c r="H22" s="683"/>
      <c r="I22" s="554"/>
      <c r="J22" s="683"/>
      <c r="K22" s="554"/>
      <c r="L22" s="554"/>
      <c r="M22" s="554"/>
    </row>
    <row r="23" spans="1:14" ht="13">
      <c r="A23" s="556">
        <v>20</v>
      </c>
      <c r="B23" s="556"/>
      <c r="E23" s="14"/>
      <c r="H23" s="516"/>
      <c r="J23" s="516"/>
      <c r="K23" s="464" t="s">
        <v>229</v>
      </c>
    </row>
    <row r="24" spans="1:14" ht="13">
      <c r="A24" s="556">
        <v>21</v>
      </c>
      <c r="B24" s="556"/>
      <c r="C24" s="555" t="s">
        <v>107</v>
      </c>
      <c r="D24" s="555"/>
      <c r="E24" s="670"/>
      <c r="F24" s="555"/>
      <c r="G24" s="381" t="s">
        <v>380</v>
      </c>
      <c r="H24" s="684"/>
      <c r="I24" s="381" t="s">
        <v>299</v>
      </c>
      <c r="J24" s="684"/>
      <c r="K24" s="685" t="s">
        <v>1963</v>
      </c>
      <c r="M24" s="480" t="s">
        <v>328</v>
      </c>
    </row>
    <row r="25" spans="1:14" ht="13">
      <c r="A25" s="556">
        <v>22</v>
      </c>
      <c r="B25" s="556"/>
      <c r="C25" s="465" t="s">
        <v>2558</v>
      </c>
      <c r="E25" s="565" t="s">
        <v>1964</v>
      </c>
      <c r="F25" s="565"/>
      <c r="G25" s="686">
        <v>-2939940359.73</v>
      </c>
      <c r="H25" s="687"/>
      <c r="I25" s="686">
        <v>-3794799466.79</v>
      </c>
      <c r="J25" s="688"/>
      <c r="M25" s="1390"/>
      <c r="N25" s="591"/>
    </row>
    <row r="26" spans="1:14" ht="13">
      <c r="A26" s="671">
        <v>23</v>
      </c>
      <c r="B26" s="556"/>
      <c r="C26" t="s">
        <v>200</v>
      </c>
      <c r="E26" s="689" t="s">
        <v>1965</v>
      </c>
      <c r="F26" s="689"/>
      <c r="G26" s="690">
        <f>'27-Allocators'!G15</f>
        <v>6.9804259326257695E-2</v>
      </c>
      <c r="H26" s="691"/>
      <c r="I26" s="690">
        <f>'27-Allocators'!G15</f>
        <v>6.9804259326257695E-2</v>
      </c>
      <c r="J26" s="691"/>
      <c r="M26" s="675"/>
    </row>
    <row r="27" spans="1:14" ht="13.5" thickBot="1">
      <c r="A27" s="671">
        <v>24</v>
      </c>
      <c r="B27" s="556"/>
      <c r="C27" t="s">
        <v>1966</v>
      </c>
      <c r="E27" s="570" t="s">
        <v>2178</v>
      </c>
      <c r="F27" s="52"/>
      <c r="G27" s="692">
        <f>+G25*G26</f>
        <v>-205220359.27432427</v>
      </c>
      <c r="H27" s="693"/>
      <c r="I27" s="692">
        <f>+I25*I26</f>
        <v>-264893166.07095358</v>
      </c>
      <c r="J27" s="693"/>
      <c r="K27" s="694">
        <f>(G27+I27)/2</f>
        <v>-235056762.67263892</v>
      </c>
      <c r="M27" s="675"/>
    </row>
    <row r="28" spans="1:14" ht="13.5" thickTop="1">
      <c r="A28" s="671">
        <v>25</v>
      </c>
      <c r="B28" s="556"/>
      <c r="E28" s="14"/>
      <c r="H28" s="516"/>
      <c r="J28" s="516"/>
      <c r="M28" s="675"/>
    </row>
    <row r="29" spans="1:14" ht="13">
      <c r="A29" s="671">
        <v>26</v>
      </c>
      <c r="B29" s="556"/>
      <c r="C29" s="51" t="s">
        <v>1967</v>
      </c>
      <c r="D29" s="51"/>
      <c r="E29" s="833"/>
      <c r="F29" s="51"/>
      <c r="H29" s="516"/>
      <c r="J29" s="516"/>
      <c r="M29" s="695" t="s">
        <v>328</v>
      </c>
    </row>
    <row r="30" spans="1:14" ht="13">
      <c r="A30" s="671">
        <v>27</v>
      </c>
      <c r="B30" s="556"/>
      <c r="C30" s="463" t="s">
        <v>1968</v>
      </c>
      <c r="D30" s="463"/>
      <c r="E30" s="565" t="s">
        <v>1964</v>
      </c>
      <c r="F30" s="565"/>
      <c r="G30" s="686">
        <v>-61720696.18</v>
      </c>
      <c r="H30" s="687"/>
      <c r="I30" s="686">
        <v>-94331088.769999996</v>
      </c>
      <c r="J30" s="688"/>
      <c r="M30" s="675"/>
    </row>
    <row r="31" spans="1:14" ht="13">
      <c r="A31" s="671">
        <v>28</v>
      </c>
      <c r="B31" s="556"/>
      <c r="C31" t="s">
        <v>200</v>
      </c>
      <c r="E31" s="689" t="s">
        <v>1965</v>
      </c>
      <c r="F31" s="689"/>
      <c r="G31" s="690">
        <f>'27-Allocators'!G15</f>
        <v>6.9804259326257695E-2</v>
      </c>
      <c r="H31" s="691"/>
      <c r="I31" s="690">
        <f>'27-Allocators'!G15</f>
        <v>6.9804259326257695E-2</v>
      </c>
      <c r="J31" s="691"/>
      <c r="M31" s="675"/>
    </row>
    <row r="32" spans="1:14" ht="13.5" thickBot="1">
      <c r="A32" s="671">
        <v>29</v>
      </c>
      <c r="B32" s="556"/>
      <c r="C32" t="s">
        <v>1966</v>
      </c>
      <c r="E32" s="570" t="s">
        <v>2179</v>
      </c>
      <c r="F32" s="52"/>
      <c r="G32" s="692">
        <f>+G30*G31</f>
        <v>-4308367.4819458826</v>
      </c>
      <c r="H32" s="693"/>
      <c r="I32" s="692">
        <f>+I30*I31</f>
        <v>-6584711.7830293151</v>
      </c>
      <c r="J32" s="693"/>
      <c r="K32" s="694">
        <f>(G32+I32)/2</f>
        <v>-5446539.6324875988</v>
      </c>
      <c r="M32" s="675"/>
    </row>
    <row r="33" spans="1:11" ht="13.5" thickTop="1">
      <c r="A33" s="671">
        <f t="shared" ref="A33:A39" si="0">1+A32</f>
        <v>30</v>
      </c>
      <c r="E33" s="14"/>
      <c r="H33" s="516"/>
      <c r="J33" s="516"/>
    </row>
    <row r="34" spans="1:11" ht="13">
      <c r="A34" s="671">
        <f t="shared" si="0"/>
        <v>31</v>
      </c>
      <c r="C34" s="51" t="s">
        <v>1969</v>
      </c>
      <c r="E34" s="14"/>
      <c r="H34" s="516"/>
      <c r="J34" s="516"/>
    </row>
    <row r="35" spans="1:11" ht="13">
      <c r="A35" s="671">
        <f t="shared" si="0"/>
        <v>32</v>
      </c>
      <c r="C35" s="463" t="s">
        <v>1969</v>
      </c>
      <c r="E35" s="565" t="s">
        <v>1964</v>
      </c>
      <c r="F35" s="565"/>
      <c r="G35" s="977">
        <v>-18706028.240000002</v>
      </c>
      <c r="H35" s="687"/>
      <c r="I35" s="977">
        <v>-17174229.859999999</v>
      </c>
      <c r="J35" s="688"/>
    </row>
    <row r="36" spans="1:11" ht="13">
      <c r="A36" s="671">
        <f t="shared" si="0"/>
        <v>33</v>
      </c>
      <c r="C36" s="463" t="s">
        <v>1970</v>
      </c>
      <c r="E36" s="1194" t="s">
        <v>1971</v>
      </c>
      <c r="G36" s="697">
        <v>0.5</v>
      </c>
      <c r="H36" s="516"/>
      <c r="I36" s="697">
        <v>0.5</v>
      </c>
      <c r="J36" s="516"/>
    </row>
    <row r="37" spans="1:11" ht="13">
      <c r="A37" s="671">
        <f t="shared" si="0"/>
        <v>34</v>
      </c>
      <c r="C37" s="463" t="s">
        <v>1972</v>
      </c>
      <c r="E37" s="465" t="s">
        <v>2180</v>
      </c>
      <c r="G37" s="7">
        <f>+G35*G36</f>
        <v>-9353014.120000001</v>
      </c>
      <c r="H37" s="698"/>
      <c r="I37" s="7">
        <f>+I35*I36</f>
        <v>-8587114.9299999997</v>
      </c>
      <c r="J37" s="516"/>
    </row>
    <row r="38" spans="1:11" ht="13">
      <c r="A38" s="671">
        <f t="shared" si="0"/>
        <v>35</v>
      </c>
      <c r="C38" t="s">
        <v>200</v>
      </c>
      <c r="E38" s="689" t="s">
        <v>1965</v>
      </c>
      <c r="F38" s="689"/>
      <c r="G38" s="690">
        <f>'27-Allocators'!G15</f>
        <v>6.9804259326257695E-2</v>
      </c>
      <c r="H38" s="691"/>
      <c r="I38" s="690">
        <f>'27-Allocators'!G15</f>
        <v>6.9804259326257695E-2</v>
      </c>
      <c r="J38" s="691"/>
    </row>
    <row r="39" spans="1:11" ht="13.5" thickBot="1">
      <c r="A39" s="671">
        <f t="shared" si="0"/>
        <v>36</v>
      </c>
      <c r="C39" t="s">
        <v>1966</v>
      </c>
      <c r="E39" s="570" t="s">
        <v>2181</v>
      </c>
      <c r="F39" s="52"/>
      <c r="G39" s="692">
        <f>+G37*G38</f>
        <v>-652880.22311462997</v>
      </c>
      <c r="H39" s="693"/>
      <c r="I39" s="692">
        <f>+I37*I38</f>
        <v>-599417.19743809919</v>
      </c>
      <c r="J39" s="693"/>
      <c r="K39" s="694">
        <f>(G39+I39)/2</f>
        <v>-626148.71027636458</v>
      </c>
    </row>
    <row r="40" spans="1:11" ht="13" thickTop="1">
      <c r="H40" s="516"/>
      <c r="J40" s="516"/>
    </row>
    <row r="41" spans="1:11" ht="13">
      <c r="C41" s="51" t="s">
        <v>230</v>
      </c>
      <c r="H41" s="60"/>
      <c r="J41" s="60"/>
    </row>
    <row r="42" spans="1:11">
      <c r="C42" s="463" t="s">
        <v>2457</v>
      </c>
      <c r="D42" s="1124"/>
      <c r="H42" s="60"/>
      <c r="J42" s="60"/>
    </row>
    <row r="43" spans="1:11">
      <c r="C43" s="467" t="s">
        <v>2458</v>
      </c>
      <c r="H43" s="60"/>
      <c r="J43" s="60"/>
    </row>
    <row r="44" spans="1:11">
      <c r="C44" s="14" t="s">
        <v>2540</v>
      </c>
      <c r="D44" s="14"/>
      <c r="E44" s="14"/>
      <c r="F44" s="14"/>
      <c r="G44" s="14"/>
      <c r="H44" s="516"/>
      <c r="I44" s="14"/>
      <c r="J44" s="60"/>
    </row>
    <row r="45" spans="1:11">
      <c r="C45" s="1244" t="s">
        <v>2544</v>
      </c>
      <c r="D45" s="14"/>
      <c r="E45" s="14"/>
      <c r="F45" s="14"/>
      <c r="G45" s="14"/>
      <c r="H45" s="516"/>
      <c r="I45" s="14"/>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pageMargins left="0.7" right="0.7" top="0.75" bottom="0.75" header="0.3" footer="0.3"/>
  <pageSetup scale="85" orientation="landscape" cellComments="asDisplayed" r:id="rId1"/>
  <headerFooter>
    <oddHeader>&amp;CSchedule 34
Unfunded Reserves
&amp;RTO2022 Draft Annual Update 
Attachment 1</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5"/>
  <cols>
    <col min="1" max="1" width="4.54296875" customWidth="1"/>
    <col min="2" max="2" width="20.54296875" customWidth="1"/>
    <col min="3" max="4" width="16.54296875" customWidth="1"/>
    <col min="5" max="5" width="24.54296875" customWidth="1"/>
    <col min="6" max="6" width="9.453125" customWidth="1"/>
    <col min="7" max="7" width="9" bestFit="1" customWidth="1"/>
    <col min="10" max="10" width="18.54296875" customWidth="1"/>
    <col min="11" max="11" width="20.54296875" customWidth="1"/>
  </cols>
  <sheetData>
    <row r="1" spans="1:6" ht="13">
      <c r="A1" s="1" t="s">
        <v>1065</v>
      </c>
    </row>
    <row r="2" spans="1:6" ht="13">
      <c r="A2" s="1"/>
    </row>
    <row r="3" spans="1:6">
      <c r="B3" s="12" t="s">
        <v>406</v>
      </c>
    </row>
    <row r="4" spans="1:6" ht="13">
      <c r="A4" s="1"/>
      <c r="B4" s="13" t="s">
        <v>338</v>
      </c>
    </row>
    <row r="5" spans="1:6" ht="13">
      <c r="A5" s="1"/>
      <c r="B5" s="13" t="s">
        <v>339</v>
      </c>
    </row>
    <row r="7" spans="1:6" ht="13">
      <c r="B7" s="1" t="s">
        <v>995</v>
      </c>
    </row>
    <row r="8" spans="1:6">
      <c r="E8" s="16"/>
    </row>
    <row r="9" spans="1:6" ht="13">
      <c r="A9" s="51" t="s">
        <v>329</v>
      </c>
      <c r="B9" s="70" t="s">
        <v>1064</v>
      </c>
    </row>
    <row r="10" spans="1:6" ht="13">
      <c r="A10" s="2">
        <v>1</v>
      </c>
    </row>
    <row r="11" spans="1:6" ht="13">
      <c r="A11" s="2">
        <f>A10+1</f>
        <v>2</v>
      </c>
      <c r="B11" s="367" t="s">
        <v>1423</v>
      </c>
      <c r="C11" s="14"/>
      <c r="D11" s="14"/>
      <c r="E11" s="14"/>
      <c r="F11" s="14"/>
    </row>
    <row r="12" spans="1:6" ht="13">
      <c r="A12" s="2">
        <f t="shared" ref="A12:A87" si="0">A11+1</f>
        <v>3</v>
      </c>
      <c r="B12" s="367" t="s">
        <v>1041</v>
      </c>
      <c r="C12" s="14"/>
      <c r="D12" s="14"/>
      <c r="E12" s="14"/>
      <c r="F12" s="14"/>
    </row>
    <row r="13" spans="1:6" ht="13">
      <c r="A13" s="2">
        <f t="shared" si="0"/>
        <v>4</v>
      </c>
      <c r="B13" s="367"/>
      <c r="C13" s="14"/>
      <c r="D13" s="14"/>
      <c r="E13" s="14"/>
      <c r="F13" s="14"/>
    </row>
    <row r="14" spans="1:6" ht="13">
      <c r="A14" s="2">
        <f t="shared" si="0"/>
        <v>5</v>
      </c>
      <c r="B14" s="845" t="s">
        <v>2161</v>
      </c>
      <c r="C14" s="14"/>
      <c r="D14" s="14"/>
      <c r="E14" s="14"/>
      <c r="F14" s="14"/>
    </row>
    <row r="15" spans="1:6" ht="13">
      <c r="A15" s="2">
        <f t="shared" si="0"/>
        <v>6</v>
      </c>
      <c r="B15" s="368"/>
      <c r="C15" s="14"/>
      <c r="D15" s="14"/>
      <c r="E15" s="14"/>
      <c r="F15" s="14"/>
    </row>
    <row r="16" spans="1:6" ht="13">
      <c r="A16" s="2">
        <f t="shared" si="0"/>
        <v>7</v>
      </c>
      <c r="B16" s="367" t="s">
        <v>363</v>
      </c>
      <c r="C16" s="14"/>
      <c r="D16" s="14"/>
      <c r="E16" s="14"/>
      <c r="F16" s="365"/>
    </row>
    <row r="17" spans="1:7" ht="13">
      <c r="A17" s="2">
        <f t="shared" si="0"/>
        <v>8</v>
      </c>
      <c r="B17" s="369" t="s">
        <v>1037</v>
      </c>
      <c r="C17" s="14"/>
      <c r="D17" s="14"/>
      <c r="E17" s="14"/>
      <c r="F17" s="67"/>
    </row>
    <row r="18" spans="1:7" ht="13">
      <c r="A18" s="2">
        <f t="shared" si="0"/>
        <v>9</v>
      </c>
      <c r="B18" s="369" t="s">
        <v>1038</v>
      </c>
      <c r="C18" s="14"/>
      <c r="D18" s="14"/>
      <c r="E18" s="14"/>
      <c r="F18" s="67"/>
    </row>
    <row r="19" spans="1:7" ht="13">
      <c r="A19" s="2">
        <f t="shared" si="0"/>
        <v>10</v>
      </c>
      <c r="B19" s="369" t="s">
        <v>218</v>
      </c>
      <c r="C19" s="14"/>
      <c r="D19" s="14"/>
      <c r="E19" s="356"/>
      <c r="F19" s="63"/>
    </row>
    <row r="20" spans="1:7" ht="13">
      <c r="A20" s="2">
        <f t="shared" si="0"/>
        <v>11</v>
      </c>
      <c r="B20" s="44"/>
      <c r="C20" s="14"/>
      <c r="D20" s="356"/>
      <c r="E20" s="122" t="s">
        <v>205</v>
      </c>
      <c r="F20" s="14"/>
    </row>
    <row r="21" spans="1:7" ht="13">
      <c r="A21" s="2">
        <f t="shared" si="0"/>
        <v>12</v>
      </c>
      <c r="C21" s="356" t="s">
        <v>1074</v>
      </c>
      <c r="D21" s="366">
        <f>'1-BaseTRR'!K90</f>
        <v>2.0688402678787333E-2</v>
      </c>
      <c r="E21" s="46" t="str">
        <f>"1-BaseTRR, Line "&amp;'1-BaseTRR'!A90&amp;""</f>
        <v>1-BaseTRR, Line 51</v>
      </c>
      <c r="F21" s="14"/>
    </row>
    <row r="22" spans="1:7" ht="13">
      <c r="A22" s="2">
        <f t="shared" si="0"/>
        <v>13</v>
      </c>
      <c r="C22" s="356" t="s">
        <v>1075</v>
      </c>
      <c r="D22" s="366">
        <f>'1-BaseTRR'!K95</f>
        <v>5.2391182605339905E-2</v>
      </c>
      <c r="E22" s="46" t="str">
        <f>"1-BaseTRR, Line "&amp;'1-BaseTRR'!A95&amp;""</f>
        <v>1-BaseTRR, Line 55</v>
      </c>
      <c r="F22" s="14"/>
    </row>
    <row r="23" spans="1:7" ht="13">
      <c r="A23" s="2">
        <f t="shared" si="0"/>
        <v>14</v>
      </c>
      <c r="C23" s="356" t="s">
        <v>1040</v>
      </c>
      <c r="D23" s="366">
        <f>'1-BaseTRR'!K104</f>
        <v>0.27983599999999997</v>
      </c>
      <c r="E23" s="46" t="str">
        <f>"1-BaseTRR, Line "&amp;'1-BaseTRR'!A104&amp;""</f>
        <v>1-BaseTRR, Line 59</v>
      </c>
      <c r="F23" s="14"/>
    </row>
    <row r="24" spans="1:7" ht="13">
      <c r="A24" s="2">
        <f t="shared" si="0"/>
        <v>15</v>
      </c>
      <c r="B24" s="15"/>
      <c r="C24" s="14"/>
      <c r="D24" s="366"/>
      <c r="E24" s="46"/>
      <c r="F24" s="14"/>
    </row>
    <row r="25" spans="1:7" ht="13">
      <c r="A25" s="2">
        <f t="shared" si="0"/>
        <v>16</v>
      </c>
      <c r="C25" s="356" t="s">
        <v>1039</v>
      </c>
      <c r="D25" s="366">
        <f>D21 + (D22*(1/(1-D23)))</f>
        <v>9.3437363478466151E-2</v>
      </c>
      <c r="E25" s="46" t="str">
        <f>"Line "&amp;A21&amp;" + (Line "&amp;A22&amp;" * (1/(1 - Line "&amp;A23&amp;")))"</f>
        <v>Line 12 + (Line 13 * (1/(1 - Line 14)))</v>
      </c>
      <c r="F25" s="14"/>
      <c r="G25" s="1483"/>
    </row>
    <row r="26" spans="1:7" ht="13">
      <c r="A26" s="2">
        <f t="shared" si="0"/>
        <v>17</v>
      </c>
      <c r="B26" s="15"/>
      <c r="C26" s="14"/>
      <c r="D26" s="356"/>
      <c r="E26" s="46"/>
      <c r="F26" s="14"/>
    </row>
    <row r="27" spans="1:7" ht="13">
      <c r="A27" s="2">
        <f t="shared" si="0"/>
        <v>18</v>
      </c>
      <c r="B27" s="70" t="s">
        <v>993</v>
      </c>
      <c r="C27" s="14"/>
      <c r="D27" s="356"/>
      <c r="E27" s="46"/>
      <c r="F27" s="14"/>
    </row>
    <row r="28" spans="1:7" ht="13">
      <c r="A28" s="2">
        <f t="shared" si="0"/>
        <v>19</v>
      </c>
      <c r="B28" s="15"/>
      <c r="C28" s="14"/>
      <c r="D28" s="356"/>
      <c r="E28" s="46"/>
      <c r="F28" s="14"/>
    </row>
    <row r="29" spans="1:7" ht="13">
      <c r="A29" s="2">
        <f t="shared" si="0"/>
        <v>20</v>
      </c>
      <c r="B29" s="367" t="s">
        <v>1076</v>
      </c>
      <c r="C29" s="14"/>
      <c r="D29" s="356"/>
      <c r="E29" s="46"/>
      <c r="F29" s="14"/>
    </row>
    <row r="30" spans="1:7" ht="13">
      <c r="A30" s="2">
        <f t="shared" si="0"/>
        <v>21</v>
      </c>
      <c r="B30" s="367" t="s">
        <v>1077</v>
      </c>
      <c r="C30" s="14"/>
      <c r="D30" s="356"/>
      <c r="E30" s="46"/>
      <c r="F30" s="14"/>
    </row>
    <row r="31" spans="1:7" ht="13">
      <c r="A31" s="2">
        <f t="shared" si="0"/>
        <v>22</v>
      </c>
      <c r="C31" s="14"/>
      <c r="D31" s="356"/>
      <c r="E31" s="46"/>
      <c r="F31" s="14"/>
    </row>
    <row r="32" spans="1:7" ht="13">
      <c r="A32" s="2">
        <f t="shared" si="0"/>
        <v>23</v>
      </c>
      <c r="B32" s="369" t="s">
        <v>1042</v>
      </c>
      <c r="C32" s="14"/>
      <c r="D32" s="356"/>
      <c r="E32" s="46"/>
      <c r="F32" s="14"/>
    </row>
    <row r="33" spans="1:11" ht="13">
      <c r="A33" s="2">
        <f t="shared" si="0"/>
        <v>24</v>
      </c>
      <c r="F33" s="14"/>
    </row>
    <row r="34" spans="1:11" ht="13">
      <c r="A34" s="2">
        <f t="shared" si="0"/>
        <v>25</v>
      </c>
      <c r="B34" s="70" t="s">
        <v>1063</v>
      </c>
      <c r="F34" s="14"/>
    </row>
    <row r="35" spans="1:11" ht="13">
      <c r="A35" s="2">
        <f t="shared" si="0"/>
        <v>26</v>
      </c>
      <c r="B35" s="12"/>
      <c r="E35" s="3" t="s">
        <v>205</v>
      </c>
      <c r="F35" s="14"/>
    </row>
    <row r="36" spans="1:11" ht="13">
      <c r="A36" s="2">
        <f t="shared" si="0"/>
        <v>27</v>
      </c>
      <c r="C36" s="93" t="s">
        <v>1048</v>
      </c>
      <c r="D36" s="100">
        <f>'6-PlantInService'!M24</f>
        <v>9662547990.8865414</v>
      </c>
      <c r="E36" s="46" t="str">
        <f>"6-PlantInService, Line "&amp;'6-PlantInService'!A24&amp;""</f>
        <v>6-PlantInService, Line 13</v>
      </c>
      <c r="F36" s="14"/>
      <c r="G36" s="14"/>
    </row>
    <row r="37" spans="1:11" ht="13">
      <c r="A37" s="2">
        <f t="shared" si="0"/>
        <v>28</v>
      </c>
      <c r="C37" s="93" t="s">
        <v>1049</v>
      </c>
      <c r="D37" s="100">
        <f>'6-PlantInService'!F36</f>
        <v>0</v>
      </c>
      <c r="E37" s="46" t="str">
        <f>"6-PlantInService, Line "&amp;'6-PlantInService'!A36&amp;""</f>
        <v>6-PlantInService, Line 16</v>
      </c>
      <c r="F37" s="14"/>
      <c r="G37" s="14"/>
    </row>
    <row r="38" spans="1:11" ht="13">
      <c r="A38" s="2">
        <f t="shared" si="0"/>
        <v>29</v>
      </c>
      <c r="C38" s="93" t="s">
        <v>1061</v>
      </c>
      <c r="D38" s="100">
        <f>'8-AccDep'!N24</f>
        <v>2029134780.6758177</v>
      </c>
      <c r="E38" s="46" t="str">
        <f>"8-AccDep, Line "&amp;'8-AccDep'!A24&amp;""</f>
        <v>8-AccDep, Line 13</v>
      </c>
      <c r="F38" s="14"/>
      <c r="G38" s="14"/>
    </row>
    <row r="39" spans="1:11" ht="13">
      <c r="A39" s="2">
        <f t="shared" si="0"/>
        <v>30</v>
      </c>
      <c r="C39" s="93" t="s">
        <v>1062</v>
      </c>
      <c r="D39" s="91">
        <f>'8-AccDep'!G34</f>
        <v>0</v>
      </c>
      <c r="E39" s="46" t="str">
        <f>"8-AccDep, Line "&amp;'8-AccDep'!A34&amp;""</f>
        <v>8-AccDep, Line 16</v>
      </c>
      <c r="F39" s="14"/>
      <c r="G39" s="14"/>
    </row>
    <row r="40" spans="1:11" ht="13">
      <c r="A40" s="2">
        <f t="shared" si="0"/>
        <v>31</v>
      </c>
      <c r="C40" s="93" t="s">
        <v>994</v>
      </c>
      <c r="D40" s="7">
        <f>(D36+D37)-(D38+D39)</f>
        <v>7633413210.2107239</v>
      </c>
      <c r="E40" s="46" t="str">
        <f>"(L"&amp;A36&amp;" + L"&amp;A37&amp;") - (L"&amp;A38&amp;" + L"&amp;A39&amp;")"</f>
        <v>(L27 + L28) - (L29 + L30)</v>
      </c>
      <c r="F40" s="14"/>
      <c r="G40" s="14"/>
    </row>
    <row r="41" spans="1:11" ht="13">
      <c r="A41" s="2">
        <f t="shared" si="0"/>
        <v>32</v>
      </c>
      <c r="C41" s="93"/>
      <c r="D41" s="7"/>
      <c r="E41" s="46"/>
      <c r="F41" s="14"/>
      <c r="G41" s="14"/>
    </row>
    <row r="42" spans="1:11" ht="13">
      <c r="A42" s="2">
        <f t="shared" si="0"/>
        <v>33</v>
      </c>
      <c r="B42" s="70" t="s">
        <v>1404</v>
      </c>
      <c r="E42" s="14"/>
      <c r="F42" s="14"/>
      <c r="G42" s="14"/>
    </row>
    <row r="43" spans="1:11" ht="13">
      <c r="A43" s="453">
        <f t="shared" si="0"/>
        <v>34</v>
      </c>
      <c r="B43" s="70"/>
      <c r="E43" s="14"/>
      <c r="F43" s="14"/>
      <c r="G43" s="14"/>
    </row>
    <row r="44" spans="1:11" ht="13">
      <c r="A44" s="453">
        <f t="shared" si="0"/>
        <v>35</v>
      </c>
      <c r="B44" s="70" t="s">
        <v>1405</v>
      </c>
      <c r="E44" s="14"/>
      <c r="F44" s="14"/>
      <c r="G44" s="14"/>
    </row>
    <row r="45" spans="1:11" ht="13">
      <c r="A45" s="453">
        <f t="shared" si="0"/>
        <v>36</v>
      </c>
      <c r="B45" s="55" t="s">
        <v>1406</v>
      </c>
      <c r="E45" s="14"/>
      <c r="F45" s="14"/>
      <c r="G45" s="14"/>
    </row>
    <row r="46" spans="1:11" ht="13">
      <c r="A46" s="453">
        <f t="shared" si="0"/>
        <v>37</v>
      </c>
      <c r="B46" s="70"/>
      <c r="C46" s="93" t="s">
        <v>1424</v>
      </c>
      <c r="D46" s="47">
        <f>'10-CWIP'!D25</f>
        <v>974174702.11999989</v>
      </c>
      <c r="E46" s="46" t="str">
        <f>"10-CWIP, L "&amp;'10-CWIP'!A25&amp;" C1"</f>
        <v>10-CWIP, L 13 C1</v>
      </c>
      <c r="F46" s="14"/>
      <c r="G46" s="14"/>
      <c r="K46" s="7"/>
    </row>
    <row r="47" spans="1:11" ht="13">
      <c r="A47" s="453">
        <f t="shared" si="0"/>
        <v>38</v>
      </c>
      <c r="B47" s="70"/>
      <c r="C47" s="93" t="s">
        <v>351</v>
      </c>
      <c r="D47" s="840">
        <f>D25</f>
        <v>9.3437363478466151E-2</v>
      </c>
      <c r="E47" s="46" t="str">
        <f>"Line "&amp;A25&amp;""</f>
        <v>Line 16</v>
      </c>
      <c r="F47" s="14"/>
      <c r="G47" s="14"/>
      <c r="K47" s="7"/>
    </row>
    <row r="48" spans="1:11" ht="13">
      <c r="A48" s="453">
        <f t="shared" si="0"/>
        <v>39</v>
      </c>
      <c r="B48" s="70"/>
      <c r="C48" s="93" t="s">
        <v>1399</v>
      </c>
      <c r="D48" s="47">
        <f>D46*D47</f>
        <v>91024315.733512923</v>
      </c>
      <c r="E48" s="46" t="str">
        <f>"Line "&amp;A46&amp;" * Line "&amp;A47&amp;""</f>
        <v>Line 37 * Line 38</v>
      </c>
      <c r="F48" s="14"/>
      <c r="G48" s="14"/>
      <c r="K48" s="7"/>
    </row>
    <row r="49" spans="1:11" ht="13">
      <c r="A49" s="453">
        <f t="shared" si="0"/>
        <v>40</v>
      </c>
      <c r="B49" s="70"/>
      <c r="C49" s="93"/>
      <c r="D49" s="100"/>
      <c r="E49" s="46"/>
      <c r="F49" s="14"/>
      <c r="G49" s="14"/>
      <c r="K49" s="7"/>
    </row>
    <row r="50" spans="1:11" ht="13">
      <c r="A50" s="453">
        <f t="shared" si="0"/>
        <v>41</v>
      </c>
      <c r="B50" s="55" t="s">
        <v>1407</v>
      </c>
      <c r="E50" s="14"/>
      <c r="F50" s="14"/>
      <c r="G50" s="14"/>
      <c r="K50" s="7"/>
    </row>
    <row r="51" spans="1:11" ht="13">
      <c r="A51" s="453">
        <f t="shared" si="0"/>
        <v>42</v>
      </c>
      <c r="B51" s="70"/>
      <c r="C51" s="93" t="s">
        <v>1413</v>
      </c>
      <c r="D51" s="100">
        <f>'15-IncentiveAdder'!G17</f>
        <v>6595.7198638087975</v>
      </c>
      <c r="E51" s="112" t="str">
        <f>"15-IncentiveAdder, Line "&amp;'15-IncentiveAdder'!A17&amp;""</f>
        <v>15-IncentiveAdder, Line 3</v>
      </c>
      <c r="F51" s="14"/>
      <c r="G51" s="14"/>
      <c r="K51" s="7"/>
    </row>
    <row r="52" spans="1:11" ht="13">
      <c r="A52" s="453">
        <f t="shared" si="0"/>
        <v>43</v>
      </c>
      <c r="B52" s="70"/>
      <c r="C52" s="93"/>
      <c r="E52" s="14"/>
      <c r="F52" s="14"/>
      <c r="G52" s="14"/>
      <c r="K52" s="7"/>
    </row>
    <row r="53" spans="1:11" ht="13">
      <c r="A53" s="453">
        <f t="shared" si="0"/>
        <v>44</v>
      </c>
      <c r="B53" s="70"/>
      <c r="C53" s="93" t="s">
        <v>1386</v>
      </c>
      <c r="D53" s="7">
        <f>'10-CWIP'!E25</f>
        <v>160227</v>
      </c>
      <c r="E53" s="46" t="str">
        <f>"10-CWIP, Line "&amp;'10-CWIP'!A25&amp;""</f>
        <v>10-CWIP, Line 13</v>
      </c>
      <c r="F53" s="15"/>
      <c r="G53" s="14"/>
      <c r="K53" s="7"/>
    </row>
    <row r="54" spans="1:11" ht="13">
      <c r="A54" s="453">
        <f t="shared" si="0"/>
        <v>45</v>
      </c>
      <c r="B54" s="70"/>
      <c r="C54" s="93" t="s">
        <v>1410</v>
      </c>
      <c r="D54" s="42">
        <f>'15-IncentiveAdder'!E26</f>
        <v>1.2500000000000001E-2</v>
      </c>
      <c r="E54" s="112" t="str">
        <f>"15-IncentiveAdder, Line "&amp;'15-IncentiveAdder'!A26&amp;""</f>
        <v>15-IncentiveAdder, Line 5</v>
      </c>
      <c r="F54" s="15"/>
      <c r="G54" s="14"/>
      <c r="K54" s="7"/>
    </row>
    <row r="55" spans="1:11" ht="13">
      <c r="A55" s="453">
        <f t="shared" si="0"/>
        <v>46</v>
      </c>
      <c r="B55" s="70"/>
      <c r="C55" s="93" t="s">
        <v>1409</v>
      </c>
      <c r="D55" s="7">
        <f>(D53/1000000)*($D$51*(D54/0.01))</f>
        <v>1321.0155082731155</v>
      </c>
      <c r="E55" s="462" t="str">
        <f>"Formula on Line "&amp;A61&amp;""</f>
        <v>Formula on Line 52</v>
      </c>
      <c r="F55" s="14"/>
      <c r="G55" s="14"/>
      <c r="K55" s="7"/>
    </row>
    <row r="56" spans="1:11" ht="13">
      <c r="A56" s="453">
        <f t="shared" si="0"/>
        <v>47</v>
      </c>
      <c r="B56" s="70"/>
      <c r="C56" s="93"/>
      <c r="E56" s="63"/>
      <c r="F56" s="14"/>
      <c r="G56" s="14"/>
      <c r="K56" s="7"/>
    </row>
    <row r="57" spans="1:11" ht="13">
      <c r="A57" s="453">
        <f t="shared" si="0"/>
        <v>48</v>
      </c>
      <c r="C57" s="93" t="s">
        <v>1408</v>
      </c>
      <c r="D57" s="7">
        <f>'10-CWIP'!F25</f>
        <v>0</v>
      </c>
      <c r="E57" s="46" t="str">
        <f>"10-CWIP, Line "&amp;'10-CWIP'!A25&amp;""</f>
        <v>10-CWIP, Line 13</v>
      </c>
      <c r="F57" s="14"/>
      <c r="G57" s="14"/>
      <c r="K57" s="7"/>
    </row>
    <row r="58" spans="1:11" ht="13">
      <c r="A58" s="453">
        <f t="shared" si="0"/>
        <v>49</v>
      </c>
      <c r="C58" s="93" t="s">
        <v>1411</v>
      </c>
      <c r="D58" s="42">
        <f>'15-IncentiveAdder'!E27</f>
        <v>0.01</v>
      </c>
      <c r="E58" s="112" t="str">
        <f>"15-IncentiveAdder, Line "&amp;'15-IncentiveAdder'!A27&amp;""</f>
        <v>15-IncentiveAdder, Line 6</v>
      </c>
      <c r="F58" s="14"/>
      <c r="G58" s="14"/>
      <c r="K58" s="7"/>
    </row>
    <row r="59" spans="1:11" ht="13">
      <c r="A59" s="453">
        <f t="shared" si="0"/>
        <v>50</v>
      </c>
      <c r="C59" s="93" t="s">
        <v>1412</v>
      </c>
      <c r="D59" s="7">
        <f>(D57/1000000)*($D$51*(D58/0.01))</f>
        <v>0</v>
      </c>
      <c r="E59" s="46" t="str">
        <f>"Formula on Line "&amp;A61&amp;""</f>
        <v>Formula on Line 52</v>
      </c>
      <c r="F59" s="14"/>
      <c r="G59" s="14"/>
      <c r="K59" s="7"/>
    </row>
    <row r="60" spans="1:11" ht="13">
      <c r="A60" s="453">
        <f t="shared" si="0"/>
        <v>51</v>
      </c>
      <c r="C60" s="93"/>
      <c r="D60" s="7"/>
      <c r="E60" s="46"/>
      <c r="F60" s="14"/>
      <c r="G60" s="14"/>
      <c r="K60" s="7"/>
    </row>
    <row r="61" spans="1:11" ht="13">
      <c r="A61" s="453">
        <f t="shared" si="0"/>
        <v>52</v>
      </c>
      <c r="C61" s="50" t="s">
        <v>1388</v>
      </c>
      <c r="D61" s="7"/>
      <c r="E61" s="46"/>
      <c r="F61" s="14"/>
      <c r="G61" s="14"/>
      <c r="K61" s="7"/>
    </row>
    <row r="62" spans="1:11" ht="13">
      <c r="A62" s="453">
        <f t="shared" si="0"/>
        <v>53</v>
      </c>
      <c r="E62" s="14"/>
      <c r="F62" s="14"/>
      <c r="G62" s="14"/>
      <c r="K62" s="7"/>
    </row>
    <row r="63" spans="1:11" ht="13">
      <c r="A63" s="453">
        <f t="shared" si="0"/>
        <v>54</v>
      </c>
      <c r="C63" s="461" t="s">
        <v>1443</v>
      </c>
      <c r="D63" s="47">
        <f>D48+D55+D59</f>
        <v>91025636.749021202</v>
      </c>
      <c r="E63" s="46" t="str">
        <f>"Line "&amp;A48&amp;" + Line "&amp;A55&amp;" + Line "&amp;A59&amp;""</f>
        <v>Line 39 + Line 46 + Line 50</v>
      </c>
      <c r="F63" s="14"/>
      <c r="G63" s="14"/>
      <c r="K63" s="7"/>
    </row>
    <row r="64" spans="1:11" ht="13">
      <c r="A64" s="460">
        <f t="shared" si="0"/>
        <v>55</v>
      </c>
      <c r="C64" s="461" t="s">
        <v>1442</v>
      </c>
      <c r="D64" s="110">
        <f>('28-FFU'!D22+'28-FFU'!E22)*D63</f>
        <v>2066939.8114728292</v>
      </c>
      <c r="E64" s="462" t="str">
        <f>"(28-FFU, L"&amp;'28-FFU'!A22&amp;" FF Factor + U Factor) * L"&amp;A63&amp;""</f>
        <v>(28-FFU, L5 FF Factor + U Factor) * L54</v>
      </c>
      <c r="F64" s="14"/>
      <c r="G64" s="14"/>
      <c r="K64" s="7"/>
    </row>
    <row r="65" spans="1:11" ht="13">
      <c r="A65" s="460">
        <f t="shared" si="0"/>
        <v>56</v>
      </c>
      <c r="C65" s="461" t="s">
        <v>1444</v>
      </c>
      <c r="D65" s="47">
        <f>SUM(D63:D64)</f>
        <v>93092576.560494035</v>
      </c>
      <c r="E65" s="46" t="str">
        <f>"Line "&amp;A63&amp;" + Line "&amp;A64&amp;""</f>
        <v>Line 54 + Line 55</v>
      </c>
      <c r="F65" s="14"/>
      <c r="K65" s="7"/>
    </row>
    <row r="66" spans="1:11" ht="13">
      <c r="A66" s="460">
        <f t="shared" si="0"/>
        <v>57</v>
      </c>
      <c r="C66" s="93"/>
      <c r="D66" s="100"/>
      <c r="E66" s="46"/>
      <c r="F66" s="14"/>
      <c r="K66" s="7"/>
    </row>
    <row r="67" spans="1:11" ht="13">
      <c r="A67" s="460">
        <f t="shared" si="0"/>
        <v>58</v>
      </c>
      <c r="B67" s="70" t="s">
        <v>1414</v>
      </c>
      <c r="C67" s="93"/>
      <c r="D67" s="100"/>
      <c r="E67" s="46"/>
      <c r="F67" s="14"/>
      <c r="K67" s="7"/>
    </row>
    <row r="68" spans="1:11" ht="13">
      <c r="A68" s="460">
        <f t="shared" si="0"/>
        <v>59</v>
      </c>
      <c r="F68" s="14"/>
      <c r="K68" s="7"/>
    </row>
    <row r="69" spans="1:11" ht="13">
      <c r="A69" s="109">
        <f t="shared" si="0"/>
        <v>60</v>
      </c>
      <c r="B69" s="14"/>
      <c r="C69" s="842" t="s">
        <v>1443</v>
      </c>
      <c r="D69" s="47">
        <f>D63</f>
        <v>91025636.749021202</v>
      </c>
      <c r="E69" s="46" t="str">
        <f>"Line "&amp;A63&amp;""</f>
        <v>Line 54</v>
      </c>
      <c r="F69" s="14"/>
      <c r="K69" s="7"/>
    </row>
    <row r="70" spans="1:11" ht="13">
      <c r="A70" s="109">
        <f t="shared" si="0"/>
        <v>61</v>
      </c>
      <c r="B70" s="14"/>
      <c r="C70" s="842" t="s">
        <v>1704</v>
      </c>
      <c r="D70" s="47">
        <f>'1-BaseTRR'!K139</f>
        <v>1243390761.4750831</v>
      </c>
      <c r="E70" s="46" t="str">
        <f>"1-BaseTRR, Line "&amp;'1-BaseTRR'!A139&amp;""</f>
        <v>1-BaseTRR, Line 78</v>
      </c>
      <c r="F70" s="14"/>
      <c r="K70" s="7"/>
    </row>
    <row r="71" spans="1:11" ht="13">
      <c r="A71" s="109">
        <f t="shared" si="0"/>
        <v>62</v>
      </c>
      <c r="B71" s="14"/>
      <c r="C71" s="356" t="s">
        <v>1425</v>
      </c>
      <c r="D71" s="47">
        <f>D70-D69</f>
        <v>1152365124.7260618</v>
      </c>
      <c r="E71" s="46" t="str">
        <f>"Line "&amp;A70&amp;" - Line "&amp;A69&amp;""</f>
        <v>Line 61 - Line 60</v>
      </c>
      <c r="F71" s="14"/>
      <c r="K71" s="7"/>
    </row>
    <row r="72" spans="1:11" ht="13">
      <c r="A72" s="109">
        <f t="shared" si="0"/>
        <v>63</v>
      </c>
      <c r="B72" s="14"/>
      <c r="C72" s="843" t="s">
        <v>1816</v>
      </c>
      <c r="D72" s="63">
        <f>('1-BaseTRR'!K126+'1-BaseTRR'!K127)*0.75</f>
        <v>225547132.31377017</v>
      </c>
      <c r="E72" s="46" t="str">
        <f>"(1-BaseTRR, Line "&amp;'1-BaseTRR'!A126&amp;" + Line "&amp;'1-BaseTRR'!A127&amp;") * .75"</f>
        <v>(1-BaseTRR, Line 66 + Line 67) * .75</v>
      </c>
      <c r="F72" s="14"/>
      <c r="G72" s="14"/>
      <c r="K72" s="7"/>
    </row>
    <row r="73" spans="1:11" ht="13">
      <c r="A73" s="109">
        <f t="shared" si="0"/>
        <v>64</v>
      </c>
      <c r="B73" s="14"/>
      <c r="C73" s="356" t="s">
        <v>271</v>
      </c>
      <c r="D73" s="840">
        <f xml:space="preserve"> (D71-D72)/D40</f>
        <v>0.12141593372314066</v>
      </c>
      <c r="E73" s="46" t="str">
        <f>"(Line "&amp;A71&amp;" - Line "&amp;A72&amp;") / Line "&amp;A40&amp;""</f>
        <v>(Line 62 - Line 63) / Line 31</v>
      </c>
      <c r="F73" s="14"/>
      <c r="K73" s="7"/>
    </row>
    <row r="74" spans="1:11" ht="13">
      <c r="A74" s="109">
        <f t="shared" si="0"/>
        <v>65</v>
      </c>
      <c r="B74" s="14"/>
      <c r="C74" s="14"/>
      <c r="D74" s="63"/>
      <c r="E74" s="46"/>
      <c r="F74" s="14"/>
    </row>
    <row r="75" spans="1:11" ht="13">
      <c r="A75" s="109">
        <f t="shared" si="0"/>
        <v>66</v>
      </c>
      <c r="B75" s="44" t="s">
        <v>349</v>
      </c>
      <c r="C75" s="14"/>
      <c r="D75" s="14"/>
      <c r="E75" s="14"/>
      <c r="F75" s="14"/>
    </row>
    <row r="76" spans="1:11" ht="13">
      <c r="A76" s="109">
        <f t="shared" si="0"/>
        <v>67</v>
      </c>
      <c r="B76" s="14"/>
      <c r="C76" s="14"/>
      <c r="D76" s="14"/>
      <c r="E76" s="14"/>
      <c r="F76" s="14"/>
    </row>
    <row r="77" spans="1:11" ht="13">
      <c r="A77" s="109">
        <f t="shared" si="0"/>
        <v>68</v>
      </c>
      <c r="B77" s="14"/>
      <c r="C77" s="14"/>
      <c r="D77" s="14"/>
      <c r="E77" s="122" t="s">
        <v>205</v>
      </c>
      <c r="F77" s="14"/>
      <c r="I77" s="1"/>
    </row>
    <row r="78" spans="1:11" ht="13">
      <c r="A78" s="109">
        <f t="shared" si="0"/>
        <v>69</v>
      </c>
      <c r="B78" s="14"/>
      <c r="C78" s="356" t="s">
        <v>270</v>
      </c>
      <c r="D78" s="63">
        <f>'16-PlantAdditions'!N37</f>
        <v>1527325391.9528899</v>
      </c>
      <c r="E78" s="46" t="str">
        <f>"16-PlantAdditions, L "&amp;'16-PlantAdditions'!A37&amp;", C10"</f>
        <v>16-PlantAdditions, L 25, C10</v>
      </c>
      <c r="F78" s="14"/>
      <c r="K78" s="7"/>
    </row>
    <row r="79" spans="1:11" ht="13">
      <c r="A79" s="109">
        <f t="shared" si="0"/>
        <v>70</v>
      </c>
      <c r="B79" s="14"/>
      <c r="C79" s="356" t="s">
        <v>271</v>
      </c>
      <c r="D79" s="844">
        <f>D73</f>
        <v>0.12141593372314066</v>
      </c>
      <c r="E79" s="46" t="str">
        <f>"Line "&amp;A73&amp;""</f>
        <v>Line 64</v>
      </c>
      <c r="F79" s="14"/>
      <c r="K79" s="666"/>
    </row>
    <row r="80" spans="1:11" ht="13">
      <c r="A80" s="109">
        <f t="shared" si="0"/>
        <v>71</v>
      </c>
      <c r="B80" s="14"/>
      <c r="C80" s="356" t="s">
        <v>350</v>
      </c>
      <c r="D80" s="63">
        <f>D78*D79</f>
        <v>185441638.56302193</v>
      </c>
      <c r="E80" s="46" t="str">
        <f>"Line "&amp;A78&amp;" * Line "&amp;A79&amp;""</f>
        <v>Line 69 * Line 70</v>
      </c>
      <c r="F80" s="14"/>
      <c r="K80" s="7"/>
    </row>
    <row r="81" spans="1:11" ht="13">
      <c r="A81" s="109">
        <f t="shared" si="0"/>
        <v>72</v>
      </c>
      <c r="B81" s="14"/>
      <c r="C81" s="14"/>
      <c r="D81" s="14"/>
      <c r="E81" s="14"/>
      <c r="F81" s="14"/>
      <c r="K81" s="7"/>
    </row>
    <row r="82" spans="1:11" ht="13">
      <c r="A82" s="109">
        <f t="shared" si="0"/>
        <v>73</v>
      </c>
      <c r="B82" s="14"/>
      <c r="C82" s="356" t="s">
        <v>353</v>
      </c>
      <c r="D82" s="63">
        <f>'10-CWIP'!K79</f>
        <v>-820113818.9424268</v>
      </c>
      <c r="E82" s="46" t="str">
        <f>"10-CWIP, L "&amp;'10-CWIP'!A79&amp;", C8"</f>
        <v>10-CWIP, L 54, C8</v>
      </c>
      <c r="F82" s="14"/>
      <c r="K82" s="7"/>
    </row>
    <row r="83" spans="1:11" ht="13">
      <c r="A83" s="109">
        <f t="shared" si="0"/>
        <v>74</v>
      </c>
      <c r="B83" s="14"/>
      <c r="C83" s="356" t="s">
        <v>351</v>
      </c>
      <c r="D83" s="844">
        <f>D25</f>
        <v>9.3437363478466151E-2</v>
      </c>
      <c r="E83" s="46" t="str">
        <f>"Line "&amp;A25&amp;""</f>
        <v>Line 16</v>
      </c>
      <c r="F83" s="14"/>
      <c r="K83" s="666"/>
    </row>
    <row r="84" spans="1:11" ht="13">
      <c r="A84" s="109">
        <f t="shared" si="0"/>
        <v>75</v>
      </c>
      <c r="B84" s="14"/>
      <c r="C84" s="356" t="s">
        <v>352</v>
      </c>
      <c r="D84" s="63">
        <f>D82*D83</f>
        <v>-76629272.994236514</v>
      </c>
      <c r="E84" s="46" t="str">
        <f>"Line "&amp;A82&amp;" * Line "&amp;A83&amp;""</f>
        <v>Line 73 * Line 74</v>
      </c>
      <c r="F84" s="14"/>
      <c r="K84" s="7"/>
    </row>
    <row r="85" spans="1:11" ht="13">
      <c r="A85" s="109">
        <f t="shared" si="0"/>
        <v>76</v>
      </c>
      <c r="B85" s="14"/>
      <c r="C85" s="14"/>
      <c r="D85" s="14"/>
      <c r="E85" s="14"/>
      <c r="F85" s="14"/>
      <c r="K85" s="7"/>
    </row>
    <row r="86" spans="1:11" ht="13">
      <c r="A86" s="109">
        <f t="shared" si="0"/>
        <v>77</v>
      </c>
      <c r="B86" s="14"/>
      <c r="C86" s="356" t="s">
        <v>1430</v>
      </c>
      <c r="D86" s="63">
        <f>D80+D84</f>
        <v>108812365.56878541</v>
      </c>
      <c r="E86" s="46" t="str">
        <f>"Line "&amp;A80&amp;" + Line "&amp;A84&amp;""</f>
        <v>Line 71 + Line 75</v>
      </c>
      <c r="F86" s="14"/>
      <c r="K86" s="7"/>
    </row>
    <row r="87" spans="1:11" ht="13">
      <c r="A87" s="109">
        <f t="shared" si="0"/>
        <v>78</v>
      </c>
      <c r="B87" s="14"/>
      <c r="C87" s="14"/>
      <c r="D87" s="14"/>
      <c r="E87" s="14"/>
      <c r="F87" s="14"/>
      <c r="K87" s="7"/>
    </row>
    <row r="88" spans="1:11" ht="13">
      <c r="A88" s="109">
        <f t="shared" ref="A88:A91" si="1">A87+1</f>
        <v>79</v>
      </c>
      <c r="B88" s="14"/>
      <c r="C88" s="356" t="s">
        <v>1431</v>
      </c>
      <c r="D88" s="63">
        <f>'28-FFU'!D22*D86</f>
        <v>1006305.2298173382</v>
      </c>
      <c r="E88" s="112" t="str">
        <f>"Line "&amp;A86&amp;" * FF (from 28-FFU, L "&amp;'28-FFU'!A22&amp;")"</f>
        <v>Line 77 * FF (from 28-FFU, L 5)</v>
      </c>
      <c r="F88" s="14"/>
      <c r="K88" s="7"/>
    </row>
    <row r="89" spans="1:11" ht="13">
      <c r="A89" s="109">
        <f t="shared" si="1"/>
        <v>80</v>
      </c>
      <c r="B89" s="14"/>
      <c r="C89" s="79" t="s">
        <v>1432</v>
      </c>
      <c r="D89" s="63">
        <f>'28-FFU'!E22*D86</f>
        <v>1464521.8734830555</v>
      </c>
      <c r="E89" s="112" t="str">
        <f>"Line "&amp;A86&amp;" * U (from 28-FFU, L "&amp;'28-FFU'!A22&amp;")"</f>
        <v>Line 77 * U (from 28-FFU, L 5)</v>
      </c>
      <c r="F89" s="14"/>
      <c r="K89" s="7"/>
    </row>
    <row r="90" spans="1:11" ht="13">
      <c r="A90" s="109">
        <f t="shared" si="1"/>
        <v>81</v>
      </c>
      <c r="B90" s="14"/>
      <c r="C90" s="14"/>
      <c r="D90" s="63"/>
      <c r="E90" s="14"/>
      <c r="F90" s="14"/>
      <c r="K90" s="7"/>
    </row>
    <row r="91" spans="1:11" ht="13">
      <c r="A91" s="109">
        <f t="shared" si="1"/>
        <v>82</v>
      </c>
      <c r="B91" s="14"/>
      <c r="C91" s="79" t="s">
        <v>354</v>
      </c>
      <c r="D91" s="63">
        <f>D86+D88+D89</f>
        <v>111283192.67208581</v>
      </c>
      <c r="E91" s="46" t="str">
        <f>"Line "&amp;A86&amp;" + Line "&amp;A88&amp;" + Line "&amp;A89&amp;""</f>
        <v>Line 77 + Line 79 + Line 80</v>
      </c>
      <c r="F91" s="14"/>
      <c r="K91" s="7"/>
    </row>
  </sheetData>
  <phoneticPr fontId="23" type="noConversion"/>
  <pageMargins left="0.75" right="0.75" top="1" bottom="1" header="0.5" footer="0.5"/>
  <pageSetup scale="75" orientation="portrait" cellComments="asDisplayed" r:id="rId1"/>
  <headerFooter alignWithMargins="0">
    <oddHeader>&amp;CSchedule 2
Incremental Forecast Period TRR
&amp;RTO2022 Draft Annual Update 
Attachment 1</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zoomScaleNormal="100" zoomScalePageLayoutView="70" workbookViewId="0"/>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5.453125" customWidth="1"/>
    <col min="13" max="16" width="12.54296875" customWidth="1"/>
  </cols>
  <sheetData>
    <row r="1" spans="1:12" ht="13">
      <c r="A1" s="1" t="s">
        <v>1666</v>
      </c>
      <c r="B1" s="227"/>
      <c r="C1" s="227"/>
      <c r="D1" s="227"/>
      <c r="E1" s="227"/>
      <c r="F1" s="227"/>
      <c r="G1" s="227"/>
      <c r="H1" s="227"/>
      <c r="I1" s="227"/>
      <c r="J1" s="227"/>
      <c r="K1" s="227"/>
      <c r="L1" s="227"/>
    </row>
    <row r="2" spans="1:12">
      <c r="A2" s="227"/>
      <c r="B2" s="227"/>
      <c r="C2" s="227"/>
      <c r="D2" s="227"/>
      <c r="E2" s="227"/>
      <c r="F2" s="227"/>
      <c r="G2" s="227"/>
      <c r="H2" s="227"/>
      <c r="I2" s="227"/>
      <c r="J2" s="227"/>
      <c r="K2" s="227"/>
      <c r="L2" s="227"/>
    </row>
    <row r="3" spans="1:12" ht="13">
      <c r="A3" s="227"/>
      <c r="B3" s="1" t="s">
        <v>488</v>
      </c>
      <c r="C3" s="227"/>
      <c r="D3" s="227"/>
      <c r="E3" s="227"/>
      <c r="F3" s="227"/>
      <c r="G3" s="227"/>
      <c r="H3" s="227"/>
      <c r="I3" s="227"/>
      <c r="J3" s="227"/>
      <c r="K3" s="227"/>
      <c r="L3" s="227"/>
    </row>
    <row r="4" spans="1:12">
      <c r="A4" s="227"/>
      <c r="B4" s="467" t="s">
        <v>2239</v>
      </c>
      <c r="C4" s="227"/>
      <c r="D4" s="227"/>
      <c r="E4" s="227"/>
      <c r="F4" s="227"/>
      <c r="G4" s="227"/>
      <c r="H4" s="227"/>
      <c r="I4" s="227"/>
      <c r="J4" s="227"/>
      <c r="K4" s="227"/>
      <c r="L4" s="227"/>
    </row>
    <row r="5" spans="1:12">
      <c r="A5" s="227"/>
      <c r="B5" s="13" t="s">
        <v>1477</v>
      </c>
      <c r="C5" s="227"/>
      <c r="D5" s="227"/>
      <c r="E5" s="227"/>
      <c r="F5" s="227"/>
      <c r="G5" s="227"/>
      <c r="H5" s="227"/>
      <c r="I5" s="227"/>
      <c r="J5" s="227"/>
      <c r="K5" s="227"/>
      <c r="L5" s="227"/>
    </row>
    <row r="6" spans="1:12">
      <c r="A6" s="227"/>
      <c r="B6" s="467" t="s">
        <v>1050</v>
      </c>
      <c r="C6" s="227"/>
      <c r="D6" s="227"/>
      <c r="E6" s="227"/>
      <c r="F6" s="227"/>
      <c r="G6" s="227"/>
      <c r="H6" s="227"/>
      <c r="I6" s="227"/>
      <c r="J6" s="227"/>
      <c r="K6" s="227"/>
      <c r="L6" s="227"/>
    </row>
    <row r="7" spans="1:12">
      <c r="A7" s="227"/>
      <c r="B7" s="467" t="str">
        <f>"d) Include previous Annual Update Cumulative Excess or Shortfall in Prior Year (from Previous Annual Update Line "&amp;A36&amp;")"</f>
        <v>d) Include previous Annual Update Cumulative Excess or Shortfall in Prior Year (from Previous Annual Update Line 23)</v>
      </c>
      <c r="C7" s="227"/>
      <c r="D7" s="227"/>
      <c r="E7" s="227"/>
      <c r="F7" s="227"/>
      <c r="G7" s="227"/>
      <c r="H7" s="227"/>
      <c r="I7" s="227"/>
      <c r="J7" s="227"/>
      <c r="K7" s="227"/>
      <c r="L7" s="227"/>
    </row>
    <row r="8" spans="1:12">
      <c r="A8" s="227"/>
      <c r="B8" s="1035" t="str">
        <f>"and any One-Time Adjustments in Column 4 (Lines "&amp;A24&amp;" and "&amp;A25&amp;" respectively)."</f>
        <v>and any One-Time Adjustments in Column 4 (Lines 11 and 12 respectively).</v>
      </c>
      <c r="C8" s="227"/>
      <c r="D8" s="227"/>
      <c r="E8" s="227"/>
      <c r="F8" s="227"/>
      <c r="G8" s="227"/>
      <c r="H8" s="227"/>
      <c r="I8" s="227"/>
      <c r="J8" s="227"/>
      <c r="K8" s="227"/>
      <c r="L8" s="227"/>
    </row>
    <row r="9" spans="1:12">
      <c r="A9" s="227"/>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27"/>
      <c r="D9" s="227"/>
      <c r="E9" s="227"/>
      <c r="F9" s="227"/>
      <c r="G9" s="227"/>
      <c r="H9" s="227"/>
      <c r="I9" s="227"/>
      <c r="J9" s="227"/>
      <c r="K9" s="227"/>
      <c r="L9" s="227"/>
    </row>
    <row r="10" spans="1:12">
      <c r="A10" s="227"/>
      <c r="B10" s="227"/>
      <c r="C10" s="227"/>
      <c r="D10" s="227"/>
      <c r="E10" s="227"/>
      <c r="F10" s="227"/>
      <c r="G10" s="227"/>
      <c r="H10" s="227"/>
      <c r="I10" s="227"/>
      <c r="J10" s="227"/>
      <c r="K10" s="227"/>
      <c r="L10" s="227"/>
    </row>
    <row r="11" spans="1:12" ht="13">
      <c r="A11" s="2"/>
      <c r="B11" s="83" t="s">
        <v>1478</v>
      </c>
      <c r="C11" s="227"/>
      <c r="D11" s="228"/>
      <c r="E11" s="229"/>
      <c r="F11" s="227"/>
      <c r="G11" s="227"/>
      <c r="H11" s="227"/>
      <c r="I11" s="227"/>
      <c r="J11" s="227"/>
      <c r="K11" s="100"/>
      <c r="L11" s="227"/>
    </row>
    <row r="12" spans="1:12" s="14" customFormat="1" ht="13">
      <c r="A12" s="109"/>
      <c r="B12" s="907" t="s">
        <v>2240</v>
      </c>
      <c r="C12" s="235"/>
      <c r="D12" s="858"/>
      <c r="E12" s="231"/>
      <c r="F12" s="235"/>
      <c r="G12" s="235"/>
      <c r="H12" s="235"/>
      <c r="I12" s="235"/>
      <c r="J12" s="235"/>
      <c r="K12" s="235"/>
      <c r="L12" s="235"/>
    </row>
    <row r="13" spans="1:12" ht="13">
      <c r="A13" s="53" t="s">
        <v>329</v>
      </c>
      <c r="B13" s="227"/>
      <c r="C13" s="83"/>
      <c r="D13" s="228"/>
      <c r="E13" s="229"/>
      <c r="F13" s="3"/>
      <c r="G13" s="227"/>
      <c r="H13" s="227"/>
      <c r="I13" s="227"/>
      <c r="J13" s="227"/>
      <c r="K13" s="227"/>
      <c r="L13" s="227"/>
    </row>
    <row r="14" spans="1:12" ht="13">
      <c r="A14" s="2">
        <f>A7+1</f>
        <v>1</v>
      </c>
      <c r="B14" s="227"/>
      <c r="C14" s="227"/>
      <c r="D14" s="484" t="s">
        <v>1476</v>
      </c>
      <c r="E14" s="231">
        <f>'4-TUTRR'!E73</f>
        <v>1236209077.4122136</v>
      </c>
      <c r="F14" s="485" t="s">
        <v>1767</v>
      </c>
      <c r="G14" s="235"/>
      <c r="H14" s="227" t="str">
        <f>"Line "&amp;'4-TUTRR'!A73&amp;""</f>
        <v>Line 46</v>
      </c>
      <c r="I14" s="235"/>
      <c r="J14" s="227"/>
      <c r="K14" s="227"/>
      <c r="L14" s="227"/>
    </row>
    <row r="15" spans="1:12" ht="13">
      <c r="A15" s="2">
        <f>A14+1</f>
        <v>2</v>
      </c>
      <c r="B15" s="83"/>
      <c r="C15" s="227"/>
      <c r="D15" s="227"/>
      <c r="E15" s="227"/>
      <c r="F15" s="227"/>
      <c r="G15" s="227"/>
      <c r="H15" s="229"/>
      <c r="I15" s="227"/>
      <c r="J15" s="227"/>
      <c r="K15" s="227"/>
      <c r="L15" s="227"/>
    </row>
    <row r="16" spans="1:12" ht="13">
      <c r="A16" s="2">
        <f t="shared" ref="A16:A50" si="0">A15+1</f>
        <v>3</v>
      </c>
      <c r="B16" s="227"/>
      <c r="C16" s="227"/>
      <c r="D16" s="84" t="s">
        <v>358</v>
      </c>
      <c r="E16" s="84" t="s">
        <v>342</v>
      </c>
      <c r="F16" s="84" t="s">
        <v>343</v>
      </c>
      <c r="G16" s="84" t="s">
        <v>344</v>
      </c>
      <c r="H16" s="84" t="s">
        <v>345</v>
      </c>
      <c r="I16" s="84" t="s">
        <v>346</v>
      </c>
      <c r="J16" s="84" t="s">
        <v>347</v>
      </c>
      <c r="K16" s="84" t="s">
        <v>534</v>
      </c>
      <c r="L16" s="84" t="s">
        <v>949</v>
      </c>
    </row>
    <row r="17" spans="1:12" ht="13">
      <c r="A17" s="2">
        <f t="shared" si="0"/>
        <v>4</v>
      </c>
      <c r="B17" s="227"/>
      <c r="C17" s="228" t="s">
        <v>950</v>
      </c>
      <c r="D17" s="84"/>
      <c r="E17" s="87" t="s">
        <v>211</v>
      </c>
      <c r="F17" s="87" t="s">
        <v>281</v>
      </c>
      <c r="G17" s="87" t="s">
        <v>951</v>
      </c>
      <c r="H17" s="95" t="s">
        <v>524</v>
      </c>
      <c r="I17" s="87" t="s">
        <v>952</v>
      </c>
      <c r="J17" s="87" t="s">
        <v>522</v>
      </c>
      <c r="K17" s="87" t="s">
        <v>523</v>
      </c>
      <c r="L17" s="95" t="s">
        <v>953</v>
      </c>
    </row>
    <row r="18" spans="1:12" ht="13">
      <c r="A18" s="2">
        <f t="shared" si="0"/>
        <v>5</v>
      </c>
      <c r="B18" s="227"/>
      <c r="C18" s="227"/>
      <c r="D18" s="84"/>
      <c r="G18" s="4" t="s">
        <v>2241</v>
      </c>
      <c r="I18" s="84"/>
      <c r="J18" s="2" t="s">
        <v>204</v>
      </c>
      <c r="K18" s="84"/>
      <c r="L18" s="84"/>
    </row>
    <row r="19" spans="1:12" ht="13">
      <c r="A19" s="2">
        <f t="shared" si="0"/>
        <v>6</v>
      </c>
      <c r="B19" s="227"/>
      <c r="C19" s="227"/>
      <c r="D19" s="84"/>
      <c r="G19" s="443" t="s">
        <v>2242</v>
      </c>
      <c r="I19" s="227"/>
      <c r="J19" s="2" t="s">
        <v>30</v>
      </c>
      <c r="K19" s="227"/>
      <c r="L19" s="2" t="s">
        <v>204</v>
      </c>
    </row>
    <row r="20" spans="1:12" ht="13">
      <c r="A20" s="2">
        <f t="shared" si="0"/>
        <v>7</v>
      </c>
      <c r="B20" s="227"/>
      <c r="C20" s="227"/>
      <c r="D20" s="84"/>
      <c r="F20" s="2" t="s">
        <v>501</v>
      </c>
      <c r="G20" s="549" t="s">
        <v>2243</v>
      </c>
      <c r="H20" s="2" t="s">
        <v>19</v>
      </c>
      <c r="I20" s="227"/>
      <c r="J20" s="2" t="s">
        <v>31</v>
      </c>
      <c r="K20" s="227"/>
      <c r="L20" s="2" t="s">
        <v>30</v>
      </c>
    </row>
    <row r="21" spans="1:12" ht="13">
      <c r="A21" s="2">
        <f t="shared" si="0"/>
        <v>8</v>
      </c>
      <c r="B21" s="227"/>
      <c r="C21" s="227"/>
      <c r="D21" s="2"/>
      <c r="E21" s="2" t="s">
        <v>19</v>
      </c>
      <c r="F21" s="2" t="s">
        <v>520</v>
      </c>
      <c r="G21" s="549" t="s">
        <v>2244</v>
      </c>
      <c r="H21" s="2" t="s">
        <v>30</v>
      </c>
      <c r="I21" s="2" t="s">
        <v>19</v>
      </c>
      <c r="J21" s="2" t="s">
        <v>22</v>
      </c>
      <c r="K21" s="230" t="s">
        <v>23</v>
      </c>
      <c r="L21" s="2" t="s">
        <v>31</v>
      </c>
    </row>
    <row r="22" spans="1:12" ht="13">
      <c r="A22" s="2">
        <f t="shared" si="0"/>
        <v>9</v>
      </c>
      <c r="B22" s="227"/>
      <c r="C22" s="227"/>
      <c r="D22" s="2"/>
      <c r="E22" s="2" t="s">
        <v>279</v>
      </c>
      <c r="F22" s="2" t="s">
        <v>306</v>
      </c>
      <c r="G22" s="549" t="s">
        <v>954</v>
      </c>
      <c r="H22" s="2" t="s">
        <v>31</v>
      </c>
      <c r="I22" s="2" t="s">
        <v>23</v>
      </c>
      <c r="J22" s="2" t="s">
        <v>1051</v>
      </c>
      <c r="K22" s="2" t="s">
        <v>1052</v>
      </c>
      <c r="L22" s="2" t="s">
        <v>22</v>
      </c>
    </row>
    <row r="23" spans="1:12" s="14" customFormat="1" ht="13">
      <c r="A23" s="109">
        <f t="shared" si="0"/>
        <v>10</v>
      </c>
      <c r="B23" s="235"/>
      <c r="C23" s="29" t="s">
        <v>192</v>
      </c>
      <c r="D23" s="29" t="s">
        <v>193</v>
      </c>
      <c r="E23" s="122" t="s">
        <v>955</v>
      </c>
      <c r="F23" s="122" t="s">
        <v>21</v>
      </c>
      <c r="G23" s="122" t="s">
        <v>2245</v>
      </c>
      <c r="H23" s="122" t="s">
        <v>22</v>
      </c>
      <c r="I23" s="122" t="s">
        <v>13</v>
      </c>
      <c r="J23" s="122" t="s">
        <v>1053</v>
      </c>
      <c r="K23" s="122" t="s">
        <v>192</v>
      </c>
      <c r="L23" s="122" t="s">
        <v>956</v>
      </c>
    </row>
    <row r="24" spans="1:12" s="955" customFormat="1" ht="13">
      <c r="A24" s="549">
        <f>A23+1</f>
        <v>11</v>
      </c>
      <c r="B24" s="227"/>
      <c r="C24" s="494" t="s">
        <v>180</v>
      </c>
      <c r="D24" s="1442">
        <v>2019</v>
      </c>
      <c r="E24" s="234" t="s">
        <v>76</v>
      </c>
      <c r="F24" s="234" t="s">
        <v>76</v>
      </c>
      <c r="G24" s="988">
        <v>-238388403.24230579</v>
      </c>
      <c r="H24" s="229">
        <f>G24</f>
        <v>-238388403.24230579</v>
      </c>
      <c r="I24" s="234" t="s">
        <v>76</v>
      </c>
      <c r="J24" s="233">
        <f>H24</f>
        <v>-238388403.24230579</v>
      </c>
      <c r="K24" s="234" t="s">
        <v>76</v>
      </c>
      <c r="L24" s="1027">
        <f>J24</f>
        <v>-238388403.24230579</v>
      </c>
    </row>
    <row r="25" spans="1:12" ht="13">
      <c r="A25" s="549">
        <f t="shared" ref="A25:A36" si="1">A24+1</f>
        <v>12</v>
      </c>
      <c r="B25" s="227"/>
      <c r="C25" s="20" t="s">
        <v>181</v>
      </c>
      <c r="D25" s="1442">
        <v>2020</v>
      </c>
      <c r="E25" s="231">
        <f>$E$14/12</f>
        <v>103017423.11768447</v>
      </c>
      <c r="F25" s="1416">
        <f>C77</f>
        <v>83435001.659999996</v>
      </c>
      <c r="G25" s="1421">
        <v>9974381.0114516839</v>
      </c>
      <c r="H25" s="231">
        <f>E25-F25+G25</f>
        <v>29556802.469136156</v>
      </c>
      <c r="I25" s="1372">
        <v>4.1000000000000003E-3</v>
      </c>
      <c r="J25" s="1423">
        <f>L24+H25</f>
        <v>-208831600.77316964</v>
      </c>
      <c r="K25" s="1423">
        <f>((L24+J25)/2)*I25</f>
        <v>-916801.00823172461</v>
      </c>
      <c r="L25" s="1423">
        <f>J25+K25</f>
        <v>-209748401.78140137</v>
      </c>
    </row>
    <row r="26" spans="1:12" ht="13">
      <c r="A26" s="549">
        <f t="shared" si="1"/>
        <v>13</v>
      </c>
      <c r="B26" s="227"/>
      <c r="C26" s="21" t="s">
        <v>182</v>
      </c>
      <c r="D26" s="1442">
        <v>2020</v>
      </c>
      <c r="E26" s="231">
        <f>$E$14/12</f>
        <v>103017423.11768447</v>
      </c>
      <c r="F26" s="231">
        <f t="shared" ref="F26:F36" si="2">C78</f>
        <v>50821205.640000001</v>
      </c>
      <c r="G26" s="358"/>
      <c r="H26" s="231">
        <f t="shared" ref="H26:H35" si="3">E26-F26+G26</f>
        <v>52196217.477684468</v>
      </c>
      <c r="I26" s="1372">
        <v>4.1000000000000003E-3</v>
      </c>
      <c r="J26" s="1423">
        <f>L25+H26</f>
        <v>-157552184.3037169</v>
      </c>
      <c r="K26" s="1423">
        <f>((L25+J26)/2)*I26</f>
        <v>-752966.20147449255</v>
      </c>
      <c r="L26" s="1423">
        <f t="shared" ref="L26:L35" si="4">J26+K26</f>
        <v>-158305150.50519139</v>
      </c>
    </row>
    <row r="27" spans="1:12" ht="13">
      <c r="A27" s="549">
        <f t="shared" si="1"/>
        <v>14</v>
      </c>
      <c r="B27" s="227"/>
      <c r="C27" s="21" t="s">
        <v>195</v>
      </c>
      <c r="D27" s="1442">
        <v>2020</v>
      </c>
      <c r="E27" s="231">
        <f t="shared" ref="E27:E36" si="5">$E$14/12</f>
        <v>103017423.11768447</v>
      </c>
      <c r="F27" s="231">
        <f t="shared" si="2"/>
        <v>75625059.620000005</v>
      </c>
      <c r="G27" s="358"/>
      <c r="H27" s="231">
        <f t="shared" si="3"/>
        <v>27392363.497684464</v>
      </c>
      <c r="I27" s="1372">
        <v>4.1000000000000003E-3</v>
      </c>
      <c r="J27" s="1423">
        <f t="shared" ref="J27:J35" si="6">L26+H27</f>
        <v>-130912787.00750692</v>
      </c>
      <c r="K27" s="1423">
        <f t="shared" ref="K27:K36" si="7">((L26+J27)/2)*I27</f>
        <v>-592896.77190103161</v>
      </c>
      <c r="L27" s="1423">
        <f t="shared" si="4"/>
        <v>-131505683.77940795</v>
      </c>
    </row>
    <row r="28" spans="1:12" ht="13">
      <c r="A28" s="549">
        <f t="shared" si="1"/>
        <v>15</v>
      </c>
      <c r="B28" s="227"/>
      <c r="C28" s="20" t="s">
        <v>183</v>
      </c>
      <c r="D28" s="1442">
        <v>2020</v>
      </c>
      <c r="E28" s="231">
        <f t="shared" si="5"/>
        <v>103017423.11768447</v>
      </c>
      <c r="F28" s="231">
        <f t="shared" si="2"/>
        <v>65258290.909999996</v>
      </c>
      <c r="G28" s="358"/>
      <c r="H28" s="231">
        <f t="shared" si="3"/>
        <v>37759132.207684472</v>
      </c>
      <c r="I28" s="1372">
        <v>4.0000000000000001E-3</v>
      </c>
      <c r="J28" s="1423">
        <f t="shared" si="6"/>
        <v>-93746551.571723476</v>
      </c>
      <c r="K28" s="1423">
        <f t="shared" si="7"/>
        <v>-450504.47070226289</v>
      </c>
      <c r="L28" s="1423">
        <f t="shared" si="4"/>
        <v>-94197056.042425737</v>
      </c>
    </row>
    <row r="29" spans="1:12" ht="13">
      <c r="A29" s="549">
        <f t="shared" si="1"/>
        <v>16</v>
      </c>
      <c r="B29" s="227"/>
      <c r="C29" s="21" t="s">
        <v>184</v>
      </c>
      <c r="D29" s="1442">
        <v>2020</v>
      </c>
      <c r="E29" s="231">
        <f t="shared" si="5"/>
        <v>103017423.11768447</v>
      </c>
      <c r="F29" s="231">
        <f t="shared" si="2"/>
        <v>78262572.730000004</v>
      </c>
      <c r="G29" s="358"/>
      <c r="H29" s="231">
        <f t="shared" si="3"/>
        <v>24754850.387684464</v>
      </c>
      <c r="I29" s="1372">
        <v>4.0000000000000001E-3</v>
      </c>
      <c r="J29" s="1423">
        <f t="shared" si="6"/>
        <v>-69442205.654741272</v>
      </c>
      <c r="K29" s="1423">
        <f t="shared" si="7"/>
        <v>-327278.52339433401</v>
      </c>
      <c r="L29" s="1423">
        <f t="shared" si="4"/>
        <v>-69769484.178135604</v>
      </c>
    </row>
    <row r="30" spans="1:12" ht="13">
      <c r="A30" s="549">
        <f t="shared" si="1"/>
        <v>17</v>
      </c>
      <c r="B30" s="227"/>
      <c r="C30" s="21" t="s">
        <v>185</v>
      </c>
      <c r="D30" s="1442">
        <v>2020</v>
      </c>
      <c r="E30" s="231">
        <f t="shared" si="5"/>
        <v>103017423.11768447</v>
      </c>
      <c r="F30" s="231">
        <f t="shared" si="2"/>
        <v>88567647.340000004</v>
      </c>
      <c r="G30" s="358"/>
      <c r="H30" s="231">
        <f t="shared" si="3"/>
        <v>14449775.777684465</v>
      </c>
      <c r="I30" s="1372">
        <v>4.0000000000000001E-3</v>
      </c>
      <c r="J30" s="1423">
        <f t="shared" si="6"/>
        <v>-55319708.400451139</v>
      </c>
      <c r="K30" s="1423">
        <f t="shared" si="7"/>
        <v>-250178.3851571735</v>
      </c>
      <c r="L30" s="1423">
        <f t="shared" si="4"/>
        <v>-55569886.785608314</v>
      </c>
    </row>
    <row r="31" spans="1:12" ht="13">
      <c r="A31" s="549">
        <f t="shared" si="1"/>
        <v>18</v>
      </c>
      <c r="B31" s="227"/>
      <c r="C31" s="20" t="s">
        <v>186</v>
      </c>
      <c r="D31" s="1442">
        <v>2020</v>
      </c>
      <c r="E31" s="231">
        <f t="shared" si="5"/>
        <v>103017423.11768447</v>
      </c>
      <c r="F31" s="231">
        <f t="shared" si="2"/>
        <v>112223450.8</v>
      </c>
      <c r="G31" s="358"/>
      <c r="H31" s="231">
        <f t="shared" si="3"/>
        <v>-9206027.6823155284</v>
      </c>
      <c r="I31" s="1372">
        <v>2.8999999999999998E-3</v>
      </c>
      <c r="J31" s="1423">
        <f t="shared" si="6"/>
        <v>-64775914.467923842</v>
      </c>
      <c r="K31" s="1423">
        <f t="shared" si="7"/>
        <v>-174501.41181762161</v>
      </c>
      <c r="L31" s="1423">
        <f t="shared" si="4"/>
        <v>-64950415.879741468</v>
      </c>
    </row>
    <row r="32" spans="1:12" ht="13">
      <c r="A32" s="549">
        <f t="shared" si="1"/>
        <v>19</v>
      </c>
      <c r="B32" s="227"/>
      <c r="C32" s="21" t="s">
        <v>187</v>
      </c>
      <c r="D32" s="1442">
        <v>2020</v>
      </c>
      <c r="E32" s="231">
        <f t="shared" si="5"/>
        <v>103017423.11768447</v>
      </c>
      <c r="F32" s="231">
        <f t="shared" si="2"/>
        <v>92859068.230000004</v>
      </c>
      <c r="G32" s="358"/>
      <c r="H32" s="231">
        <f t="shared" si="3"/>
        <v>10158354.887684464</v>
      </c>
      <c r="I32" s="1372">
        <v>2.8999999999999998E-3</v>
      </c>
      <c r="J32" s="1423">
        <f t="shared" si="6"/>
        <v>-54792060.992057003</v>
      </c>
      <c r="K32" s="1423">
        <f t="shared" si="7"/>
        <v>-173626.59146410777</v>
      </c>
      <c r="L32" s="1423">
        <f t="shared" si="4"/>
        <v>-54965687.583521113</v>
      </c>
    </row>
    <row r="33" spans="1:12" ht="13">
      <c r="A33" s="549">
        <f t="shared" si="1"/>
        <v>20</v>
      </c>
      <c r="B33" s="227"/>
      <c r="C33" s="21" t="s">
        <v>188</v>
      </c>
      <c r="D33" s="1442">
        <v>2020</v>
      </c>
      <c r="E33" s="231">
        <f t="shared" si="5"/>
        <v>103017423.11768447</v>
      </c>
      <c r="F33" s="231">
        <f t="shared" si="2"/>
        <v>83794301.299999997</v>
      </c>
      <c r="G33" s="358"/>
      <c r="H33" s="231">
        <f t="shared" si="3"/>
        <v>19223121.817684472</v>
      </c>
      <c r="I33" s="1372">
        <v>2.8999999999999998E-3</v>
      </c>
      <c r="J33" s="1423">
        <f t="shared" si="6"/>
        <v>-35742565.765836641</v>
      </c>
      <c r="K33" s="1423">
        <f t="shared" si="7"/>
        <v>-131526.96735656873</v>
      </c>
      <c r="L33" s="1423">
        <f t="shared" si="4"/>
        <v>-35874092.733193211</v>
      </c>
    </row>
    <row r="34" spans="1:12" ht="13">
      <c r="A34" s="549">
        <f t="shared" si="1"/>
        <v>21</v>
      </c>
      <c r="B34" s="227"/>
      <c r="C34" s="20" t="s">
        <v>191</v>
      </c>
      <c r="D34" s="1442">
        <v>2020</v>
      </c>
      <c r="E34" s="231">
        <f t="shared" si="5"/>
        <v>103017423.11768447</v>
      </c>
      <c r="F34" s="231">
        <f t="shared" si="2"/>
        <v>94827371.109999999</v>
      </c>
      <c r="G34" s="358"/>
      <c r="H34" s="231">
        <f t="shared" si="3"/>
        <v>8190052.0076844692</v>
      </c>
      <c r="I34" s="1372">
        <v>2.7000000000000001E-3</v>
      </c>
      <c r="J34" s="1423">
        <f t="shared" si="6"/>
        <v>-27684040.725508742</v>
      </c>
      <c r="K34" s="1423">
        <f t="shared" si="7"/>
        <v>-85803.480169247647</v>
      </c>
      <c r="L34" s="1423">
        <f t="shared" si="4"/>
        <v>-27769844.20567799</v>
      </c>
    </row>
    <row r="35" spans="1:12" ht="13">
      <c r="A35" s="549">
        <f t="shared" si="1"/>
        <v>22</v>
      </c>
      <c r="B35" s="227"/>
      <c r="C35" s="20" t="s">
        <v>190</v>
      </c>
      <c r="D35" s="1442">
        <v>2020</v>
      </c>
      <c r="E35" s="231">
        <f t="shared" si="5"/>
        <v>103017423.11768447</v>
      </c>
      <c r="F35" s="231">
        <f t="shared" si="2"/>
        <v>50886192.009999998</v>
      </c>
      <c r="G35" s="358"/>
      <c r="H35" s="231">
        <f t="shared" si="3"/>
        <v>52131231.107684471</v>
      </c>
      <c r="I35" s="1372">
        <v>2.7000000000000001E-3</v>
      </c>
      <c r="J35" s="1423">
        <f t="shared" si="6"/>
        <v>24361386.902006481</v>
      </c>
      <c r="K35" s="1423">
        <f t="shared" si="7"/>
        <v>-4601.4173599565374</v>
      </c>
      <c r="L35" s="1423">
        <f t="shared" si="4"/>
        <v>24356785.484646525</v>
      </c>
    </row>
    <row r="36" spans="1:12" ht="13">
      <c r="A36" s="549">
        <f t="shared" si="1"/>
        <v>23</v>
      </c>
      <c r="B36" s="227"/>
      <c r="C36" s="21" t="s">
        <v>180</v>
      </c>
      <c r="D36" s="1442">
        <v>2020</v>
      </c>
      <c r="E36" s="231">
        <f t="shared" si="5"/>
        <v>103017423.11768447</v>
      </c>
      <c r="F36" s="231">
        <f t="shared" si="2"/>
        <v>92160892.420000002</v>
      </c>
      <c r="G36" s="1422"/>
      <c r="H36" s="231">
        <f>E36-F36+G36</f>
        <v>10856530.697684467</v>
      </c>
      <c r="I36" s="1372">
        <v>2.7000000000000001E-3</v>
      </c>
      <c r="J36" s="1423">
        <f>L35+H36</f>
        <v>35213316.182330996</v>
      </c>
      <c r="K36" s="1423">
        <f t="shared" si="7"/>
        <v>80419.637250419662</v>
      </c>
      <c r="L36" s="1423">
        <f>J36+K36</f>
        <v>35293735.819581412</v>
      </c>
    </row>
    <row r="37" spans="1:12" ht="13">
      <c r="A37" s="109"/>
      <c r="B37" s="227"/>
      <c r="C37" s="21"/>
      <c r="D37" s="24"/>
      <c r="E37" s="227"/>
      <c r="F37" s="239"/>
      <c r="G37" s="231"/>
      <c r="H37" s="370"/>
      <c r="I37" s="227"/>
      <c r="J37" s="227"/>
      <c r="K37" s="227"/>
      <c r="L37" s="227"/>
    </row>
    <row r="38" spans="1:12" s="14" customFormat="1" ht="13">
      <c r="A38" s="109">
        <f>A36+1</f>
        <v>24</v>
      </c>
      <c r="B38" s="44" t="s">
        <v>2675</v>
      </c>
      <c r="C38" s="21"/>
      <c r="D38" s="24"/>
      <c r="E38" s="235"/>
      <c r="F38" s="462"/>
      <c r="G38" s="231"/>
      <c r="H38" s="876"/>
      <c r="I38" s="235"/>
      <c r="J38" s="235"/>
      <c r="K38" s="235"/>
      <c r="L38" s="235"/>
    </row>
    <row r="39" spans="1:12" ht="13">
      <c r="A39" s="109">
        <f t="shared" si="0"/>
        <v>25</v>
      </c>
      <c r="B39" s="1"/>
      <c r="C39" s="21"/>
      <c r="D39" s="24"/>
      <c r="E39" s="227"/>
      <c r="F39" s="491" t="s">
        <v>230</v>
      </c>
      <c r="G39" s="231"/>
      <c r="H39" s="239"/>
      <c r="I39" s="227"/>
      <c r="J39" s="227"/>
      <c r="K39" s="227"/>
      <c r="L39" s="227"/>
    </row>
    <row r="40" spans="1:12" ht="13">
      <c r="A40" s="109">
        <f t="shared" si="0"/>
        <v>26</v>
      </c>
      <c r="B40" s="227"/>
      <c r="C40" s="21"/>
      <c r="D40" s="228" t="s">
        <v>1056</v>
      </c>
      <c r="E40" s="231">
        <f>L36</f>
        <v>35293735.819581412</v>
      </c>
      <c r="F40" s="462" t="str">
        <f>"Line "&amp;A36&amp;", Column 9"</f>
        <v>Line 23, Column 9</v>
      </c>
      <c r="G40" s="236"/>
      <c r="H40" s="239"/>
      <c r="I40" s="227"/>
      <c r="J40" s="227"/>
      <c r="K40" s="227"/>
      <c r="L40" s="227"/>
    </row>
    <row r="41" spans="1:12" s="955" customFormat="1" ht="13">
      <c r="A41" s="109">
        <f t="shared" si="0"/>
        <v>27</v>
      </c>
      <c r="B41" s="227"/>
      <c r="C41" s="21"/>
      <c r="D41" s="461" t="s">
        <v>2246</v>
      </c>
      <c r="E41" s="978">
        <v>-58566195.467823118</v>
      </c>
      <c r="F41" s="462" t="str">
        <f>"Previous Annual Update Schedule 3, Line "&amp;A44&amp;""</f>
        <v>Previous Annual Update Schedule 3, Line 30</v>
      </c>
      <c r="G41" s="236"/>
      <c r="H41" s="876"/>
      <c r="J41" s="228" t="s">
        <v>2414</v>
      </c>
      <c r="K41" s="958" t="s">
        <v>2815</v>
      </c>
      <c r="L41" s="958"/>
    </row>
    <row r="42" spans="1:12" s="955" customFormat="1" ht="13">
      <c r="A42" s="109">
        <f t="shared" si="0"/>
        <v>28</v>
      </c>
      <c r="B42" s="227"/>
      <c r="C42" s="21"/>
      <c r="D42" s="461" t="s">
        <v>2247</v>
      </c>
      <c r="E42" s="1419">
        <f>E40-E41</f>
        <v>93859931.287404537</v>
      </c>
      <c r="F42" s="462" t="str">
        <f>"Line "&amp;A40&amp;" - Line "&amp;A41&amp;""</f>
        <v>Line 26 - Line 27</v>
      </c>
      <c r="G42" s="236"/>
      <c r="H42" s="239"/>
      <c r="J42" s="462"/>
      <c r="K42" s="958"/>
      <c r="L42" s="958"/>
    </row>
    <row r="43" spans="1:12" s="955" customFormat="1" ht="14">
      <c r="A43" s="109">
        <f t="shared" si="0"/>
        <v>29</v>
      </c>
      <c r="B43" s="227"/>
      <c r="C43" s="21"/>
      <c r="D43" s="461" t="s">
        <v>2248</v>
      </c>
      <c r="E43" s="1424">
        <f>E42*I36*18</f>
        <v>4561592.6605678611</v>
      </c>
      <c r="F43" s="462" t="str">
        <f>"Line "&amp;A42&amp;" * (Line "&amp;A36&amp;", Column 6) * 18 months"</f>
        <v>Line 28 * (Line 23, Column 6) * 18 months</v>
      </c>
      <c r="G43" s="236"/>
      <c r="H43" s="876"/>
      <c r="I43" s="462"/>
      <c r="J43" s="227"/>
      <c r="K43" s="227"/>
      <c r="L43" s="227"/>
    </row>
    <row r="44" spans="1:12" s="14" customFormat="1" ht="13">
      <c r="A44" s="109">
        <f t="shared" si="0"/>
        <v>30</v>
      </c>
      <c r="B44" s="235"/>
      <c r="C44" s="21"/>
      <c r="D44" s="85" t="s">
        <v>32</v>
      </c>
      <c r="E44" s="231">
        <f>E42+E43</f>
        <v>98421523.947972402</v>
      </c>
      <c r="F44" s="1028" t="str">
        <f>"Line "&amp;A42&amp;" + Line "&amp;A43&amp;".  Positive amount is to be collected by SCE (included in Base TRR as a positive amount)."</f>
        <v>Line 28 + Line 29.  Positive amount is to be collected by SCE (included in Base TRR as a positive amount).</v>
      </c>
      <c r="G44" s="236"/>
      <c r="H44" s="876"/>
      <c r="I44" s="235"/>
      <c r="J44" s="235"/>
      <c r="K44" s="235"/>
      <c r="L44" s="235"/>
    </row>
    <row r="45" spans="1:12" ht="13">
      <c r="A45" s="109">
        <f t="shared" si="0"/>
        <v>31</v>
      </c>
      <c r="B45" s="227"/>
      <c r="C45" s="227"/>
      <c r="D45" s="227"/>
      <c r="E45" s="227"/>
      <c r="F45" s="490" t="s">
        <v>1524</v>
      </c>
      <c r="G45" s="227"/>
      <c r="H45" s="227"/>
      <c r="I45" s="227"/>
      <c r="J45" s="227"/>
      <c r="K45" s="227"/>
      <c r="L45" s="227"/>
    </row>
    <row r="46" spans="1:12" ht="13">
      <c r="A46" s="109">
        <f t="shared" si="0"/>
        <v>32</v>
      </c>
      <c r="B46" s="1" t="s">
        <v>2676</v>
      </c>
      <c r="C46" s="227"/>
      <c r="D46" s="227"/>
      <c r="E46" s="227"/>
      <c r="F46" s="241"/>
      <c r="G46" s="227"/>
      <c r="H46" s="227"/>
      <c r="I46" s="227"/>
      <c r="J46" s="227"/>
      <c r="K46" s="227"/>
      <c r="L46" s="227"/>
    </row>
    <row r="47" spans="1:12" ht="13">
      <c r="A47" s="109">
        <f t="shared" si="0"/>
        <v>33</v>
      </c>
      <c r="B47" s="13" t="s">
        <v>366</v>
      </c>
      <c r="C47" s="227"/>
      <c r="D47" s="227"/>
      <c r="E47" s="227"/>
      <c r="F47" s="227"/>
      <c r="G47" s="227"/>
      <c r="H47" s="227"/>
      <c r="I47" s="227"/>
      <c r="J47" s="227"/>
      <c r="K47" s="227"/>
      <c r="L47" s="227"/>
    </row>
    <row r="48" spans="1:12" ht="13">
      <c r="A48" s="109">
        <f t="shared" si="0"/>
        <v>34</v>
      </c>
      <c r="B48" s="13" t="s">
        <v>367</v>
      </c>
      <c r="C48" s="227"/>
      <c r="D48" s="227"/>
      <c r="E48" s="227"/>
      <c r="F48" s="227"/>
      <c r="G48" s="227"/>
      <c r="H48" s="227"/>
      <c r="I48" s="227"/>
      <c r="J48" s="227"/>
      <c r="K48" s="227"/>
      <c r="L48" s="227"/>
    </row>
    <row r="49" spans="1:12" ht="13">
      <c r="A49" s="109">
        <f t="shared" si="0"/>
        <v>35</v>
      </c>
      <c r="B49" s="13" t="s">
        <v>368</v>
      </c>
      <c r="C49" s="227"/>
      <c r="D49" s="227"/>
      <c r="E49" s="227"/>
      <c r="F49" s="227"/>
      <c r="G49" s="227"/>
      <c r="H49" s="227"/>
      <c r="I49" s="227"/>
      <c r="J49" s="227"/>
      <c r="K49" s="227"/>
      <c r="L49" s="227"/>
    </row>
    <row r="50" spans="1:12" ht="13">
      <c r="A50" s="109">
        <f t="shared" si="0"/>
        <v>36</v>
      </c>
      <c r="B50" s="227"/>
      <c r="C50" s="227"/>
      <c r="D50" s="227"/>
      <c r="E50" s="227"/>
      <c r="F50" s="227"/>
      <c r="G50" s="227"/>
      <c r="H50" s="227"/>
      <c r="I50" s="227"/>
      <c r="J50" s="227"/>
      <c r="K50" s="227"/>
      <c r="L50" s="227"/>
    </row>
    <row r="51" spans="1:12" ht="13">
      <c r="A51" s="109">
        <f t="shared" ref="A51:A91" si="8">A50+1</f>
        <v>37</v>
      </c>
      <c r="B51" s="1" t="s">
        <v>1194</v>
      </c>
      <c r="C51" s="227"/>
      <c r="D51" s="227"/>
      <c r="E51" s="227"/>
      <c r="F51" s="227"/>
      <c r="G51" s="227"/>
      <c r="H51" s="227"/>
      <c r="I51" s="227"/>
      <c r="J51" s="227"/>
      <c r="K51" s="227"/>
      <c r="L51" s="227"/>
    </row>
    <row r="52" spans="1:12" ht="13">
      <c r="A52" s="109">
        <f t="shared" si="8"/>
        <v>38</v>
      </c>
      <c r="B52" s="227"/>
      <c r="C52" s="227"/>
      <c r="D52" s="230" t="s">
        <v>1147</v>
      </c>
      <c r="E52" s="227"/>
      <c r="G52" s="227"/>
      <c r="H52" s="227"/>
      <c r="I52" s="227"/>
      <c r="J52" s="227"/>
      <c r="K52" s="227"/>
      <c r="L52" s="227"/>
    </row>
    <row r="53" spans="1:12" ht="13">
      <c r="A53" s="109">
        <f t="shared" si="8"/>
        <v>39</v>
      </c>
      <c r="B53" s="227"/>
      <c r="C53" s="25" t="s">
        <v>192</v>
      </c>
      <c r="D53" s="3" t="s">
        <v>1057</v>
      </c>
      <c r="E53" s="3" t="s">
        <v>236</v>
      </c>
      <c r="G53" s="235"/>
      <c r="H53" s="235"/>
      <c r="I53" s="235"/>
      <c r="J53" s="235"/>
      <c r="K53" s="235"/>
      <c r="L53" s="235"/>
    </row>
    <row r="54" spans="1:12" ht="13">
      <c r="A54" s="109">
        <f t="shared" si="8"/>
        <v>40</v>
      </c>
      <c r="B54" s="227"/>
      <c r="C54" s="20" t="s">
        <v>181</v>
      </c>
      <c r="D54" s="123">
        <v>6.3763211440757639E-2</v>
      </c>
      <c r="E54" s="13" t="s">
        <v>1200</v>
      </c>
      <c r="G54" s="235"/>
      <c r="H54" s="235"/>
      <c r="I54" s="235"/>
      <c r="J54" s="235"/>
      <c r="K54" s="235"/>
      <c r="L54" s="235"/>
    </row>
    <row r="55" spans="1:12" ht="13">
      <c r="A55" s="109">
        <f t="shared" si="8"/>
        <v>41</v>
      </c>
      <c r="B55" s="227"/>
      <c r="C55" s="21" t="s">
        <v>182</v>
      </c>
      <c r="D55" s="123">
        <v>5.6553289888256801E-2</v>
      </c>
      <c r="G55" s="235"/>
      <c r="H55" s="235"/>
      <c r="I55" s="235"/>
      <c r="J55" s="235"/>
      <c r="K55" s="235"/>
      <c r="L55" s="235"/>
    </row>
    <row r="56" spans="1:12" ht="13">
      <c r="A56" s="109">
        <f t="shared" si="8"/>
        <v>42</v>
      </c>
      <c r="B56" s="227"/>
      <c r="C56" s="21" t="s">
        <v>195</v>
      </c>
      <c r="D56" s="123">
        <v>7.1828142218240867E-2</v>
      </c>
      <c r="E56" s="13"/>
      <c r="G56" s="235"/>
      <c r="H56" s="235"/>
      <c r="I56" s="235"/>
      <c r="J56" s="235"/>
      <c r="K56" s="235"/>
      <c r="L56" s="235"/>
    </row>
    <row r="57" spans="1:12" ht="13">
      <c r="A57" s="109">
        <f t="shared" si="8"/>
        <v>43</v>
      </c>
      <c r="B57" s="227"/>
      <c r="C57" s="20" t="s">
        <v>183</v>
      </c>
      <c r="D57" s="123">
        <v>8.2236801934806855E-2</v>
      </c>
      <c r="E57" s="146"/>
      <c r="G57" s="235"/>
      <c r="H57" s="235"/>
      <c r="I57" s="235"/>
      <c r="J57" s="235"/>
      <c r="K57" s="235"/>
      <c r="L57" s="235"/>
    </row>
    <row r="58" spans="1:12" ht="13">
      <c r="A58" s="109">
        <f t="shared" si="8"/>
        <v>44</v>
      </c>
      <c r="B58" s="227"/>
      <c r="C58" s="21" t="s">
        <v>184</v>
      </c>
      <c r="D58" s="123">
        <v>8.01837425905748E-2</v>
      </c>
      <c r="E58" s="242"/>
      <c r="G58" s="235"/>
      <c r="H58" s="235"/>
      <c r="I58" s="235"/>
      <c r="J58" s="235"/>
      <c r="K58" s="235"/>
      <c r="L58" s="235"/>
    </row>
    <row r="59" spans="1:12" ht="13">
      <c r="A59" s="109">
        <f t="shared" si="8"/>
        <v>45</v>
      </c>
      <c r="B59" s="227"/>
      <c r="C59" s="21" t="s">
        <v>185</v>
      </c>
      <c r="D59" s="123">
        <v>8.9450501877561497E-2</v>
      </c>
      <c r="E59" s="242"/>
      <c r="G59" s="235"/>
      <c r="H59" s="235"/>
      <c r="I59" s="235"/>
      <c r="J59" s="235"/>
      <c r="K59" s="235"/>
      <c r="L59" s="235"/>
    </row>
    <row r="60" spans="1:12" ht="13">
      <c r="A60" s="109">
        <f t="shared" si="8"/>
        <v>46</v>
      </c>
      <c r="B60" s="227"/>
      <c r="C60" s="20" t="s">
        <v>186</v>
      </c>
      <c r="D60" s="123">
        <v>9.8908415854749826E-2</v>
      </c>
      <c r="E60" s="242"/>
      <c r="G60" s="235"/>
      <c r="H60" s="235"/>
      <c r="I60" s="235"/>
      <c r="J60" s="235"/>
      <c r="K60" s="235"/>
      <c r="L60" s="235"/>
    </row>
    <row r="61" spans="1:12" ht="13">
      <c r="A61" s="109">
        <f t="shared" si="8"/>
        <v>47</v>
      </c>
      <c r="B61" s="227"/>
      <c r="C61" s="21" t="s">
        <v>187</v>
      </c>
      <c r="D61" s="123">
        <v>0.10141004323318151</v>
      </c>
      <c r="E61" s="242"/>
      <c r="G61" s="235"/>
      <c r="H61" s="235"/>
      <c r="I61" s="235"/>
      <c r="J61" s="235"/>
      <c r="K61" s="235"/>
      <c r="L61" s="235"/>
    </row>
    <row r="62" spans="1:12" ht="13">
      <c r="A62" s="109">
        <f t="shared" si="8"/>
        <v>48</v>
      </c>
      <c r="B62" s="227"/>
      <c r="C62" s="21" t="s">
        <v>188</v>
      </c>
      <c r="D62" s="123">
        <v>0.10217900008822713</v>
      </c>
      <c r="E62" s="242"/>
      <c r="G62" s="235"/>
      <c r="H62" s="235"/>
      <c r="I62" s="235"/>
      <c r="J62" s="235"/>
      <c r="K62" s="235"/>
      <c r="L62" s="235"/>
    </row>
    <row r="63" spans="1:12" ht="13">
      <c r="A63" s="109">
        <f t="shared" si="8"/>
        <v>49</v>
      </c>
      <c r="B63" s="227"/>
      <c r="C63" s="20" t="s">
        <v>191</v>
      </c>
      <c r="D63" s="123">
        <v>9.1787269171678454E-2</v>
      </c>
      <c r="E63" s="242"/>
      <c r="G63" s="235"/>
      <c r="H63" s="235"/>
      <c r="I63" s="235"/>
      <c r="J63" s="235"/>
      <c r="K63" s="235"/>
      <c r="L63" s="235"/>
    </row>
    <row r="64" spans="1:12" ht="13">
      <c r="A64" s="109">
        <f t="shared" si="8"/>
        <v>50</v>
      </c>
      <c r="B64" s="227"/>
      <c r="C64" s="20" t="s">
        <v>190</v>
      </c>
      <c r="D64" s="123">
        <v>7.5296938318149625E-2</v>
      </c>
      <c r="E64" s="242"/>
      <c r="G64" s="227"/>
      <c r="H64" s="227"/>
      <c r="I64" s="227"/>
      <c r="J64" s="227"/>
      <c r="K64" s="227"/>
      <c r="L64" s="227"/>
    </row>
    <row r="65" spans="1:16" ht="13">
      <c r="A65" s="109">
        <f t="shared" si="8"/>
        <v>51</v>
      </c>
      <c r="B65" s="227"/>
      <c r="C65" s="21" t="s">
        <v>180</v>
      </c>
      <c r="D65" s="371">
        <v>8.640264338381512E-2</v>
      </c>
      <c r="E65" s="150"/>
      <c r="G65" s="227"/>
      <c r="H65" s="227"/>
      <c r="I65" s="227"/>
      <c r="J65" s="227"/>
      <c r="K65" s="227"/>
      <c r="L65" s="227"/>
    </row>
    <row r="66" spans="1:16" ht="13">
      <c r="A66" s="109">
        <f t="shared" si="8"/>
        <v>52</v>
      </c>
      <c r="B66" s="227"/>
      <c r="C66" s="34" t="s">
        <v>4</v>
      </c>
      <c r="D66" s="380">
        <f>SUM(D54:D65)</f>
        <v>1.0000000000000002</v>
      </c>
      <c r="E66" s="227"/>
      <c r="G66" s="227"/>
      <c r="H66" s="227"/>
      <c r="I66" s="227"/>
      <c r="J66" s="227"/>
      <c r="K66" s="227"/>
      <c r="L66" s="227"/>
    </row>
    <row r="67" spans="1:16" s="14" customFormat="1" ht="13">
      <c r="A67" s="109">
        <f t="shared" si="8"/>
        <v>53</v>
      </c>
      <c r="B67" s="235"/>
      <c r="C67" s="235"/>
      <c r="D67" s="235"/>
      <c r="E67" s="235"/>
      <c r="F67" s="109"/>
      <c r="G67" s="235"/>
      <c r="H67" s="235"/>
      <c r="I67" s="235"/>
      <c r="J67" s="235"/>
      <c r="K67" s="235"/>
      <c r="L67" s="235"/>
    </row>
    <row r="68" spans="1:16" ht="13">
      <c r="A68" s="109">
        <f t="shared" si="8"/>
        <v>54</v>
      </c>
      <c r="B68" s="1" t="s">
        <v>2249</v>
      </c>
      <c r="C68" s="227"/>
      <c r="D68" s="227"/>
      <c r="E68" s="227"/>
      <c r="F68" s="2"/>
      <c r="G68" s="227"/>
      <c r="H68" s="227"/>
      <c r="I68" s="227"/>
      <c r="J68" s="227"/>
      <c r="K68" s="227"/>
      <c r="L68" s="227"/>
    </row>
    <row r="69" spans="1:16" ht="13">
      <c r="A69" s="109">
        <f t="shared" si="8"/>
        <v>55</v>
      </c>
      <c r="B69" s="227"/>
      <c r="C69" s="227"/>
      <c r="D69" s="227"/>
      <c r="E69" s="227"/>
      <c r="F69" s="2"/>
      <c r="G69" s="227"/>
      <c r="H69" s="227"/>
      <c r="I69" s="227"/>
      <c r="J69" s="227"/>
      <c r="K69" s="227"/>
      <c r="L69" s="227"/>
    </row>
    <row r="70" spans="1:16" ht="13">
      <c r="A70" s="109">
        <f t="shared" si="8"/>
        <v>56</v>
      </c>
      <c r="B70" s="227"/>
      <c r="C70" s="84" t="s">
        <v>358</v>
      </c>
      <c r="D70" s="84" t="s">
        <v>342</v>
      </c>
      <c r="E70" s="84" t="s">
        <v>343</v>
      </c>
      <c r="F70" s="84" t="s">
        <v>344</v>
      </c>
      <c r="G70" s="84" t="s">
        <v>345</v>
      </c>
      <c r="H70" s="84" t="s">
        <v>346</v>
      </c>
      <c r="I70" s="84" t="s">
        <v>347</v>
      </c>
      <c r="J70" s="227"/>
    </row>
    <row r="71" spans="1:16" ht="13">
      <c r="A71" s="109">
        <f t="shared" si="8"/>
        <v>57</v>
      </c>
      <c r="B71" s="227"/>
      <c r="C71" s="464" t="s">
        <v>1054</v>
      </c>
      <c r="D71" s="464" t="s">
        <v>1055</v>
      </c>
      <c r="E71" s="84"/>
      <c r="F71" s="84"/>
      <c r="G71" s="84"/>
      <c r="H71" s="84"/>
      <c r="I71" s="87" t="s">
        <v>525</v>
      </c>
      <c r="J71" s="227"/>
      <c r="K71" s="227"/>
      <c r="L71" s="227"/>
    </row>
    <row r="72" spans="1:16" ht="13">
      <c r="A72" s="109">
        <f t="shared" si="8"/>
        <v>58</v>
      </c>
      <c r="B72" s="227"/>
      <c r="C72" s="227"/>
      <c r="D72" s="227"/>
      <c r="E72" s="227"/>
      <c r="F72" s="2"/>
      <c r="G72" s="227"/>
      <c r="H72" s="227"/>
      <c r="I72" s="227"/>
      <c r="J72" s="227"/>
      <c r="K72" s="382"/>
      <c r="L72" s="227"/>
    </row>
    <row r="73" spans="1:16" ht="13">
      <c r="A73" s="109">
        <f t="shared" si="8"/>
        <v>59</v>
      </c>
      <c r="B73" s="227"/>
      <c r="C73" s="2" t="s">
        <v>501</v>
      </c>
      <c r="D73" s="227"/>
      <c r="E73" s="227"/>
      <c r="F73" s="2"/>
      <c r="G73" s="227"/>
      <c r="H73" s="227"/>
      <c r="I73" s="2" t="s">
        <v>19</v>
      </c>
      <c r="J73" s="227"/>
      <c r="K73" s="478"/>
      <c r="L73" s="227"/>
    </row>
    <row r="74" spans="1:16" ht="13">
      <c r="A74" s="109">
        <f t="shared" si="8"/>
        <v>60</v>
      </c>
      <c r="B74" s="230" t="s">
        <v>402</v>
      </c>
      <c r="C74" s="2" t="s">
        <v>520</v>
      </c>
      <c r="D74" s="227"/>
      <c r="E74" s="227"/>
      <c r="F74" s="84"/>
      <c r="G74" s="227"/>
      <c r="H74" s="227"/>
      <c r="I74" s="2" t="s">
        <v>196</v>
      </c>
      <c r="J74" s="227"/>
    </row>
    <row r="75" spans="1:16" ht="14.5">
      <c r="A75" s="109">
        <f t="shared" si="8"/>
        <v>61</v>
      </c>
      <c r="B75" s="230" t="s">
        <v>193</v>
      </c>
      <c r="C75" s="2" t="s">
        <v>306</v>
      </c>
      <c r="D75" s="2" t="s">
        <v>356</v>
      </c>
      <c r="E75" s="2"/>
      <c r="F75" s="2"/>
      <c r="G75" s="2" t="s">
        <v>518</v>
      </c>
      <c r="H75" s="2"/>
      <c r="I75" s="2" t="s">
        <v>20</v>
      </c>
      <c r="J75" s="227"/>
      <c r="P75" s="237"/>
    </row>
    <row r="76" spans="1:16" ht="14.5">
      <c r="A76" s="109">
        <f t="shared" si="8"/>
        <v>62</v>
      </c>
      <c r="B76" s="3" t="s">
        <v>192</v>
      </c>
      <c r="C76" s="3" t="s">
        <v>21</v>
      </c>
      <c r="D76" s="3" t="s">
        <v>306</v>
      </c>
      <c r="E76" s="3" t="s">
        <v>305</v>
      </c>
      <c r="F76" s="3" t="s">
        <v>517</v>
      </c>
      <c r="G76" s="3" t="s">
        <v>519</v>
      </c>
      <c r="H76" s="3" t="s">
        <v>356</v>
      </c>
      <c r="I76" s="3" t="s">
        <v>77</v>
      </c>
      <c r="J76" s="227"/>
      <c r="K76" s="238"/>
      <c r="L76" s="238"/>
      <c r="M76" s="238"/>
      <c r="N76" s="238"/>
      <c r="O76" s="238"/>
      <c r="P76" s="238"/>
    </row>
    <row r="77" spans="1:16" ht="13">
      <c r="A77" s="109">
        <f t="shared" si="8"/>
        <v>63</v>
      </c>
      <c r="B77" s="243" t="s">
        <v>64</v>
      </c>
      <c r="C77" s="240">
        <v>83435001.659999996</v>
      </c>
      <c r="D77" s="240">
        <v>-1568456.24</v>
      </c>
      <c r="E77" s="240">
        <v>354640425.03999996</v>
      </c>
      <c r="F77" s="240">
        <v>384424886.75999999</v>
      </c>
      <c r="G77" s="240">
        <v>23289434.41</v>
      </c>
      <c r="H77" s="963">
        <v>37603359.039999999</v>
      </c>
      <c r="I77" s="229">
        <f t="shared" ref="I77:I82" si="9">SUM(C77:H77)</f>
        <v>881824650.66999996</v>
      </c>
      <c r="J77" s="227"/>
      <c r="K77" s="52"/>
      <c r="M77" s="7"/>
      <c r="N77" s="7"/>
      <c r="O77" s="7"/>
      <c r="P77" s="7"/>
    </row>
    <row r="78" spans="1:16" ht="13">
      <c r="A78" s="109">
        <f t="shared" si="8"/>
        <v>64</v>
      </c>
      <c r="B78" s="243" t="s">
        <v>65</v>
      </c>
      <c r="C78" s="240">
        <v>50821205.640000001</v>
      </c>
      <c r="D78" s="240">
        <v>-808716.40000000014</v>
      </c>
      <c r="E78" s="240">
        <v>232147364.53999999</v>
      </c>
      <c r="F78" s="240">
        <v>240394884.44999999</v>
      </c>
      <c r="G78" s="240">
        <v>11396102.91</v>
      </c>
      <c r="H78" s="240">
        <v>25334391.190000001</v>
      </c>
      <c r="I78" s="229">
        <f t="shared" si="9"/>
        <v>559285232.33000004</v>
      </c>
      <c r="J78" s="227"/>
      <c r="K78" s="52"/>
      <c r="M78" s="7"/>
      <c r="N78" s="7"/>
      <c r="O78" s="7"/>
      <c r="P78" s="7"/>
    </row>
    <row r="79" spans="1:16" ht="13">
      <c r="A79" s="109">
        <f t="shared" si="8"/>
        <v>65</v>
      </c>
      <c r="B79" s="243" t="s">
        <v>66</v>
      </c>
      <c r="C79" s="240">
        <v>75625059.620000005</v>
      </c>
      <c r="D79" s="240">
        <v>-1335075.8499999994</v>
      </c>
      <c r="E79" s="240">
        <v>327223242</v>
      </c>
      <c r="F79" s="240">
        <v>358859653.74000001</v>
      </c>
      <c r="G79" s="240">
        <v>18067397.759999998</v>
      </c>
      <c r="H79" s="240">
        <v>35295242.030000001</v>
      </c>
      <c r="I79" s="229">
        <f t="shared" si="9"/>
        <v>813735519.29999995</v>
      </c>
      <c r="J79" s="227"/>
      <c r="K79" s="52"/>
      <c r="M79" s="7"/>
      <c r="N79" s="7"/>
      <c r="O79" s="7"/>
      <c r="P79" s="7"/>
    </row>
    <row r="80" spans="1:16" ht="13">
      <c r="A80" s="109">
        <f t="shared" si="8"/>
        <v>66</v>
      </c>
      <c r="B80" s="243" t="s">
        <v>67</v>
      </c>
      <c r="C80" s="240">
        <v>65258290.909999996</v>
      </c>
      <c r="D80" s="240">
        <v>-1089220.5900000003</v>
      </c>
      <c r="E80" s="240">
        <v>104929446.64999998</v>
      </c>
      <c r="F80" s="240">
        <v>283299597.10999995</v>
      </c>
      <c r="G80" s="240">
        <v>14493502.889999999</v>
      </c>
      <c r="H80" s="240">
        <v>34225533.299999997</v>
      </c>
      <c r="I80" s="229">
        <f t="shared" si="9"/>
        <v>501117150.26999992</v>
      </c>
      <c r="J80" s="227"/>
      <c r="K80" s="52"/>
      <c r="M80" s="7"/>
      <c r="N80" s="7"/>
      <c r="O80" s="7"/>
      <c r="P80" s="7"/>
    </row>
    <row r="81" spans="1:16" ht="13">
      <c r="A81" s="109">
        <f t="shared" si="8"/>
        <v>67</v>
      </c>
      <c r="B81" s="87" t="s">
        <v>184</v>
      </c>
      <c r="C81" s="240">
        <v>78262572.730000004</v>
      </c>
      <c r="D81" s="240">
        <v>-1375454.92</v>
      </c>
      <c r="E81" s="240">
        <v>338849760.55000001</v>
      </c>
      <c r="F81" s="240">
        <v>371574924.58999997</v>
      </c>
      <c r="G81" s="240">
        <v>31667425.289999999</v>
      </c>
      <c r="H81" s="240">
        <v>67836364.790000007</v>
      </c>
      <c r="I81" s="229">
        <f t="shared" si="9"/>
        <v>886815593.02999997</v>
      </c>
      <c r="J81" s="227"/>
      <c r="K81" s="52"/>
      <c r="M81" s="7"/>
      <c r="N81" s="7"/>
      <c r="O81" s="7"/>
      <c r="P81" s="7"/>
    </row>
    <row r="82" spans="1:16" ht="13">
      <c r="A82" s="109">
        <f t="shared" si="8"/>
        <v>68</v>
      </c>
      <c r="B82" s="243" t="s">
        <v>68</v>
      </c>
      <c r="C82" s="240">
        <v>88567647.340000004</v>
      </c>
      <c r="D82" s="240">
        <v>13847051.329999998</v>
      </c>
      <c r="E82" s="240">
        <v>409417732.79000002</v>
      </c>
      <c r="F82" s="240">
        <v>480792464.64999998</v>
      </c>
      <c r="G82" s="240">
        <v>20608833.280000001</v>
      </c>
      <c r="H82" s="240">
        <v>71569228.789999992</v>
      </c>
      <c r="I82" s="229">
        <f t="shared" si="9"/>
        <v>1084802958.1800001</v>
      </c>
      <c r="J82" s="227"/>
      <c r="K82" s="52"/>
      <c r="M82" s="7"/>
      <c r="N82" s="7"/>
      <c r="O82" s="7"/>
      <c r="P82" s="7"/>
    </row>
    <row r="83" spans="1:16" ht="13">
      <c r="A83" s="109">
        <f t="shared" si="8"/>
        <v>69</v>
      </c>
      <c r="B83" s="243" t="s">
        <v>69</v>
      </c>
      <c r="C83" s="240">
        <v>112223450.8</v>
      </c>
      <c r="D83" s="240">
        <v>41533796.159999996</v>
      </c>
      <c r="E83" s="240">
        <v>592998553.47000003</v>
      </c>
      <c r="F83" s="240">
        <v>739148164.19999993</v>
      </c>
      <c r="G83" s="240">
        <v>17819354.109999999</v>
      </c>
      <c r="H83" s="240">
        <v>93118038.090000004</v>
      </c>
      <c r="I83" s="229">
        <f t="shared" ref="I83:I87" si="10">SUM(C83:H83)</f>
        <v>1596841356.8299999</v>
      </c>
      <c r="J83" s="227"/>
      <c r="K83" s="52"/>
      <c r="M83" s="7"/>
      <c r="N83" s="7"/>
      <c r="O83" s="7"/>
      <c r="P83" s="7"/>
    </row>
    <row r="84" spans="1:16" ht="13">
      <c r="A84" s="109">
        <f t="shared" si="8"/>
        <v>70</v>
      </c>
      <c r="B84" s="243" t="s">
        <v>70</v>
      </c>
      <c r="C84" s="240">
        <v>92859068.230000004</v>
      </c>
      <c r="D84" s="240">
        <v>25090396.390000001</v>
      </c>
      <c r="E84" s="240">
        <v>519326628.23999995</v>
      </c>
      <c r="F84" s="240">
        <v>549972544.8599999</v>
      </c>
      <c r="G84" s="240">
        <v>27764431.030000001</v>
      </c>
      <c r="H84" s="240">
        <v>72556080.720000014</v>
      </c>
      <c r="I84" s="229">
        <f t="shared" si="10"/>
        <v>1287569149.4699998</v>
      </c>
      <c r="J84" s="227"/>
      <c r="K84" s="52"/>
      <c r="M84" s="7"/>
      <c r="N84" s="7"/>
      <c r="O84" s="7"/>
      <c r="P84" s="7"/>
    </row>
    <row r="85" spans="1:16" ht="13">
      <c r="A85" s="109">
        <f t="shared" si="8"/>
        <v>71</v>
      </c>
      <c r="B85" s="243" t="s">
        <v>71</v>
      </c>
      <c r="C85" s="240">
        <v>83794301.299999997</v>
      </c>
      <c r="D85" s="240">
        <v>23443353.219999999</v>
      </c>
      <c r="E85" s="240">
        <v>469061177.09999996</v>
      </c>
      <c r="F85" s="240">
        <v>504325267.3599999</v>
      </c>
      <c r="G85" s="240">
        <v>18747321.129999999</v>
      </c>
      <c r="H85" s="240">
        <v>67429086.710000008</v>
      </c>
      <c r="I85" s="229">
        <f t="shared" si="10"/>
        <v>1166800506.8200002</v>
      </c>
      <c r="J85" s="227"/>
      <c r="K85" s="52"/>
      <c r="M85" s="7"/>
      <c r="N85" s="7"/>
      <c r="O85" s="7"/>
      <c r="P85" s="7"/>
    </row>
    <row r="86" spans="1:16" ht="13">
      <c r="A86" s="109">
        <f t="shared" si="8"/>
        <v>72</v>
      </c>
      <c r="B86" s="243" t="s">
        <v>72</v>
      </c>
      <c r="C86" s="240">
        <v>94827371.109999999</v>
      </c>
      <c r="D86" s="240">
        <v>27180014.320000004</v>
      </c>
      <c r="E86" s="240">
        <v>517274262.21000004</v>
      </c>
      <c r="F86" s="240">
        <v>481594426.92999995</v>
      </c>
      <c r="G86" s="240">
        <v>16222378.360000001</v>
      </c>
      <c r="H86" s="240">
        <v>76999486.980000004</v>
      </c>
      <c r="I86" s="229">
        <f t="shared" si="10"/>
        <v>1214097939.9100001</v>
      </c>
      <c r="J86" s="227"/>
      <c r="K86" s="52"/>
      <c r="M86" s="7"/>
      <c r="N86" s="7"/>
      <c r="O86" s="7"/>
      <c r="P86" s="7"/>
    </row>
    <row r="87" spans="1:16" ht="13">
      <c r="A87" s="109">
        <f t="shared" si="8"/>
        <v>73</v>
      </c>
      <c r="B87" s="243" t="s">
        <v>73</v>
      </c>
      <c r="C87" s="240">
        <v>50886192.009999998</v>
      </c>
      <c r="D87" s="240">
        <v>14785793.129999999</v>
      </c>
      <c r="E87" s="240">
        <v>253747664.29999998</v>
      </c>
      <c r="F87" s="240">
        <v>189626352.80000001</v>
      </c>
      <c r="G87" s="240">
        <v>1738984.3400000008</v>
      </c>
      <c r="H87" s="240">
        <v>39810969.899999999</v>
      </c>
      <c r="I87" s="229">
        <f t="shared" si="10"/>
        <v>550595956.48000002</v>
      </c>
      <c r="J87" s="227"/>
      <c r="K87" s="52"/>
      <c r="M87" s="7"/>
      <c r="N87" s="7"/>
      <c r="O87" s="7"/>
      <c r="P87" s="7"/>
    </row>
    <row r="88" spans="1:16" ht="13">
      <c r="A88" s="109">
        <f t="shared" si="8"/>
        <v>74</v>
      </c>
      <c r="B88" s="243" t="s">
        <v>74</v>
      </c>
      <c r="C88" s="107">
        <v>92160892.420000002</v>
      </c>
      <c r="D88" s="107">
        <v>27510943.129999999</v>
      </c>
      <c r="E88" s="107">
        <v>486659194.31</v>
      </c>
      <c r="F88" s="107">
        <v>426769011.64999998</v>
      </c>
      <c r="G88" s="107">
        <v>17690672.890000001</v>
      </c>
      <c r="H88" s="107">
        <v>76884717.320000008</v>
      </c>
      <c r="I88" s="91">
        <f>SUM(C88:H88)</f>
        <v>1127675431.72</v>
      </c>
      <c r="J88" s="227"/>
      <c r="K88" s="52"/>
      <c r="M88" s="7"/>
      <c r="N88" s="7"/>
      <c r="O88" s="7"/>
      <c r="P88" s="91"/>
    </row>
    <row r="89" spans="1:16" ht="13">
      <c r="A89" s="109">
        <f t="shared" si="8"/>
        <v>75</v>
      </c>
      <c r="B89" s="87" t="s">
        <v>197</v>
      </c>
      <c r="C89" s="229">
        <f t="shared" ref="C89:H89" si="11">SUM(C77:C88)</f>
        <v>968721053.76999998</v>
      </c>
      <c r="D89" s="229">
        <f t="shared" si="11"/>
        <v>167214423.68000001</v>
      </c>
      <c r="E89" s="229">
        <f t="shared" si="11"/>
        <v>4606275451.1999998</v>
      </c>
      <c r="F89" s="229">
        <f t="shared" si="11"/>
        <v>5010782179.0999994</v>
      </c>
      <c r="G89" s="229">
        <f t="shared" si="11"/>
        <v>219505838.39999998</v>
      </c>
      <c r="H89" s="229">
        <f t="shared" si="11"/>
        <v>698662498.86000013</v>
      </c>
      <c r="I89" s="229">
        <f>SUM(I77:I88)</f>
        <v>11671161445.009998</v>
      </c>
      <c r="J89" s="227"/>
      <c r="P89" s="7"/>
    </row>
    <row r="90" spans="1:16" ht="13">
      <c r="A90" s="109">
        <f t="shared" si="8"/>
        <v>76</v>
      </c>
      <c r="B90" s="227"/>
      <c r="C90" s="227"/>
      <c r="D90" s="227"/>
      <c r="E90" s="227"/>
      <c r="F90" s="227"/>
      <c r="G90" s="227"/>
      <c r="H90" s="93"/>
      <c r="I90" s="227"/>
      <c r="J90" s="227"/>
      <c r="K90" s="227"/>
      <c r="L90" s="227"/>
    </row>
    <row r="91" spans="1:16" ht="13">
      <c r="A91" s="109">
        <f t="shared" si="8"/>
        <v>77</v>
      </c>
      <c r="B91" s="227"/>
      <c r="C91" s="227"/>
      <c r="D91" s="227"/>
      <c r="E91" s="227"/>
      <c r="F91" s="227"/>
      <c r="G91" s="227"/>
      <c r="H91" s="93" t="s">
        <v>521</v>
      </c>
      <c r="I91" s="963">
        <v>11671161445</v>
      </c>
      <c r="J91" s="227"/>
      <c r="K91" s="227"/>
      <c r="L91" s="227"/>
    </row>
    <row r="92" spans="1:16">
      <c r="A92" s="227"/>
      <c r="B92" s="227"/>
      <c r="C92" s="227"/>
      <c r="D92" s="227"/>
      <c r="E92" s="227"/>
      <c r="F92" s="227"/>
      <c r="G92" s="227"/>
      <c r="H92" s="227"/>
      <c r="I92" s="227"/>
      <c r="J92" s="227"/>
      <c r="K92" s="227"/>
      <c r="L92" s="227"/>
    </row>
    <row r="93" spans="1:16" ht="13">
      <c r="A93" s="2"/>
      <c r="B93" s="44" t="s">
        <v>377</v>
      </c>
      <c r="C93" s="235"/>
      <c r="D93" s="235"/>
      <c r="E93" s="235"/>
      <c r="F93" s="235"/>
      <c r="G93" s="235"/>
      <c r="H93" s="235"/>
      <c r="I93" s="231"/>
      <c r="J93" s="235"/>
      <c r="K93" s="235"/>
      <c r="L93" s="227"/>
    </row>
    <row r="94" spans="1:16" ht="13">
      <c r="A94" s="2"/>
      <c r="B94" s="462" t="str">
        <f>"1) Enter applicable years on Column 1, Lines "&amp;A24&amp;"-"&amp;A36&amp;" (Prior Year and December of the year previous to the Prior Year)."</f>
        <v>1) Enter applicable years on Column 1, Lines 11-23 (Prior Year and December of the year previous to the Prior Year).</v>
      </c>
      <c r="C94" s="235"/>
      <c r="D94" s="235"/>
      <c r="E94" s="235"/>
      <c r="F94" s="235"/>
      <c r="G94" s="235"/>
      <c r="H94" s="235"/>
      <c r="I94" s="235"/>
      <c r="J94" s="235"/>
      <c r="K94" s="235"/>
      <c r="L94" s="227"/>
    </row>
    <row r="95" spans="1:16" ht="13">
      <c r="A95" s="2"/>
      <c r="B95" s="462" t="str">
        <f>"2) Enter Previous Annual Update True Up Adjustment (if any) on Line "&amp;A41&amp;"."</f>
        <v>2) Enter Previous Annual Update True Up Adjustment (if any) on Line 27.</v>
      </c>
      <c r="C95" s="235"/>
      <c r="D95" s="235"/>
      <c r="E95" s="235"/>
      <c r="F95" s="235"/>
      <c r="G95" s="235"/>
      <c r="H95" s="235"/>
      <c r="I95" s="235"/>
      <c r="J95" s="235"/>
      <c r="K95" s="235"/>
      <c r="L95" s="227"/>
    </row>
    <row r="96" spans="1:16" ht="13">
      <c r="A96" s="2"/>
      <c r="B96" s="1030" t="s">
        <v>2250</v>
      </c>
      <c r="C96" s="235"/>
      <c r="D96" s="235"/>
      <c r="E96" s="235"/>
      <c r="F96" s="235"/>
      <c r="G96" s="235"/>
      <c r="H96" s="235"/>
      <c r="I96" s="235"/>
      <c r="J96" s="235"/>
      <c r="K96" s="235"/>
      <c r="L96" s="227"/>
    </row>
    <row r="97" spans="1:12" ht="13">
      <c r="A97" s="2"/>
      <c r="B97" s="462" t="s">
        <v>958</v>
      </c>
      <c r="C97" s="235"/>
      <c r="D97" s="235"/>
      <c r="E97" s="235"/>
      <c r="F97" s="235"/>
      <c r="G97" s="235"/>
      <c r="H97" s="235"/>
      <c r="I97" s="235"/>
      <c r="J97" s="235"/>
      <c r="K97" s="235"/>
      <c r="L97" s="227"/>
    </row>
    <row r="98" spans="1:12" ht="13">
      <c r="A98" s="2"/>
      <c r="B98" s="845" t="str">
        <f>"18 C.F.R. §35.19a on lines "&amp;A25&amp;" to "&amp;A36&amp;", Column 6."</f>
        <v>18 C.F.R. §35.19a on lines 12 to 23, Column 6.</v>
      </c>
      <c r="C98" s="235"/>
      <c r="D98" s="235"/>
      <c r="E98" s="235"/>
      <c r="F98" s="235"/>
      <c r="G98" s="235"/>
      <c r="H98" s="235"/>
      <c r="I98" s="235"/>
      <c r="J98" s="235"/>
      <c r="K98" s="235"/>
      <c r="L98" s="227"/>
    </row>
    <row r="99" spans="1:12" ht="13">
      <c r="A99" s="2"/>
      <c r="B99" s="462" t="s">
        <v>2251</v>
      </c>
      <c r="C99" s="235"/>
      <c r="D99" s="235"/>
      <c r="E99" s="235"/>
      <c r="F99" s="235"/>
      <c r="G99" s="235"/>
      <c r="H99" s="235"/>
      <c r="I99" s="235"/>
      <c r="J99" s="235"/>
      <c r="K99" s="235"/>
      <c r="L99" s="227"/>
    </row>
    <row r="100" spans="1:12" ht="13">
      <c r="A100" s="2"/>
      <c r="B100" s="441" t="s">
        <v>1699</v>
      </c>
      <c r="C100" s="235"/>
      <c r="D100" s="235"/>
      <c r="E100" s="235"/>
      <c r="F100" s="235"/>
      <c r="G100" s="235"/>
      <c r="H100" s="235"/>
      <c r="I100" s="235"/>
      <c r="J100" s="235"/>
      <c r="K100" s="235"/>
      <c r="L100" s="227"/>
    </row>
    <row r="101" spans="1:12" ht="13">
      <c r="A101" s="549"/>
      <c r="B101" s="847" t="s">
        <v>2252</v>
      </c>
      <c r="C101" s="235"/>
      <c r="D101" s="235"/>
      <c r="E101" s="235"/>
      <c r="F101" s="235"/>
      <c r="G101" s="235"/>
      <c r="H101" s="235"/>
      <c r="I101" s="235"/>
      <c r="J101" s="235"/>
      <c r="K101" s="235"/>
    </row>
    <row r="102" spans="1:12" ht="13">
      <c r="A102" s="549"/>
      <c r="B102" s="1031" t="s">
        <v>2253</v>
      </c>
      <c r="C102" s="235"/>
      <c r="D102" s="235"/>
      <c r="E102" s="235"/>
      <c r="F102" s="235"/>
      <c r="G102" s="235"/>
      <c r="H102" s="235"/>
      <c r="I102" s="235"/>
      <c r="J102" s="235"/>
      <c r="K102" s="235"/>
      <c r="L102" s="227"/>
    </row>
    <row r="103" spans="1:12" ht="13">
      <c r="A103" s="549"/>
      <c r="B103" s="1031"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35"/>
      <c r="E103" s="235"/>
      <c r="F103" s="235"/>
      <c r="G103" s="235"/>
      <c r="H103" s="235"/>
      <c r="I103" s="235"/>
      <c r="J103" s="235"/>
      <c r="K103" s="235"/>
      <c r="L103" s="227"/>
    </row>
    <row r="104" spans="1:12" ht="13">
      <c r="A104" s="2"/>
      <c r="B104" s="847" t="s">
        <v>2254</v>
      </c>
      <c r="C104" s="235"/>
      <c r="D104" s="235"/>
      <c r="E104" s="235"/>
      <c r="F104" s="235"/>
      <c r="G104" s="235"/>
      <c r="H104" s="235"/>
      <c r="I104" s="235"/>
      <c r="J104" s="235"/>
      <c r="K104" s="235"/>
      <c r="L104" s="227"/>
    </row>
    <row r="105" spans="1:12" ht="13">
      <c r="A105" s="2"/>
      <c r="B105" s="847" t="s">
        <v>2255</v>
      </c>
      <c r="C105" s="235"/>
      <c r="D105" s="235"/>
      <c r="E105" s="235"/>
      <c r="F105" s="235"/>
      <c r="G105" s="235"/>
      <c r="H105" s="235"/>
      <c r="I105" s="235"/>
      <c r="J105" s="235"/>
      <c r="K105" s="235"/>
      <c r="L105" s="227"/>
    </row>
    <row r="106" spans="1:12" s="955" customFormat="1" ht="13">
      <c r="A106" s="549"/>
      <c r="B106" s="847"/>
      <c r="C106" s="465" t="s">
        <v>2533</v>
      </c>
      <c r="D106" s="1228"/>
      <c r="E106" s="961" t="s">
        <v>2710</v>
      </c>
      <c r="F106" s="958"/>
      <c r="G106" s="958"/>
      <c r="H106" s="235"/>
      <c r="I106" s="235"/>
      <c r="J106" s="235"/>
      <c r="K106" s="235"/>
      <c r="L106" s="227"/>
    </row>
    <row r="107" spans="1:12" s="955" customFormat="1" ht="13">
      <c r="A107" s="549"/>
      <c r="B107" s="847"/>
      <c r="C107" s="465" t="s">
        <v>2532</v>
      </c>
      <c r="D107" s="1228"/>
      <c r="E107" s="961" t="s">
        <v>1947</v>
      </c>
      <c r="F107" s="958"/>
      <c r="G107" s="958"/>
      <c r="H107" s="235"/>
      <c r="I107" s="235"/>
      <c r="J107" s="235"/>
      <c r="K107" s="235"/>
      <c r="L107" s="227"/>
    </row>
    <row r="108" spans="1:12" ht="13">
      <c r="A108" s="2"/>
      <c r="B108" s="462" t="str">
        <f>"5) Fill in matrix of all retail revenues from Prior Year in table on lines "&amp;A77&amp;" to "&amp;A88&amp;"."</f>
        <v>5) Fill in matrix of all retail revenues from Prior Year in table on lines 63 to 74.</v>
      </c>
      <c r="C108" s="235"/>
      <c r="D108" s="235"/>
      <c r="E108" s="235"/>
      <c r="F108" s="235"/>
      <c r="G108" s="235"/>
      <c r="H108" s="235"/>
      <c r="I108" s="235"/>
      <c r="J108" s="235"/>
      <c r="K108" s="235"/>
      <c r="L108" s="227"/>
    </row>
    <row r="109" spans="1:12" ht="13">
      <c r="A109" s="2"/>
      <c r="B109" s="462" t="str">
        <f>"6) Enter Total Sales to Ultimate Consumers on line "&amp;A91&amp;" and verify that it equals the total on line "&amp;A89&amp;"."</f>
        <v>6) Enter Total Sales to Ultimate Consumers on line 77 and verify that it equals the total on line 75.</v>
      </c>
      <c r="C109" s="235"/>
      <c r="D109" s="235"/>
      <c r="E109" s="235"/>
      <c r="F109" s="235"/>
      <c r="G109" s="235"/>
      <c r="H109" s="235"/>
      <c r="I109" s="235"/>
      <c r="J109" s="235"/>
      <c r="K109" s="235"/>
      <c r="L109" s="227"/>
    </row>
    <row r="110" spans="1:12" ht="13">
      <c r="A110" s="2"/>
      <c r="B110" s="462" t="s">
        <v>2256</v>
      </c>
      <c r="C110" s="235"/>
      <c r="D110" s="235"/>
      <c r="E110" s="235"/>
      <c r="F110" s="235"/>
      <c r="G110" s="235"/>
      <c r="H110" s="235"/>
      <c r="I110" s="235"/>
      <c r="J110" s="235"/>
      <c r="K110" s="235"/>
      <c r="L110" s="227"/>
    </row>
    <row r="111" spans="1:12" s="14" customFormat="1" ht="13">
      <c r="A111" s="109"/>
      <c r="B111" s="845" t="s">
        <v>1058</v>
      </c>
      <c r="C111" s="235"/>
      <c r="D111" s="235"/>
      <c r="E111" s="235"/>
      <c r="F111" s="235"/>
      <c r="G111" s="235"/>
      <c r="H111" s="235"/>
      <c r="I111" s="235"/>
      <c r="J111" s="235"/>
      <c r="K111" s="235"/>
      <c r="L111" s="235"/>
    </row>
    <row r="112" spans="1:12" ht="13">
      <c r="A112" s="2"/>
      <c r="B112" s="833" t="s">
        <v>230</v>
      </c>
      <c r="C112" s="235"/>
      <c r="D112" s="235"/>
      <c r="E112" s="235"/>
      <c r="F112" s="235"/>
      <c r="G112" s="235"/>
      <c r="H112" s="235"/>
      <c r="I112" s="235"/>
      <c r="J112" s="235"/>
      <c r="K112" s="235"/>
      <c r="L112" s="227"/>
    </row>
    <row r="113" spans="1:12" ht="13">
      <c r="A113" s="2"/>
      <c r="B113" s="467" t="s">
        <v>1479</v>
      </c>
      <c r="C113" s="235"/>
      <c r="D113" s="235"/>
      <c r="E113" s="235"/>
      <c r="F113" s="235"/>
      <c r="G113" s="235"/>
      <c r="H113" s="235"/>
      <c r="I113" s="235"/>
      <c r="J113" s="235"/>
      <c r="K113" s="235"/>
      <c r="L113" s="227"/>
    </row>
    <row r="114" spans="1:12" ht="13">
      <c r="A114" s="2"/>
      <c r="B114" s="1032" t="s">
        <v>1480</v>
      </c>
      <c r="C114" s="235"/>
      <c r="D114" s="235"/>
      <c r="E114" s="235"/>
      <c r="F114" s="235"/>
      <c r="G114" s="235"/>
      <c r="H114" s="235"/>
      <c r="I114" s="235"/>
      <c r="J114" s="235"/>
      <c r="K114" s="235"/>
      <c r="L114" s="227"/>
    </row>
    <row r="115" spans="1:12" ht="13">
      <c r="A115" s="2"/>
      <c r="B115" s="1030"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235"/>
      <c r="D115" s="235"/>
      <c r="E115" s="235"/>
      <c r="F115" s="235"/>
      <c r="G115" s="235"/>
      <c r="H115" s="235"/>
      <c r="I115" s="235"/>
      <c r="J115" s="235"/>
      <c r="K115" s="235"/>
      <c r="L115" s="227"/>
    </row>
    <row r="116" spans="1:12" ht="13">
      <c r="A116" s="489"/>
      <c r="B116" s="1030" t="str">
        <f>"Only enter in the Prior Year, Lines "&amp;A25&amp;" to "&amp;A36&amp;", or portion of year formula was in effect in case of Partial Year True Up."</f>
        <v>Only enter in the Prior Year, Lines 12 to 23, or portion of year formula was in effect in case of Partial Year True Up.</v>
      </c>
      <c r="C116" s="235"/>
      <c r="D116" s="235"/>
      <c r="E116" s="235"/>
      <c r="F116" s="235"/>
      <c r="G116" s="235"/>
      <c r="H116" s="235"/>
      <c r="I116" s="235"/>
      <c r="J116" s="235"/>
      <c r="K116" s="235"/>
      <c r="L116" s="227"/>
    </row>
    <row r="117" spans="1:12" ht="13">
      <c r="A117" s="549"/>
      <c r="B117" s="1030" t="s">
        <v>1811</v>
      </c>
      <c r="C117" s="235"/>
      <c r="D117" s="235"/>
      <c r="E117" s="235"/>
      <c r="F117" s="235"/>
      <c r="G117" s="235"/>
      <c r="H117" s="235"/>
      <c r="I117" s="235"/>
      <c r="J117" s="235"/>
      <c r="K117" s="235"/>
      <c r="L117" s="227"/>
    </row>
    <row r="118" spans="1:12" ht="13">
      <c r="A118" s="2"/>
      <c r="B118" s="1032" t="s">
        <v>1059</v>
      </c>
      <c r="C118" s="235"/>
      <c r="D118" s="235"/>
      <c r="E118" s="235"/>
      <c r="F118" s="235"/>
      <c r="G118" s="235"/>
      <c r="H118" s="235"/>
      <c r="I118" s="235"/>
      <c r="J118" s="235"/>
      <c r="K118" s="235"/>
      <c r="L118" s="227"/>
    </row>
    <row r="119" spans="1:12" ht="13">
      <c r="A119" s="2"/>
      <c r="B119" s="1030" t="str">
        <f>"as shown on Lines "&amp;A77&amp;" to "&amp;A88&amp;", Column 1."</f>
        <v>as shown on Lines 63 to 74, Column 1.</v>
      </c>
      <c r="C119" s="235"/>
      <c r="D119" s="235"/>
      <c r="E119" s="235"/>
      <c r="F119" s="235"/>
      <c r="G119" s="235"/>
      <c r="H119" s="235"/>
      <c r="I119" s="235"/>
      <c r="J119" s="235"/>
      <c r="K119" s="235"/>
      <c r="L119" s="227"/>
    </row>
    <row r="120" spans="1:12" ht="13">
      <c r="A120" s="2"/>
      <c r="B120" s="1032" t="s">
        <v>2400</v>
      </c>
      <c r="C120" s="235"/>
      <c r="D120" s="235"/>
      <c r="E120" s="235"/>
      <c r="F120" s="235"/>
      <c r="G120" s="235"/>
      <c r="H120" s="235"/>
      <c r="I120" s="235"/>
      <c r="J120" s="235"/>
      <c r="K120" s="235"/>
      <c r="L120" s="227"/>
    </row>
    <row r="121" spans="1:12" ht="13">
      <c r="A121" s="2"/>
      <c r="B121" s="1032" t="s">
        <v>1600</v>
      </c>
      <c r="C121" s="235"/>
      <c r="D121" s="235"/>
      <c r="E121" s="235"/>
      <c r="F121" s="235"/>
      <c r="G121" s="235"/>
      <c r="H121" s="235"/>
      <c r="I121" s="235"/>
      <c r="J121" s="235"/>
      <c r="K121" s="235"/>
      <c r="L121" s="227"/>
    </row>
    <row r="122" spans="1:12" ht="13">
      <c r="A122" s="2"/>
      <c r="B122" s="462" t="s">
        <v>2257</v>
      </c>
      <c r="C122" s="235"/>
      <c r="D122" s="235"/>
      <c r="E122" s="235"/>
      <c r="F122" s="235"/>
      <c r="G122" s="235"/>
      <c r="H122" s="235"/>
      <c r="I122" s="235"/>
      <c r="J122" s="235"/>
      <c r="K122" s="235"/>
      <c r="L122" s="227"/>
    </row>
    <row r="123" spans="1:12" ht="13">
      <c r="A123" s="549"/>
      <c r="B123" s="845" t="s">
        <v>2258</v>
      </c>
      <c r="C123" s="235"/>
      <c r="D123" s="235"/>
      <c r="E123" s="235"/>
      <c r="F123" s="235"/>
      <c r="G123" s="235"/>
      <c r="H123" s="235"/>
      <c r="I123" s="235"/>
      <c r="J123" s="235"/>
      <c r="K123" s="235"/>
      <c r="L123" s="227"/>
    </row>
    <row r="124" spans="1:12" ht="13">
      <c r="A124" s="549"/>
      <c r="B124" s="462" t="s">
        <v>1060</v>
      </c>
      <c r="C124" s="235"/>
      <c r="D124" s="235"/>
      <c r="E124" s="235"/>
      <c r="F124" s="235"/>
      <c r="G124" s="235"/>
      <c r="H124" s="235"/>
      <c r="I124" s="235"/>
      <c r="J124" s="235"/>
      <c r="K124" s="235"/>
      <c r="L124" s="235"/>
    </row>
    <row r="125" spans="1:12" ht="13">
      <c r="A125" s="2"/>
      <c r="B125" s="846" t="s">
        <v>2259</v>
      </c>
      <c r="C125" s="235"/>
      <c r="D125" s="235"/>
      <c r="E125" s="235"/>
      <c r="F125" s="235"/>
      <c r="G125" s="235"/>
      <c r="H125" s="235"/>
      <c r="I125" s="235"/>
      <c r="J125" s="235"/>
      <c r="K125" s="235"/>
      <c r="L125" s="235"/>
    </row>
    <row r="126" spans="1:12" ht="13">
      <c r="A126" s="2"/>
      <c r="B126" s="462" t="s">
        <v>2260</v>
      </c>
      <c r="C126" s="235"/>
      <c r="D126" s="235"/>
      <c r="E126" s="235"/>
      <c r="F126" s="235"/>
      <c r="G126" s="235"/>
      <c r="H126" s="235"/>
      <c r="I126" s="235"/>
      <c r="J126" s="235"/>
      <c r="K126" s="235"/>
      <c r="L126" s="227"/>
    </row>
    <row r="127" spans="1:12" ht="13">
      <c r="A127" s="2"/>
      <c r="B127" s="462" t="s">
        <v>2261</v>
      </c>
      <c r="C127" s="235"/>
      <c r="D127" s="235"/>
      <c r="E127" s="235"/>
      <c r="F127" s="235"/>
      <c r="G127" s="235"/>
      <c r="H127" s="235"/>
      <c r="I127" s="235"/>
      <c r="J127" s="235"/>
      <c r="K127" s="235"/>
      <c r="L127" s="227"/>
    </row>
    <row r="128" spans="1:12" ht="13">
      <c r="A128" s="2"/>
      <c r="B128" s="845" t="s">
        <v>2657</v>
      </c>
      <c r="C128" s="235"/>
      <c r="D128" s="235"/>
      <c r="E128" s="235"/>
      <c r="F128" s="235"/>
      <c r="G128" s="235"/>
      <c r="H128" s="235"/>
      <c r="I128" s="235"/>
      <c r="J128" s="235"/>
      <c r="K128" s="235"/>
      <c r="L128" s="227"/>
    </row>
    <row r="129" spans="1:12" ht="13">
      <c r="A129" s="2"/>
      <c r="B129" s="845" t="s">
        <v>1863</v>
      </c>
      <c r="C129" s="235"/>
      <c r="D129" s="235"/>
      <c r="E129" s="235"/>
      <c r="F129" s="235"/>
      <c r="G129" s="235"/>
      <c r="H129" s="235"/>
      <c r="I129" s="235"/>
      <c r="J129" s="235"/>
      <c r="K129" s="235"/>
      <c r="L129" s="227"/>
    </row>
    <row r="130" spans="1:12" ht="13">
      <c r="A130" s="2"/>
      <c r="B130" s="845" t="s">
        <v>1864</v>
      </c>
      <c r="C130" s="235"/>
      <c r="D130" s="235"/>
      <c r="E130" s="235"/>
      <c r="F130" s="235"/>
      <c r="G130" s="235"/>
      <c r="H130" s="235"/>
      <c r="I130" s="235"/>
      <c r="J130" s="235"/>
      <c r="K130" s="235"/>
      <c r="L130" s="227"/>
    </row>
    <row r="131" spans="1:12" ht="13">
      <c r="A131" s="2"/>
      <c r="B131" s="462" t="s">
        <v>2262</v>
      </c>
      <c r="C131" s="235"/>
      <c r="D131" s="235"/>
      <c r="E131" s="235"/>
      <c r="F131" s="235"/>
      <c r="G131" s="235"/>
      <c r="H131" s="235"/>
      <c r="I131" s="235"/>
      <c r="J131" s="235"/>
      <c r="K131" s="235"/>
      <c r="L131" s="227"/>
    </row>
    <row r="132" spans="1:12" ht="13">
      <c r="A132" s="2"/>
      <c r="B132" s="845" t="s">
        <v>2025</v>
      </c>
      <c r="C132" s="235"/>
      <c r="D132" s="235"/>
      <c r="E132" s="235"/>
      <c r="F132" s="235"/>
      <c r="G132" s="235"/>
      <c r="H132" s="235"/>
      <c r="I132" s="235"/>
      <c r="J132" s="235"/>
      <c r="K132" s="235"/>
      <c r="L132" s="227"/>
    </row>
    <row r="133" spans="1:12" ht="13">
      <c r="A133" s="2"/>
      <c r="B133" s="845" t="s">
        <v>2024</v>
      </c>
      <c r="C133" s="235"/>
      <c r="D133" s="235"/>
      <c r="E133" s="235"/>
      <c r="F133" s="235"/>
      <c r="G133" s="235"/>
      <c r="H133" s="235"/>
      <c r="I133" s="235"/>
      <c r="J133" s="235"/>
      <c r="K133" s="235"/>
      <c r="L133" s="227"/>
    </row>
    <row r="134" spans="1:12">
      <c r="A134" s="227"/>
      <c r="B134" s="845" t="s">
        <v>2023</v>
      </c>
      <c r="C134" s="235"/>
      <c r="D134" s="235"/>
      <c r="E134" s="235"/>
      <c r="F134" s="235"/>
      <c r="G134" s="235"/>
      <c r="H134" s="235"/>
      <c r="I134" s="235"/>
      <c r="J134" s="235"/>
      <c r="K134" s="235"/>
      <c r="L134" s="227"/>
    </row>
    <row r="135" spans="1:12">
      <c r="A135" s="227"/>
      <c r="B135" s="845" t="s">
        <v>959</v>
      </c>
      <c r="C135" s="235"/>
      <c r="D135" s="235"/>
      <c r="E135" s="235"/>
      <c r="F135" s="235"/>
      <c r="G135" s="235"/>
      <c r="H135" s="235"/>
      <c r="I135" s="235"/>
      <c r="J135" s="235"/>
      <c r="K135" s="235"/>
      <c r="L135" s="227"/>
    </row>
    <row r="136" spans="1:12">
      <c r="A136" s="227"/>
      <c r="B136" s="46"/>
      <c r="C136" s="235"/>
      <c r="D136" s="235"/>
      <c r="E136" s="235"/>
      <c r="F136" s="235"/>
      <c r="G136" s="235"/>
      <c r="H136" s="235"/>
      <c r="I136" s="235"/>
      <c r="J136" s="235"/>
      <c r="K136" s="235"/>
      <c r="L136" s="227"/>
    </row>
    <row r="137" spans="1:12">
      <c r="A137" s="227"/>
      <c r="B137" s="367"/>
      <c r="C137" s="235"/>
      <c r="D137" s="235"/>
      <c r="E137" s="235"/>
      <c r="F137" s="235"/>
      <c r="G137" s="235"/>
      <c r="H137" s="235"/>
      <c r="I137" s="235"/>
      <c r="J137" s="235"/>
      <c r="K137" s="235"/>
      <c r="L137" s="227"/>
    </row>
    <row r="138" spans="1:12">
      <c r="A138" s="227"/>
      <c r="B138" s="845"/>
      <c r="C138" s="235"/>
      <c r="D138" s="235"/>
      <c r="E138" s="235"/>
      <c r="F138" s="235"/>
      <c r="G138" s="235"/>
      <c r="H138" s="235"/>
      <c r="I138" s="235"/>
      <c r="J138" s="235"/>
      <c r="K138" s="235"/>
      <c r="L138" s="227"/>
    </row>
    <row r="139" spans="1:12">
      <c r="A139" s="227"/>
      <c r="B139" s="845"/>
      <c r="C139" s="235"/>
      <c r="D139" s="235"/>
      <c r="E139" s="235"/>
      <c r="F139" s="235"/>
      <c r="G139" s="235"/>
      <c r="H139" s="235"/>
      <c r="I139" s="235"/>
      <c r="J139" s="235"/>
      <c r="K139" s="235"/>
      <c r="L139" s="227"/>
    </row>
    <row r="140" spans="1:12">
      <c r="A140" s="227"/>
      <c r="B140" s="46"/>
      <c r="C140" s="235"/>
      <c r="D140" s="235"/>
      <c r="E140" s="235"/>
      <c r="F140" s="235"/>
      <c r="G140" s="235"/>
      <c r="H140" s="235"/>
      <c r="I140" s="235"/>
      <c r="J140" s="235"/>
      <c r="K140" s="235"/>
      <c r="L140" s="227"/>
    </row>
    <row r="141" spans="1:12">
      <c r="A141" s="227"/>
      <c r="B141" s="845"/>
      <c r="C141" s="235"/>
      <c r="D141" s="235"/>
      <c r="E141" s="235"/>
      <c r="F141" s="235"/>
      <c r="G141" s="235"/>
      <c r="H141" s="235"/>
      <c r="I141" s="235"/>
      <c r="J141" s="235"/>
      <c r="K141" s="235"/>
      <c r="L141" s="227"/>
    </row>
    <row r="142" spans="1:12">
      <c r="A142" s="227"/>
      <c r="B142" s="845"/>
      <c r="C142" s="235"/>
      <c r="D142" s="235"/>
      <c r="E142" s="235"/>
      <c r="F142" s="235"/>
      <c r="G142" s="235"/>
      <c r="H142" s="235"/>
      <c r="I142" s="235"/>
      <c r="J142" s="235"/>
      <c r="K142" s="235"/>
      <c r="L142" s="227"/>
    </row>
    <row r="143" spans="1:12">
      <c r="A143" s="227"/>
      <c r="B143" s="845"/>
      <c r="C143" s="235"/>
      <c r="D143" s="235"/>
      <c r="E143" s="235"/>
      <c r="F143" s="235"/>
      <c r="G143" s="235"/>
      <c r="H143" s="235"/>
      <c r="I143" s="235"/>
      <c r="J143" s="235"/>
      <c r="K143" s="235"/>
      <c r="L143" s="227"/>
    </row>
    <row r="144" spans="1:12">
      <c r="A144" s="227"/>
      <c r="B144" s="367"/>
      <c r="C144" s="235"/>
      <c r="D144" s="235"/>
      <c r="E144" s="235"/>
      <c r="F144" s="235"/>
      <c r="G144" s="235"/>
      <c r="H144" s="235"/>
      <c r="I144" s="235"/>
      <c r="J144" s="235"/>
      <c r="K144" s="235"/>
      <c r="L144" s="227"/>
    </row>
    <row r="145" spans="1:12">
      <c r="A145" s="227"/>
      <c r="C145" s="227"/>
      <c r="D145" s="227"/>
      <c r="E145" s="227"/>
      <c r="F145" s="227"/>
      <c r="G145" s="227"/>
      <c r="H145" s="227"/>
      <c r="I145" s="227"/>
      <c r="J145" s="227"/>
      <c r="K145" s="227"/>
      <c r="L145" s="227"/>
    </row>
    <row r="146" spans="1:12">
      <c r="A146" s="227"/>
      <c r="B146" s="227"/>
      <c r="C146" s="227"/>
      <c r="D146" s="227"/>
      <c r="E146" s="227"/>
      <c r="F146" s="227"/>
      <c r="G146" s="227"/>
      <c r="H146" s="227"/>
      <c r="I146" s="227"/>
      <c r="J146" s="227"/>
      <c r="K146" s="227"/>
      <c r="L146" s="227"/>
    </row>
    <row r="147" spans="1:12">
      <c r="A147" s="227"/>
      <c r="B147" s="227"/>
      <c r="C147" s="227"/>
      <c r="D147" s="227"/>
      <c r="E147" s="227"/>
      <c r="F147" s="227"/>
      <c r="G147" s="227"/>
      <c r="H147" s="227"/>
      <c r="I147" s="227"/>
      <c r="J147" s="227"/>
      <c r="K147" s="227"/>
      <c r="L147" s="227"/>
    </row>
    <row r="148" spans="1:12">
      <c r="A148" s="227"/>
      <c r="B148" s="227"/>
      <c r="C148" s="227"/>
      <c r="D148" s="227"/>
      <c r="E148" s="227"/>
      <c r="F148" s="227"/>
      <c r="G148" s="227"/>
      <c r="H148" s="227"/>
      <c r="I148" s="227"/>
      <c r="J148" s="227"/>
      <c r="K148" s="227"/>
      <c r="L148" s="227"/>
    </row>
    <row r="149" spans="1:12">
      <c r="A149" s="227"/>
      <c r="B149" s="227"/>
      <c r="C149" s="227"/>
      <c r="D149" s="227"/>
      <c r="E149" s="227"/>
      <c r="F149" s="227"/>
      <c r="G149" s="227"/>
      <c r="H149" s="227"/>
      <c r="I149" s="227"/>
      <c r="J149" s="227"/>
      <c r="K149" s="227"/>
      <c r="L149" s="227"/>
    </row>
    <row r="150" spans="1:12">
      <c r="A150" s="227"/>
      <c r="B150" s="227"/>
      <c r="C150" s="227"/>
      <c r="D150" s="227"/>
      <c r="E150" s="227"/>
      <c r="F150" s="227"/>
      <c r="G150" s="227"/>
      <c r="H150" s="227"/>
      <c r="I150" s="227"/>
      <c r="J150" s="227"/>
      <c r="K150" s="227"/>
      <c r="L150" s="227"/>
    </row>
    <row r="151" spans="1:12">
      <c r="A151" s="227"/>
      <c r="B151" s="227"/>
      <c r="C151" s="227"/>
      <c r="D151" s="227"/>
      <c r="E151" s="227"/>
      <c r="F151" s="227"/>
      <c r="G151" s="227"/>
      <c r="H151" s="227"/>
      <c r="I151" s="227"/>
      <c r="J151" s="227"/>
      <c r="K151" s="227"/>
      <c r="L151" s="227"/>
    </row>
    <row r="152" spans="1:12">
      <c r="A152" s="227"/>
      <c r="B152" s="227"/>
      <c r="C152" s="227"/>
      <c r="D152" s="227"/>
      <c r="E152" s="227"/>
      <c r="F152" s="227"/>
      <c r="G152" s="227"/>
      <c r="H152" s="227"/>
      <c r="I152" s="227"/>
      <c r="J152" s="227"/>
      <c r="K152" s="227"/>
      <c r="L152" s="227"/>
    </row>
    <row r="153" spans="1:12">
      <c r="A153" s="227"/>
      <c r="B153" s="227"/>
      <c r="C153" s="227"/>
      <c r="D153" s="227"/>
      <c r="E153" s="227"/>
      <c r="F153" s="227"/>
      <c r="G153" s="227"/>
      <c r="H153" s="227"/>
      <c r="I153" s="227"/>
      <c r="J153" s="227"/>
      <c r="K153" s="227"/>
      <c r="L153" s="227"/>
    </row>
    <row r="154" spans="1:12">
      <c r="A154" s="227"/>
      <c r="B154" s="227"/>
      <c r="C154" s="227"/>
      <c r="D154" s="227"/>
      <c r="E154" s="227"/>
      <c r="F154" s="227"/>
      <c r="G154" s="227"/>
      <c r="H154" s="227"/>
      <c r="I154" s="227"/>
      <c r="J154" s="227"/>
      <c r="K154" s="227"/>
      <c r="L154" s="227"/>
    </row>
    <row r="155" spans="1:12">
      <c r="A155" s="227"/>
      <c r="B155" s="227"/>
      <c r="C155" s="227"/>
      <c r="D155" s="227"/>
      <c r="E155" s="227"/>
      <c r="F155" s="227"/>
      <c r="G155" s="227"/>
      <c r="H155" s="227"/>
      <c r="I155" s="227"/>
      <c r="J155" s="227"/>
      <c r="K155" s="227"/>
      <c r="L155" s="227"/>
    </row>
    <row r="156" spans="1:12">
      <c r="A156" s="227"/>
      <c r="B156" s="227"/>
      <c r="C156" s="227"/>
      <c r="D156" s="227"/>
      <c r="E156" s="227"/>
      <c r="F156" s="227"/>
      <c r="G156" s="227"/>
      <c r="H156" s="227"/>
      <c r="I156" s="227"/>
      <c r="J156" s="227"/>
      <c r="K156" s="227"/>
      <c r="L156" s="227"/>
    </row>
    <row r="157" spans="1:12">
      <c r="A157" s="227"/>
      <c r="B157" s="227"/>
      <c r="C157" s="227"/>
      <c r="D157" s="227"/>
      <c r="E157" s="227"/>
      <c r="F157" s="227"/>
      <c r="G157" s="227"/>
      <c r="H157" s="227"/>
      <c r="I157" s="227"/>
      <c r="J157" s="227"/>
      <c r="K157" s="227"/>
      <c r="L157" s="227"/>
    </row>
    <row r="158" spans="1:12">
      <c r="A158" s="227"/>
      <c r="B158" s="227"/>
      <c r="C158" s="227"/>
      <c r="D158" s="227"/>
      <c r="E158" s="227"/>
      <c r="F158" s="227"/>
      <c r="G158" s="227"/>
      <c r="H158" s="227"/>
      <c r="I158" s="227"/>
      <c r="J158" s="227"/>
      <c r="K158" s="227"/>
      <c r="L158" s="227"/>
    </row>
    <row r="159" spans="1:12">
      <c r="A159" s="227"/>
      <c r="B159" s="227"/>
      <c r="C159" s="227"/>
      <c r="D159" s="227"/>
      <c r="E159" s="227"/>
      <c r="F159" s="227"/>
      <c r="G159" s="227"/>
      <c r="H159" s="227"/>
      <c r="I159" s="227"/>
      <c r="J159" s="227"/>
      <c r="K159" s="227"/>
      <c r="L159" s="227"/>
    </row>
    <row r="160" spans="1:12">
      <c r="A160" s="227"/>
      <c r="B160" s="227"/>
      <c r="C160" s="227"/>
      <c r="D160" s="227"/>
      <c r="E160" s="227"/>
      <c r="F160" s="227"/>
      <c r="G160" s="227"/>
      <c r="H160" s="227"/>
      <c r="I160" s="227"/>
      <c r="J160" s="227"/>
      <c r="K160" s="227"/>
      <c r="L160" s="227"/>
    </row>
    <row r="161" spans="1:12">
      <c r="A161" s="227"/>
      <c r="B161" s="227"/>
      <c r="C161" s="227"/>
      <c r="D161" s="227"/>
      <c r="E161" s="227"/>
      <c r="F161" s="227"/>
      <c r="G161" s="227"/>
      <c r="H161" s="227"/>
      <c r="I161" s="227"/>
      <c r="J161" s="227"/>
      <c r="K161" s="227"/>
      <c r="L161" s="227"/>
    </row>
    <row r="162" spans="1:12">
      <c r="A162" s="227"/>
      <c r="B162" s="227"/>
      <c r="C162" s="227"/>
      <c r="D162" s="227"/>
      <c r="E162" s="227"/>
      <c r="F162" s="227"/>
      <c r="G162" s="227"/>
      <c r="H162" s="227"/>
      <c r="I162" s="227"/>
      <c r="J162" s="227"/>
      <c r="K162" s="227"/>
      <c r="L162" s="227"/>
    </row>
    <row r="163" spans="1:12">
      <c r="A163" s="227"/>
      <c r="B163" s="227"/>
      <c r="C163" s="227"/>
      <c r="D163" s="227"/>
      <c r="E163" s="227"/>
      <c r="F163" s="227"/>
      <c r="G163" s="227"/>
      <c r="H163" s="227"/>
      <c r="I163" s="227"/>
      <c r="J163" s="227"/>
      <c r="K163" s="227"/>
      <c r="L163" s="227"/>
    </row>
    <row r="164" spans="1:12">
      <c r="A164" s="227"/>
      <c r="B164" s="227"/>
      <c r="C164" s="227"/>
      <c r="D164" s="227"/>
      <c r="E164" s="227"/>
      <c r="F164" s="227"/>
      <c r="G164" s="227"/>
      <c r="H164" s="227"/>
      <c r="I164" s="227"/>
      <c r="J164" s="227"/>
      <c r="K164" s="227"/>
      <c r="L164" s="227"/>
    </row>
    <row r="165" spans="1:12">
      <c r="A165" s="227"/>
      <c r="B165" s="227"/>
      <c r="C165" s="227"/>
      <c r="D165" s="227"/>
      <c r="E165" s="227"/>
      <c r="F165" s="227"/>
      <c r="G165" s="227"/>
      <c r="H165" s="227"/>
      <c r="I165" s="227"/>
      <c r="J165" s="227"/>
      <c r="K165" s="227"/>
      <c r="L165" s="227"/>
    </row>
    <row r="166" spans="1:12">
      <c r="A166" s="227"/>
      <c r="B166" s="227"/>
      <c r="C166" s="227"/>
      <c r="D166" s="227"/>
      <c r="E166" s="227"/>
      <c r="F166" s="227"/>
      <c r="G166" s="227"/>
      <c r="H166" s="227"/>
      <c r="I166" s="227"/>
      <c r="J166" s="227"/>
      <c r="K166" s="227"/>
      <c r="L166" s="227"/>
    </row>
    <row r="167" spans="1:12">
      <c r="A167" s="227"/>
      <c r="B167" s="227"/>
      <c r="C167" s="227"/>
      <c r="D167" s="227"/>
      <c r="E167" s="227"/>
      <c r="F167" s="227"/>
      <c r="G167" s="227"/>
      <c r="H167" s="227"/>
      <c r="I167" s="227"/>
      <c r="J167" s="227"/>
      <c r="K167" s="227"/>
      <c r="L167" s="227"/>
    </row>
    <row r="168" spans="1:12">
      <c r="A168" s="227"/>
      <c r="B168" s="227"/>
      <c r="C168" s="227"/>
      <c r="D168" s="227"/>
      <c r="E168" s="227"/>
      <c r="F168" s="227"/>
      <c r="G168" s="227"/>
      <c r="H168" s="227"/>
      <c r="I168" s="227"/>
      <c r="J168" s="227"/>
      <c r="K168" s="227"/>
      <c r="L168" s="227"/>
    </row>
    <row r="169" spans="1:12">
      <c r="A169" s="227"/>
      <c r="B169" s="227"/>
      <c r="C169" s="227"/>
      <c r="D169" s="227"/>
      <c r="E169" s="227"/>
      <c r="F169" s="227"/>
      <c r="G169" s="227"/>
      <c r="H169" s="227"/>
      <c r="I169" s="227"/>
      <c r="J169" s="227"/>
      <c r="K169" s="227"/>
      <c r="L169" s="227"/>
    </row>
  </sheetData>
  <pageMargins left="0.7" right="0.7" top="0.75" bottom="0.75" header="0.3" footer="0.3"/>
  <pageSetup scale="72" orientation="landscape" cellComments="asDisplayed" r:id="rId1"/>
  <headerFooter>
    <oddHeader>&amp;CSchedule 3
True Up Adjustment
&amp;RTO2022 Draft  Annual Update 
Attachment 1</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72"/>
  <sheetViews>
    <sheetView zoomScaleNormal="10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5.54296875" customWidth="1"/>
    <col min="11" max="11" width="2.54296875" customWidth="1"/>
    <col min="12" max="12" width="14.453125" customWidth="1"/>
    <col min="13" max="13" width="4.453125" customWidth="1"/>
    <col min="14" max="14" width="15.453125" customWidth="1"/>
  </cols>
  <sheetData>
    <row r="1" spans="1:14" ht="13">
      <c r="A1" s="1" t="s">
        <v>1665</v>
      </c>
    </row>
    <row r="2" spans="1:14">
      <c r="H2" s="14"/>
    </row>
    <row r="3" spans="1:14" ht="13">
      <c r="B3" s="83" t="s">
        <v>1473</v>
      </c>
      <c r="L3" s="549"/>
      <c r="M3" s="955"/>
      <c r="N3" s="955"/>
    </row>
    <row r="4" spans="1:14" ht="13">
      <c r="B4" s="70"/>
      <c r="F4" s="2" t="s">
        <v>154</v>
      </c>
      <c r="G4" s="2"/>
      <c r="H4" s="2" t="s">
        <v>169</v>
      </c>
      <c r="L4" s="549"/>
      <c r="M4" s="955"/>
      <c r="N4" s="549"/>
    </row>
    <row r="5" spans="1:14" ht="13">
      <c r="A5" s="53" t="s">
        <v>319</v>
      </c>
      <c r="B5" s="16"/>
      <c r="C5" s="51" t="s">
        <v>152</v>
      </c>
      <c r="F5" s="3" t="s">
        <v>153</v>
      </c>
      <c r="G5" s="3" t="s">
        <v>168</v>
      </c>
      <c r="H5" s="3" t="s">
        <v>170</v>
      </c>
      <c r="J5" s="3" t="s">
        <v>175</v>
      </c>
      <c r="L5" s="3"/>
      <c r="M5" s="955"/>
      <c r="N5" s="3"/>
    </row>
    <row r="6" spans="1:14" ht="13">
      <c r="A6" s="109">
        <v>1</v>
      </c>
      <c r="B6" s="14"/>
      <c r="C6" s="108" t="s">
        <v>1043</v>
      </c>
      <c r="D6" s="14"/>
      <c r="E6" s="14"/>
      <c r="F6" s="14" t="s">
        <v>10</v>
      </c>
      <c r="G6" s="14"/>
      <c r="H6" s="108" t="str">
        <f>"6-PlantInService, Line "&amp;'6-PlantInService'!A43&amp;""</f>
        <v>6-PlantInService, Line 18</v>
      </c>
      <c r="I6" s="14"/>
      <c r="J6" s="63">
        <f>'6-PlantInService'!D43</f>
        <v>9465884220.0723038</v>
      </c>
      <c r="L6" s="63"/>
      <c r="N6" s="7"/>
    </row>
    <row r="7" spans="1:14" ht="13">
      <c r="A7" s="109">
        <f>A6+1</f>
        <v>2</v>
      </c>
      <c r="B7" s="14"/>
      <c r="C7" s="108" t="s">
        <v>1189</v>
      </c>
      <c r="D7" s="14"/>
      <c r="E7" s="14"/>
      <c r="F7" s="14" t="s">
        <v>155</v>
      </c>
      <c r="G7" s="14"/>
      <c r="H7" s="108" t="str">
        <f>"6-PlantInService, Line "&amp;'6-PlantInService'!A59&amp;""</f>
        <v>6-PlantInService, Line 24</v>
      </c>
      <c r="I7" s="14"/>
      <c r="J7" s="63">
        <f>'6-PlantInService'!F59</f>
        <v>332908756.3242045</v>
      </c>
      <c r="L7" s="63"/>
      <c r="N7" s="7"/>
    </row>
    <row r="8" spans="1:14" ht="13">
      <c r="A8" s="109">
        <f>A7+1</f>
        <v>3</v>
      </c>
      <c r="B8" s="14"/>
      <c r="C8" s="108" t="s">
        <v>157</v>
      </c>
      <c r="D8" s="14"/>
      <c r="E8" s="14"/>
      <c r="F8" s="14" t="s">
        <v>155</v>
      </c>
      <c r="G8" s="14"/>
      <c r="H8" s="14" t="str">
        <f>"11-PHFU, Line "&amp;'11-PHFU'!A42&amp;""</f>
        <v>11-PHFU, Line 9</v>
      </c>
      <c r="I8" s="14"/>
      <c r="J8" s="63">
        <f>'11-PHFU'!D42</f>
        <v>9942155</v>
      </c>
      <c r="L8" s="63"/>
      <c r="N8" s="7"/>
    </row>
    <row r="9" spans="1:14" ht="13">
      <c r="A9" s="109">
        <f>A8+1</f>
        <v>4</v>
      </c>
      <c r="B9" s="14"/>
      <c r="C9" s="108" t="s">
        <v>312</v>
      </c>
      <c r="D9" s="14"/>
      <c r="E9" s="14"/>
      <c r="F9" s="14" t="s">
        <v>155</v>
      </c>
      <c r="G9" s="14"/>
      <c r="H9" s="15" t="str">
        <f>"12-AbandonedPlant Line "&amp;'12-AbandonedPlant'!A21&amp;""</f>
        <v>12-AbandonedPlant Line 4</v>
      </c>
      <c r="I9" s="14"/>
      <c r="J9" s="63">
        <f>'12-AbandonedPlant'!G21</f>
        <v>0</v>
      </c>
      <c r="L9" s="63"/>
      <c r="N9" s="7"/>
    </row>
    <row r="10" spans="1:14" ht="13">
      <c r="A10" s="109"/>
      <c r="B10" s="14"/>
      <c r="C10" s="108"/>
      <c r="D10" s="14"/>
      <c r="E10" s="14"/>
      <c r="F10" s="14"/>
      <c r="G10" s="14"/>
      <c r="H10" s="14"/>
      <c r="I10" s="14"/>
      <c r="J10" s="63"/>
      <c r="L10" s="63"/>
      <c r="N10" s="7"/>
    </row>
    <row r="11" spans="1:14" ht="13">
      <c r="A11" s="109"/>
      <c r="B11" s="14"/>
      <c r="C11" s="45" t="s">
        <v>277</v>
      </c>
      <c r="D11" s="14"/>
      <c r="E11" s="14"/>
      <c r="F11" s="14"/>
      <c r="G11" s="14"/>
      <c r="H11" s="14"/>
      <c r="I11" s="14"/>
      <c r="J11" s="63"/>
      <c r="L11" s="63"/>
      <c r="N11" s="7"/>
    </row>
    <row r="12" spans="1:14" ht="13">
      <c r="A12" s="109">
        <f>A9+1</f>
        <v>5</v>
      </c>
      <c r="B12" s="14"/>
      <c r="C12" s="46" t="s">
        <v>91</v>
      </c>
      <c r="D12" s="14"/>
      <c r="E12" s="14"/>
      <c r="F12" s="14" t="s">
        <v>10</v>
      </c>
      <c r="G12" s="14"/>
      <c r="H12" s="108" t="str">
        <f>"13-WorkCap, Line "&amp;'13-WorkCap'!A27&amp;""</f>
        <v>13-WorkCap, Line 17</v>
      </c>
      <c r="I12" s="14"/>
      <c r="J12" s="63">
        <f>'13-WorkCap'!F27</f>
        <v>26340762.822759144</v>
      </c>
      <c r="L12" s="63"/>
      <c r="N12" s="7"/>
    </row>
    <row r="13" spans="1:14" ht="13">
      <c r="A13" s="109">
        <f>A12+1</f>
        <v>6</v>
      </c>
      <c r="B13" s="14"/>
      <c r="C13" s="112" t="s">
        <v>92</v>
      </c>
      <c r="D13" s="14"/>
      <c r="E13" s="14"/>
      <c r="F13" s="14" t="s">
        <v>10</v>
      </c>
      <c r="G13" s="14"/>
      <c r="H13" s="108" t="str">
        <f>"13-WorkCap, Line "&amp;'13-WorkCap'!A51&amp;""</f>
        <v>13-WorkCap, Line 33</v>
      </c>
      <c r="I13" s="14"/>
      <c r="J13" s="63">
        <f>'13-WorkCap'!F51</f>
        <v>17290744.842441369</v>
      </c>
      <c r="L13" s="63"/>
      <c r="N13" s="7"/>
    </row>
    <row r="14" spans="1:14" ht="13">
      <c r="A14" s="109">
        <f>A13+1</f>
        <v>7</v>
      </c>
      <c r="B14" s="14"/>
      <c r="C14" s="46" t="s">
        <v>172</v>
      </c>
      <c r="D14" s="14"/>
      <c r="E14" s="14"/>
      <c r="F14" s="465" t="s">
        <v>2417</v>
      </c>
      <c r="G14" s="14"/>
      <c r="H14" s="14" t="str">
        <f>"1-Base TRR Line "&amp;'1-BaseTRR'!A17&amp;""</f>
        <v>1-Base TRR Line 7</v>
      </c>
      <c r="I14" s="14"/>
      <c r="J14" s="101">
        <f>'1-BaseTRR'!K17</f>
        <v>37591188.718961693</v>
      </c>
      <c r="L14" s="110"/>
      <c r="N14" s="7"/>
    </row>
    <row r="15" spans="1:14" ht="13">
      <c r="A15" s="109">
        <f>A14+1</f>
        <v>8</v>
      </c>
      <c r="B15" s="14"/>
      <c r="C15" s="46" t="s">
        <v>90</v>
      </c>
      <c r="D15" s="14"/>
      <c r="E15" s="14"/>
      <c r="F15" s="14"/>
      <c r="G15" s="14"/>
      <c r="H15" s="14" t="str">
        <f>"Line "&amp;A12&amp;" + Line "&amp;A13&amp;" + Line "&amp;A14&amp;""</f>
        <v>Line 5 + Line 6 + Line 7</v>
      </c>
      <c r="I15" s="14"/>
      <c r="J15" s="63">
        <f>SUM(J12:J14)</f>
        <v>81222696.384162217</v>
      </c>
      <c r="L15" s="63"/>
      <c r="N15" s="7"/>
    </row>
    <row r="16" spans="1:14" ht="13">
      <c r="A16" s="109"/>
      <c r="B16" s="14"/>
      <c r="C16" s="46"/>
      <c r="D16" s="14"/>
      <c r="E16" s="14"/>
      <c r="F16" s="14"/>
      <c r="G16" s="14"/>
      <c r="H16" s="14"/>
      <c r="I16" s="14"/>
      <c r="J16" s="63"/>
      <c r="L16" s="63"/>
      <c r="N16" s="7"/>
    </row>
    <row r="17" spans="1:14" ht="13">
      <c r="A17" s="109"/>
      <c r="B17" s="14"/>
      <c r="C17" s="850" t="s">
        <v>278</v>
      </c>
      <c r="D17" s="14"/>
      <c r="E17" s="14"/>
      <c r="F17" s="14"/>
      <c r="G17" s="14"/>
      <c r="H17" s="14"/>
      <c r="I17" s="14"/>
      <c r="J17" s="63"/>
      <c r="L17" s="63"/>
      <c r="N17" s="7"/>
    </row>
    <row r="18" spans="1:14" ht="13">
      <c r="A18" s="109">
        <f>A15+1</f>
        <v>9</v>
      </c>
      <c r="B18" s="14"/>
      <c r="C18" s="462" t="s">
        <v>1636</v>
      </c>
      <c r="D18" s="14"/>
      <c r="E18" s="14"/>
      <c r="F18" s="14" t="s">
        <v>10</v>
      </c>
      <c r="G18" s="14" t="s">
        <v>151</v>
      </c>
      <c r="H18" s="108" t="str">
        <f>"8-AccDep, Line "&amp;'8-AccDep'!A25&amp;", Col. 12"</f>
        <v>8-AccDep, Line 14, Col. 12</v>
      </c>
      <c r="I18" s="14"/>
      <c r="J18" s="63">
        <f>-'8-AccDep'!N25</f>
        <v>-1985745438.4659734</v>
      </c>
      <c r="L18" s="63"/>
      <c r="N18" s="7"/>
    </row>
    <row r="19" spans="1:14" ht="13">
      <c r="A19" s="109">
        <f>A18+1</f>
        <v>10</v>
      </c>
      <c r="B19" s="14"/>
      <c r="C19" s="462" t="s">
        <v>1637</v>
      </c>
      <c r="D19" s="14"/>
      <c r="E19" s="14"/>
      <c r="F19" s="14" t="s">
        <v>155</v>
      </c>
      <c r="G19" s="14" t="s">
        <v>151</v>
      </c>
      <c r="H19" s="108" t="str">
        <f>"8-AccDep, Line "&amp;'8-AccDep'!A35&amp;", Col. 5"</f>
        <v>8-AccDep, Line 17, Col. 5</v>
      </c>
      <c r="I19" s="14"/>
      <c r="J19" s="63">
        <f>-'8-AccDep'!G35</f>
        <v>0</v>
      </c>
      <c r="L19" s="63"/>
      <c r="N19" s="7"/>
    </row>
    <row r="20" spans="1:14" ht="13">
      <c r="A20" s="109">
        <f>A19+1</f>
        <v>11</v>
      </c>
      <c r="B20" s="14"/>
      <c r="C20" s="46" t="s">
        <v>307</v>
      </c>
      <c r="D20" s="22"/>
      <c r="E20" s="14"/>
      <c r="F20" s="14" t="s">
        <v>155</v>
      </c>
      <c r="G20" s="14" t="s">
        <v>151</v>
      </c>
      <c r="H20" s="108" t="str">
        <f>"8-AccDep, Line "&amp;'8-AccDep'!A53&amp;""</f>
        <v>8-AccDep, Line 23</v>
      </c>
      <c r="I20" s="14"/>
      <c r="J20" s="101">
        <f>-'8-AccDep'!F53</f>
        <v>-123438027.96620692</v>
      </c>
      <c r="L20" s="63"/>
      <c r="N20" s="7"/>
    </row>
    <row r="21" spans="1:14" ht="13">
      <c r="A21" s="109">
        <f>A20+1</f>
        <v>12</v>
      </c>
      <c r="B21" s="14"/>
      <c r="C21" s="851" t="s">
        <v>163</v>
      </c>
      <c r="D21" s="22"/>
      <c r="E21" s="14"/>
      <c r="F21" s="14"/>
      <c r="G21" s="14"/>
      <c r="H21" s="14" t="str">
        <f>"Line "&amp;A18&amp;" + Line "&amp;A19&amp;" + Line "&amp;A20&amp;""</f>
        <v>Line 9 + Line 10 + Line 11</v>
      </c>
      <c r="I21" s="14"/>
      <c r="J21" s="63">
        <f>SUM(J18:J20)</f>
        <v>-2109183466.4321804</v>
      </c>
      <c r="L21" s="63"/>
      <c r="N21" s="7"/>
    </row>
    <row r="22" spans="1:14" ht="13">
      <c r="A22" s="109"/>
      <c r="B22" s="14"/>
      <c r="C22" s="15"/>
      <c r="D22" s="14"/>
      <c r="E22" s="14"/>
      <c r="F22" s="14"/>
      <c r="G22" s="14"/>
      <c r="H22" s="14"/>
      <c r="I22" s="14"/>
      <c r="J22" s="63"/>
      <c r="L22" s="63"/>
      <c r="N22" s="7"/>
    </row>
    <row r="23" spans="1:14" ht="13">
      <c r="A23" s="109">
        <f>A21+1</f>
        <v>13</v>
      </c>
      <c r="B23" s="14"/>
      <c r="C23" s="839" t="s">
        <v>164</v>
      </c>
      <c r="D23" s="14"/>
      <c r="E23" s="14"/>
      <c r="F23" s="841" t="s">
        <v>155</v>
      </c>
      <c r="G23" s="14"/>
      <c r="H23" s="108" t="str">
        <f>"9-ADIT-1, Line "&amp;'9-ADIT-1'!A24&amp;""</f>
        <v>9-ADIT-1, Line 15</v>
      </c>
      <c r="I23" s="14"/>
      <c r="J23" s="63">
        <f>'9-ADIT-1'!D24</f>
        <v>-1575990541.3131921</v>
      </c>
      <c r="L23" s="63"/>
      <c r="N23" s="7"/>
    </row>
    <row r="24" spans="1:14" ht="13">
      <c r="A24" s="109">
        <f>A23+1</f>
        <v>14</v>
      </c>
      <c r="B24" s="14"/>
      <c r="C24" s="108" t="s">
        <v>240</v>
      </c>
      <c r="D24" s="14"/>
      <c r="E24" s="14"/>
      <c r="F24" s="14" t="s">
        <v>10</v>
      </c>
      <c r="G24" s="14"/>
      <c r="H24" s="108" t="str">
        <f>"14-IncentivePlant, L "&amp;'14-IncentivePlant'!A38&amp;", C2"</f>
        <v>14-IncentivePlant, L 13, C2</v>
      </c>
      <c r="I24" s="14"/>
      <c r="J24" s="63">
        <f>'14-IncentivePlant'!F38</f>
        <v>792332585.2238462</v>
      </c>
      <c r="L24" s="63"/>
      <c r="N24" s="7"/>
    </row>
    <row r="25" spans="1:14" ht="13">
      <c r="A25" s="109">
        <f>A24+1</f>
        <v>15</v>
      </c>
      <c r="B25" s="14"/>
      <c r="C25" s="839" t="s">
        <v>55</v>
      </c>
      <c r="D25" s="14"/>
      <c r="E25" s="14"/>
      <c r="F25" s="14" t="s">
        <v>155</v>
      </c>
      <c r="G25" s="14" t="s">
        <v>151</v>
      </c>
      <c r="H25" s="108" t="str">
        <f>"22-NUCs, Line "&amp;'22-NUCs'!A15&amp;""</f>
        <v>22-NUCs, Line 7</v>
      </c>
      <c r="I25" s="14"/>
      <c r="J25" s="63">
        <f>-'22-NUCs'!E15</f>
        <v>-27970499.5</v>
      </c>
      <c r="L25" s="63"/>
      <c r="N25" s="7"/>
    </row>
    <row r="26" spans="1:14" ht="13">
      <c r="A26" s="109">
        <f t="shared" ref="A26:A27" si="0">A25+1</f>
        <v>16</v>
      </c>
      <c r="B26" s="14"/>
      <c r="C26" s="841" t="s">
        <v>1953</v>
      </c>
      <c r="D26" s="14"/>
      <c r="E26" s="14"/>
      <c r="F26" s="14"/>
      <c r="G26" s="14"/>
      <c r="H26" s="15" t="str">
        <f>"34-UnfundedReserves, Line "&amp;'34-UnfundedReserves'!A10&amp;""</f>
        <v>34-UnfundedReserves, Line 7</v>
      </c>
      <c r="I26" s="14"/>
      <c r="J26" s="63">
        <f>'34-UnfundedReserves'!K10</f>
        <v>-241129451.01540288</v>
      </c>
      <c r="L26" s="63"/>
      <c r="N26" s="7"/>
    </row>
    <row r="27" spans="1:14" ht="13">
      <c r="A27" s="109">
        <f t="shared" si="0"/>
        <v>17</v>
      </c>
      <c r="B27" s="14"/>
      <c r="C27" s="839" t="s">
        <v>362</v>
      </c>
      <c r="D27" s="14"/>
      <c r="E27" s="14"/>
      <c r="F27" s="14" t="s">
        <v>155</v>
      </c>
      <c r="G27" s="14"/>
      <c r="H27" s="108" t="str">
        <f>"23-RegAssets, Line "&amp;'23-RegAssets'!A18&amp;""</f>
        <v>23-RegAssets, Line 15</v>
      </c>
      <c r="I27" s="14"/>
      <c r="J27" s="63">
        <f>'23-RegAssets'!E18</f>
        <v>0</v>
      </c>
      <c r="L27" s="63"/>
      <c r="N27" s="7"/>
    </row>
    <row r="28" spans="1:14" ht="13">
      <c r="A28" s="109"/>
      <c r="B28" s="14"/>
      <c r="C28" s="839"/>
      <c r="D28" s="14"/>
      <c r="E28" s="14"/>
      <c r="F28" s="14"/>
      <c r="G28" s="14"/>
      <c r="H28" s="14"/>
      <c r="I28" s="14"/>
      <c r="J28" s="14"/>
      <c r="L28" s="63"/>
      <c r="N28" s="7"/>
    </row>
    <row r="29" spans="1:14" ht="13">
      <c r="A29" s="109">
        <f>A27+1</f>
        <v>18</v>
      </c>
      <c r="B29" s="14"/>
      <c r="C29" s="14" t="s">
        <v>173</v>
      </c>
      <c r="D29" s="14"/>
      <c r="E29" s="14"/>
      <c r="F29" s="14"/>
      <c r="G29" s="14"/>
      <c r="H29" s="14" t="str">
        <f>"L"&amp;A6&amp;"+L"&amp;A7&amp;"+L"&amp;A8&amp;"+L"&amp;A9&amp;"+L"&amp;A15&amp;"+L"&amp;A21&amp;"+"</f>
        <v>L1+L2+L3+L4+L8+L12+</v>
      </c>
      <c r="I29" s="14"/>
      <c r="J29" s="63">
        <f>J6+ J7+J8+J9+J15+J21+J23+J24+J25+J26+J27</f>
        <v>6728016454.7437429</v>
      </c>
      <c r="L29" s="63"/>
      <c r="N29" s="7"/>
    </row>
    <row r="30" spans="1:14" ht="13">
      <c r="A30" s="109"/>
      <c r="B30" s="14"/>
      <c r="C30" s="14"/>
      <c r="D30" s="14"/>
      <c r="E30" s="14"/>
      <c r="F30" s="14"/>
      <c r="G30" s="14"/>
      <c r="H30" s="14" t="str">
        <f>"L"&amp;A23&amp;"+L"&amp;A24&amp;"+L"&amp;A25&amp;"+L"&amp;A26&amp;"+L"&amp;A27&amp;""</f>
        <v>L13+L14+L15+L16+L17</v>
      </c>
      <c r="I30" s="14"/>
      <c r="J30" s="63"/>
      <c r="L30" s="63"/>
      <c r="N30" s="7"/>
    </row>
    <row r="31" spans="1:14" ht="13">
      <c r="A31" s="109"/>
      <c r="B31" s="44" t="s">
        <v>2157</v>
      </c>
      <c r="D31" s="14"/>
      <c r="E31" s="14"/>
      <c r="F31" s="14"/>
      <c r="G31" s="14"/>
      <c r="H31" s="14"/>
      <c r="I31" s="14"/>
      <c r="J31" s="63"/>
      <c r="L31" s="63"/>
      <c r="N31" s="7"/>
    </row>
    <row r="32" spans="1:14" ht="13">
      <c r="A32" s="539" t="s">
        <v>319</v>
      </c>
      <c r="B32" s="14"/>
      <c r="C32" s="44"/>
      <c r="D32" s="14"/>
      <c r="E32" s="14"/>
      <c r="F32" s="14"/>
      <c r="G32" s="14"/>
      <c r="H32" s="14"/>
      <c r="I32" s="14"/>
      <c r="J32" s="63"/>
      <c r="L32" s="63"/>
      <c r="N32" s="7"/>
    </row>
    <row r="33" spans="1:14" ht="13">
      <c r="A33" s="109">
        <f>A29+1</f>
        <v>19</v>
      </c>
      <c r="B33" s="465"/>
      <c r="C33" s="465" t="s">
        <v>53</v>
      </c>
      <c r="D33" s="465"/>
      <c r="E33" s="465"/>
      <c r="F33" s="465"/>
      <c r="G33" s="465" t="s">
        <v>1827</v>
      </c>
      <c r="H33" s="465" t="str">
        <f>"Instruction 1, Line "&amp;B98&amp;""</f>
        <v>Instruction 1, Line j</v>
      </c>
      <c r="I33" s="465"/>
      <c r="J33" s="389">
        <f>E98</f>
        <v>7.3079585284127238E-2</v>
      </c>
      <c r="L33" s="67"/>
      <c r="M33" s="8"/>
      <c r="N33" s="8"/>
    </row>
    <row r="34" spans="1:14" ht="13">
      <c r="A34" s="2">
        <f>A33+1</f>
        <v>20</v>
      </c>
      <c r="C34" s="15" t="s">
        <v>54</v>
      </c>
      <c r="D34" s="15"/>
      <c r="E34" s="15"/>
      <c r="F34" s="15"/>
      <c r="G34" s="15"/>
      <c r="H34" t="str">
        <f>"Line "&amp;A29&amp;" * Line "&amp;A33&amp;""</f>
        <v>Line 18 * Line 19</v>
      </c>
      <c r="J34" s="47">
        <f>J29*J33</f>
        <v>491680652.29745674</v>
      </c>
      <c r="L34" s="63"/>
      <c r="N34" s="7"/>
    </row>
    <row r="35" spans="1:14" ht="13">
      <c r="A35" s="2"/>
      <c r="B35" s="16"/>
      <c r="J35" s="14"/>
      <c r="L35" s="63"/>
      <c r="N35" s="7"/>
    </row>
    <row r="36" spans="1:14" ht="13">
      <c r="A36" s="2"/>
      <c r="B36" s="1" t="s">
        <v>2158</v>
      </c>
      <c r="L36" s="63"/>
      <c r="N36" s="7"/>
    </row>
    <row r="37" spans="1:14" ht="13">
      <c r="A37" s="109"/>
      <c r="B37" s="112"/>
      <c r="C37" s="14"/>
      <c r="D37" s="14"/>
      <c r="E37" s="14"/>
      <c r="F37" s="14"/>
      <c r="G37" s="14"/>
      <c r="H37" s="14"/>
      <c r="I37" s="14"/>
      <c r="J37" s="14"/>
      <c r="L37" s="63"/>
      <c r="N37" s="7"/>
    </row>
    <row r="38" spans="1:14" ht="13">
      <c r="A38" s="109">
        <f>A34+1</f>
        <v>21</v>
      </c>
      <c r="B38" s="14"/>
      <c r="C38" s="465" t="s">
        <v>2144</v>
      </c>
      <c r="D38" s="14"/>
      <c r="E38" s="14"/>
      <c r="F38" s="14"/>
      <c r="G38" s="14"/>
      <c r="H38" s="14"/>
      <c r="I38" s="14"/>
      <c r="J38" s="63">
        <f>(((J29*J42) + J45) *(J43/(1-J43)))+(J44/(1-J43))</f>
        <v>115787082.03204285</v>
      </c>
      <c r="L38" s="63"/>
      <c r="N38" s="7"/>
    </row>
    <row r="39" spans="1:14" ht="13">
      <c r="A39" s="109"/>
      <c r="B39" s="14"/>
      <c r="C39" s="14"/>
      <c r="D39" s="14"/>
      <c r="E39" s="14"/>
      <c r="F39" s="14"/>
      <c r="G39" s="14"/>
      <c r="H39" s="14"/>
      <c r="I39" s="14"/>
      <c r="J39" s="15"/>
      <c r="L39" s="63"/>
      <c r="N39" s="7"/>
    </row>
    <row r="40" spans="1:14" ht="13">
      <c r="A40" s="109"/>
      <c r="B40" s="14"/>
      <c r="C40" s="14"/>
      <c r="D40" s="14" t="s">
        <v>216</v>
      </c>
      <c r="E40" s="14"/>
      <c r="F40" s="14"/>
      <c r="G40" s="14"/>
      <c r="H40" s="14"/>
      <c r="I40" s="14"/>
      <c r="J40" s="14"/>
      <c r="L40" s="63"/>
      <c r="N40" s="7"/>
    </row>
    <row r="41" spans="1:14" ht="13">
      <c r="A41" s="109">
        <f>A38+1</f>
        <v>22</v>
      </c>
      <c r="B41" s="14"/>
      <c r="C41" s="14"/>
      <c r="D41" s="112" t="s">
        <v>217</v>
      </c>
      <c r="E41" s="14"/>
      <c r="F41" s="14"/>
      <c r="G41" s="14"/>
      <c r="H41" s="14" t="str">
        <f>"Line "&amp;A29&amp;""</f>
        <v>Line 18</v>
      </c>
      <c r="I41" s="14"/>
      <c r="J41" s="63">
        <f>J29</f>
        <v>6728016454.7437429</v>
      </c>
      <c r="L41" s="63"/>
      <c r="N41" s="7"/>
    </row>
    <row r="42" spans="1:14" ht="13">
      <c r="A42" s="109">
        <f>A41+1</f>
        <v>23</v>
      </c>
      <c r="B42" s="14"/>
      <c r="C42" s="14"/>
      <c r="D42" s="462" t="s">
        <v>1712</v>
      </c>
      <c r="E42" s="14"/>
      <c r="F42" s="14"/>
      <c r="G42" s="465" t="s">
        <v>1681</v>
      </c>
      <c r="H42" s="465" t="str">
        <f>"Instruction 1, Line "&amp;B103&amp;""</f>
        <v>Instruction 1, Line k</v>
      </c>
      <c r="I42" s="14"/>
      <c r="J42" s="48">
        <f>E103</f>
        <v>5.2391182605339905E-2</v>
      </c>
      <c r="L42" s="67"/>
      <c r="M42" s="8"/>
      <c r="N42" s="8"/>
    </row>
    <row r="43" spans="1:14" ht="13">
      <c r="A43" s="109">
        <f>A42+1</f>
        <v>24</v>
      </c>
      <c r="B43" s="14"/>
      <c r="C43" s="14"/>
      <c r="D43" s="112" t="s">
        <v>218</v>
      </c>
      <c r="E43" s="14"/>
      <c r="F43" s="14"/>
      <c r="G43" s="14"/>
      <c r="H43" s="14" t="str">
        <f>"1-Base TRR L "&amp;'1-BaseTRR'!A104&amp;""</f>
        <v>1-Base TRR L 59</v>
      </c>
      <c r="I43" s="14"/>
      <c r="J43" s="67">
        <f>'1-BaseTRR'!K104</f>
        <v>0.27983599999999997</v>
      </c>
      <c r="L43" s="67"/>
      <c r="M43" s="8"/>
      <c r="N43" s="8"/>
    </row>
    <row r="44" spans="1:14" ht="13">
      <c r="A44" s="109">
        <f>A43+1</f>
        <v>25</v>
      </c>
      <c r="B44" s="14"/>
      <c r="C44" s="14"/>
      <c r="D44" s="112" t="s">
        <v>219</v>
      </c>
      <c r="E44" s="14"/>
      <c r="F44" s="14"/>
      <c r="G44" s="14"/>
      <c r="H44" s="14" t="str">
        <f>"1-Base TRR L "&amp;'1-BaseTRR'!A110&amp;""</f>
        <v>1-Base TRR L 63</v>
      </c>
      <c r="I44" s="14"/>
      <c r="J44" s="63">
        <f>'1-BaseTRR'!K110</f>
        <v>-16481293</v>
      </c>
      <c r="L44" s="63"/>
      <c r="N44" s="7"/>
    </row>
    <row r="45" spans="1:14" ht="13">
      <c r="A45" s="109">
        <f>A44+1</f>
        <v>26</v>
      </c>
      <c r="B45" s="14"/>
      <c r="C45" s="14"/>
      <c r="D45" s="112" t="s">
        <v>1708</v>
      </c>
      <c r="E45" s="14"/>
      <c r="F45" s="14"/>
      <c r="G45" s="14"/>
      <c r="H45" s="14" t="str">
        <f>"1-Base TRR L "&amp;'1-BaseTRR'!A114&amp;""</f>
        <v>1-Base TRR L 65</v>
      </c>
      <c r="I45" s="14"/>
      <c r="J45" s="477">
        <f>'1-BaseTRR'!K121</f>
        <v>4388079</v>
      </c>
      <c r="L45" s="63"/>
      <c r="N45" s="7"/>
    </row>
    <row r="46" spans="1:14" ht="13">
      <c r="A46" s="109"/>
      <c r="B46" s="112"/>
      <c r="C46" s="14"/>
      <c r="D46" s="14"/>
      <c r="E46" s="14"/>
      <c r="F46" s="14"/>
      <c r="G46" s="14"/>
      <c r="H46" s="14"/>
      <c r="I46" s="14"/>
      <c r="J46" s="14"/>
      <c r="L46" s="63"/>
      <c r="N46" s="7"/>
    </row>
    <row r="47" spans="1:14" ht="13">
      <c r="A47" s="109"/>
      <c r="B47" s="44" t="s">
        <v>2159</v>
      </c>
      <c r="D47" s="14"/>
      <c r="E47" s="14"/>
      <c r="F47" s="14"/>
      <c r="G47" s="14"/>
      <c r="H47" s="14"/>
      <c r="I47" s="14"/>
      <c r="J47" s="14"/>
      <c r="L47" s="63"/>
      <c r="N47" s="7"/>
    </row>
    <row r="48" spans="1:14" ht="13">
      <c r="A48" s="109">
        <f>A45+1</f>
        <v>27</v>
      </c>
      <c r="B48" s="112"/>
      <c r="C48" s="14" t="s">
        <v>101</v>
      </c>
      <c r="D48" s="14"/>
      <c r="E48" s="14"/>
      <c r="F48" s="14"/>
      <c r="G48" s="14"/>
      <c r="H48" s="14" t="str">
        <f>"1-Base TRR L "&amp;'1-BaseTRR'!A126&amp;""</f>
        <v>1-Base TRR L 66</v>
      </c>
      <c r="I48" s="14"/>
      <c r="J48" s="63">
        <f>'1-BaseTRR'!K126</f>
        <v>126627276.98957931</v>
      </c>
      <c r="L48" s="63"/>
      <c r="N48" s="7"/>
    </row>
    <row r="49" spans="1:14" ht="13">
      <c r="A49" s="109">
        <f t="shared" ref="A49:A59" si="1">A48+1</f>
        <v>28</v>
      </c>
      <c r="B49" s="112"/>
      <c r="C49" s="15" t="s">
        <v>264</v>
      </c>
      <c r="D49" s="14"/>
      <c r="E49" s="14"/>
      <c r="F49" s="14"/>
      <c r="G49" s="14"/>
      <c r="H49" s="14" t="str">
        <f>"1-Base TRR L "&amp;'1-BaseTRR'!A127&amp;""</f>
        <v>1-Base TRR L 67</v>
      </c>
      <c r="I49" s="14"/>
      <c r="J49" s="63">
        <f>'1-BaseTRR'!K127</f>
        <v>174102232.76211423</v>
      </c>
      <c r="L49" s="63"/>
      <c r="N49" s="7"/>
    </row>
    <row r="50" spans="1:14" ht="13">
      <c r="A50" s="109">
        <f>A49+1</f>
        <v>29</v>
      </c>
      <c r="B50" s="112"/>
      <c r="C50" s="14" t="s">
        <v>56</v>
      </c>
      <c r="D50" s="14"/>
      <c r="E50" s="14"/>
      <c r="F50" s="14"/>
      <c r="G50" s="14"/>
      <c r="H50" s="14" t="str">
        <f>"1-Base TRR L "&amp;'1-BaseTRR'!A128&amp;""</f>
        <v>1-Base TRR L 68</v>
      </c>
      <c r="I50" s="14"/>
      <c r="J50" s="63">
        <f>'1-BaseTRR'!K128</f>
        <v>2371003</v>
      </c>
      <c r="L50" s="63"/>
      <c r="N50" s="7"/>
    </row>
    <row r="51" spans="1:14" ht="13">
      <c r="A51" s="109">
        <f t="shared" si="1"/>
        <v>30</v>
      </c>
      <c r="B51" s="112"/>
      <c r="C51" s="15" t="s">
        <v>250</v>
      </c>
      <c r="D51" s="14"/>
      <c r="E51" s="14"/>
      <c r="F51" s="14"/>
      <c r="G51" s="14"/>
      <c r="H51" s="14" t="str">
        <f>"1-Base TRR L "&amp;'1-BaseTRR'!A129&amp;""</f>
        <v>1-Base TRR L 69</v>
      </c>
      <c r="I51" s="14"/>
      <c r="J51" s="63">
        <f>'1-BaseTRR'!K129</f>
        <v>274391393.26948309</v>
      </c>
      <c r="L51" s="63"/>
      <c r="N51" s="7"/>
    </row>
    <row r="52" spans="1:14" ht="13">
      <c r="A52" s="109">
        <f t="shared" si="1"/>
        <v>31</v>
      </c>
      <c r="B52" s="112"/>
      <c r="C52" s="15" t="s">
        <v>291</v>
      </c>
      <c r="D52" s="14"/>
      <c r="E52" s="14"/>
      <c r="F52" s="14"/>
      <c r="G52" s="14"/>
      <c r="H52" s="14" t="str">
        <f>"1-Base TRR L "&amp;'1-BaseTRR'!A130&amp;""</f>
        <v>1-Base TRR L 70</v>
      </c>
      <c r="I52" s="14"/>
      <c r="J52" s="63">
        <f>'1-BaseTRR'!K130</f>
        <v>0</v>
      </c>
      <c r="L52" s="63"/>
      <c r="N52" s="7"/>
    </row>
    <row r="53" spans="1:14" ht="13">
      <c r="A53" s="109">
        <f t="shared" si="1"/>
        <v>32</v>
      </c>
      <c r="B53" s="112"/>
      <c r="C53" s="15" t="s">
        <v>79</v>
      </c>
      <c r="D53" s="14"/>
      <c r="E53" s="14"/>
      <c r="F53" s="14"/>
      <c r="G53" s="14"/>
      <c r="H53" s="14" t="str">
        <f>"1-Base TRR L "&amp;'1-BaseTRR'!A131&amp;""</f>
        <v>1-Base TRR L 71</v>
      </c>
      <c r="I53" s="14"/>
      <c r="J53" s="63">
        <f>'1-BaseTRR'!K131</f>
        <v>71869440.112217456</v>
      </c>
      <c r="L53" s="63"/>
      <c r="N53" s="7"/>
    </row>
    <row r="54" spans="1:14" ht="13">
      <c r="A54" s="109">
        <f t="shared" si="1"/>
        <v>33</v>
      </c>
      <c r="B54" s="112"/>
      <c r="C54" s="14" t="s">
        <v>11</v>
      </c>
      <c r="D54" s="14"/>
      <c r="E54" s="14"/>
      <c r="F54" s="14"/>
      <c r="G54" s="15"/>
      <c r="H54" s="14" t="str">
        <f>"1-Base TRR L "&amp;'1-BaseTRR'!A132&amp;""</f>
        <v>1-Base TRR L 72</v>
      </c>
      <c r="I54" s="14"/>
      <c r="J54" s="63">
        <f>'1-BaseTRR'!K132</f>
        <v>-48067624.029856279</v>
      </c>
      <c r="L54" s="63"/>
      <c r="N54" s="7"/>
    </row>
    <row r="55" spans="1:14" ht="13">
      <c r="A55" s="109">
        <f t="shared" si="1"/>
        <v>34</v>
      </c>
      <c r="B55" s="112"/>
      <c r="C55" s="14" t="s">
        <v>87</v>
      </c>
      <c r="D55" s="14"/>
      <c r="E55" s="14"/>
      <c r="F55" s="14"/>
      <c r="G55" s="14"/>
      <c r="H55" s="14" t="str">
        <f>"Line "&amp;A34&amp;""</f>
        <v>Line 20</v>
      </c>
      <c r="I55" s="14"/>
      <c r="J55" s="63">
        <f>J34</f>
        <v>491680652.29745674</v>
      </c>
      <c r="L55" s="63"/>
      <c r="N55" s="7"/>
    </row>
    <row r="56" spans="1:14" ht="13">
      <c r="A56" s="109">
        <f t="shared" si="1"/>
        <v>35</v>
      </c>
      <c r="B56" s="112"/>
      <c r="C56" s="14" t="s">
        <v>5</v>
      </c>
      <c r="D56" s="14"/>
      <c r="E56" s="14"/>
      <c r="F56" s="14"/>
      <c r="G56" s="14"/>
      <c r="H56" s="14" t="str">
        <f>"Line "&amp;A38&amp;""</f>
        <v>Line 21</v>
      </c>
      <c r="I56" s="14"/>
      <c r="J56" s="47">
        <f>J38</f>
        <v>115787082.03204285</v>
      </c>
      <c r="L56" s="63"/>
      <c r="N56" s="7"/>
    </row>
    <row r="57" spans="1:14" ht="13">
      <c r="A57" s="109">
        <f t="shared" si="1"/>
        <v>36</v>
      </c>
      <c r="B57" s="112"/>
      <c r="C57" s="15" t="s">
        <v>357</v>
      </c>
      <c r="D57" s="14"/>
      <c r="E57" s="14"/>
      <c r="F57" s="14"/>
      <c r="G57" s="14"/>
      <c r="H57" s="14" t="str">
        <f>"1-Base TRR L "&amp;'1-BaseTRR'!A135&amp;""</f>
        <v>1-Base TRR L 75</v>
      </c>
      <c r="I57" s="14"/>
      <c r="J57" s="47">
        <f>'1-BaseTRR'!K135</f>
        <v>0</v>
      </c>
      <c r="L57" s="63"/>
      <c r="N57" s="7"/>
    </row>
    <row r="58" spans="1:14" ht="13">
      <c r="A58" s="109">
        <f t="shared" si="1"/>
        <v>37</v>
      </c>
      <c r="B58" s="112"/>
      <c r="C58" s="565" t="s">
        <v>1697</v>
      </c>
      <c r="D58" s="669"/>
      <c r="E58" s="14"/>
      <c r="F58" s="14"/>
      <c r="G58" s="14"/>
      <c r="H58" s="14" t="str">
        <f>"1-Base TRR L "&amp;'1-BaseTRR'!A136&amp;""</f>
        <v>1-Base TRR L 76</v>
      </c>
      <c r="I58" s="14"/>
      <c r="J58" s="101">
        <f>'1-BaseTRR'!K136</f>
        <v>0</v>
      </c>
      <c r="L58" s="63"/>
      <c r="N58" s="7"/>
    </row>
    <row r="59" spans="1:14" ht="13">
      <c r="A59" s="109">
        <f t="shared" si="1"/>
        <v>38</v>
      </c>
      <c r="B59" s="112"/>
      <c r="C59" s="465" t="s">
        <v>1474</v>
      </c>
      <c r="D59" s="14"/>
      <c r="E59" s="14"/>
      <c r="F59" s="14"/>
      <c r="G59" s="14"/>
      <c r="H59" s="14" t="str">
        <f>"Sum Line "&amp;A48&amp;" to Line "&amp;A58&amp;""</f>
        <v>Sum Line 27 to Line 37</v>
      </c>
      <c r="I59" s="14"/>
      <c r="J59" s="698">
        <f>SUM(J48:J58)</f>
        <v>1208761456.433037</v>
      </c>
      <c r="L59" s="63"/>
      <c r="N59" s="7"/>
    </row>
    <row r="60" spans="1:14" ht="13">
      <c r="A60" s="109"/>
      <c r="B60" s="112"/>
      <c r="C60" s="14"/>
      <c r="D60" s="14"/>
      <c r="E60" s="14"/>
      <c r="F60" s="14"/>
      <c r="G60" s="14"/>
      <c r="H60" s="14"/>
      <c r="I60" s="14"/>
      <c r="J60" s="63"/>
      <c r="L60" s="63"/>
      <c r="N60" s="7"/>
    </row>
    <row r="61" spans="1:14" ht="12.75" customHeight="1">
      <c r="A61" s="109">
        <f>A59+1</f>
        <v>39</v>
      </c>
      <c r="B61" s="112"/>
      <c r="C61" s="465" t="s">
        <v>1451</v>
      </c>
      <c r="D61" s="14"/>
      <c r="E61" s="14"/>
      <c r="F61" s="14"/>
      <c r="G61" s="14"/>
      <c r="H61" s="14" t="str">
        <f>"15-IncentiveAdder L "&amp;'15-IncentiveAdder'!A59&amp;""</f>
        <v>15-IncentiveAdder L 20</v>
      </c>
      <c r="I61" s="14"/>
      <c r="J61" s="63">
        <f>'15-IncentiveAdder'!G59</f>
        <v>25971819.935195774</v>
      </c>
      <c r="L61" s="63"/>
      <c r="N61" s="7"/>
    </row>
    <row r="62" spans="1:14" s="955" customFormat="1" ht="12.75" customHeight="1">
      <c r="A62" s="109" t="s">
        <v>2478</v>
      </c>
      <c r="B62" s="112"/>
      <c r="C62" s="465" t="s">
        <v>2479</v>
      </c>
      <c r="D62" s="14"/>
      <c r="E62" s="14"/>
      <c r="F62" s="14"/>
      <c r="G62" s="14"/>
      <c r="H62" s="465" t="s">
        <v>2480</v>
      </c>
      <c r="I62" s="14"/>
      <c r="J62" s="63">
        <f>-J61</f>
        <v>-25971819.935195774</v>
      </c>
      <c r="L62" s="63"/>
      <c r="N62" s="7"/>
    </row>
    <row r="63" spans="1:14" ht="13">
      <c r="A63" s="109"/>
      <c r="B63" s="112"/>
      <c r="C63" s="15"/>
      <c r="D63" s="14"/>
      <c r="E63" s="14"/>
      <c r="F63" s="14"/>
      <c r="G63" s="14"/>
      <c r="H63" s="14"/>
      <c r="I63" s="14"/>
      <c r="J63" s="63"/>
      <c r="L63" s="63"/>
      <c r="N63" s="7"/>
    </row>
    <row r="64" spans="1:14" ht="13">
      <c r="A64" s="109">
        <f>A61+1</f>
        <v>40</v>
      </c>
      <c r="B64" s="112"/>
      <c r="C64" s="465" t="s">
        <v>2150</v>
      </c>
      <c r="D64" s="14"/>
      <c r="E64" s="14"/>
      <c r="F64" s="14"/>
      <c r="G64" s="14"/>
      <c r="H64" s="14" t="str">
        <f>"Sum of Lines "&amp;A59&amp;" to "&amp;A62&amp;""</f>
        <v>Sum of Lines 38 to 39a</v>
      </c>
      <c r="I64" s="14"/>
      <c r="J64" s="63">
        <f>J59+J61+J62</f>
        <v>1208761456.433037</v>
      </c>
      <c r="L64" s="63"/>
      <c r="N64" s="7"/>
    </row>
    <row r="65" spans="1:15" ht="13">
      <c r="A65" s="109"/>
      <c r="B65" s="112"/>
      <c r="C65" s="15"/>
      <c r="D65" s="14"/>
      <c r="E65" s="14"/>
      <c r="F65" s="14"/>
      <c r="G65" s="14"/>
      <c r="H65" s="14"/>
      <c r="I65" s="14"/>
      <c r="J65" s="63"/>
    </row>
    <row r="66" spans="1:15" ht="13">
      <c r="A66" s="109"/>
      <c r="B66" s="375" t="s">
        <v>2160</v>
      </c>
      <c r="C66" s="15"/>
      <c r="D66" s="14"/>
      <c r="E66" s="14"/>
      <c r="F66" s="14"/>
      <c r="G66" s="14"/>
      <c r="H66" s="14"/>
      <c r="I66" s="14"/>
      <c r="J66" s="63"/>
      <c r="N66" s="549"/>
    </row>
    <row r="67" spans="1:15" ht="13">
      <c r="A67" s="53" t="s">
        <v>319</v>
      </c>
      <c r="B67" s="65"/>
      <c r="G67" s="51" t="s">
        <v>1122</v>
      </c>
      <c r="J67" s="14"/>
      <c r="N67" s="3"/>
    </row>
    <row r="68" spans="1:15" ht="13">
      <c r="A68" s="109">
        <f>A64+1</f>
        <v>41</v>
      </c>
      <c r="B68" s="839"/>
      <c r="C68" s="14"/>
      <c r="D68" s="842" t="s">
        <v>1475</v>
      </c>
      <c r="E68" s="63">
        <f>J64</f>
        <v>1208761456.433037</v>
      </c>
      <c r="F68" s="14"/>
      <c r="G68" s="14" t="str">
        <f>"Line "&amp;A64&amp;""</f>
        <v>Line 40</v>
      </c>
      <c r="H68" s="14"/>
      <c r="I68" s="14"/>
      <c r="J68" s="1425"/>
      <c r="K68" s="955"/>
      <c r="L68" s="7"/>
      <c r="N68" s="7"/>
    </row>
    <row r="69" spans="1:15" ht="13">
      <c r="A69" s="109">
        <f>A68+1</f>
        <v>42</v>
      </c>
      <c r="B69" s="839"/>
      <c r="C69" s="14"/>
      <c r="D69" s="356" t="s">
        <v>1121</v>
      </c>
      <c r="E69" s="844">
        <f>'28-FFU'!D22</f>
        <v>9.2480778683301876E-3</v>
      </c>
      <c r="F69" s="14"/>
      <c r="G69" s="14" t="str">
        <f>"28-FFU, L "&amp;'28-FFU'!A22&amp;""</f>
        <v>28-FFU, L 5</v>
      </c>
      <c r="H69" s="14"/>
      <c r="I69" s="14"/>
      <c r="J69" s="535"/>
      <c r="K69" s="955"/>
      <c r="L69" s="8"/>
      <c r="N69" s="8"/>
    </row>
    <row r="70" spans="1:15" ht="13">
      <c r="A70" s="109">
        <f>A69+1</f>
        <v>43</v>
      </c>
      <c r="B70" s="839"/>
      <c r="C70" s="14"/>
      <c r="D70" s="79" t="s">
        <v>231</v>
      </c>
      <c r="E70" s="63">
        <f>E68*E69</f>
        <v>11178720.073328935</v>
      </c>
      <c r="F70" s="14"/>
      <c r="G70" s="14" t="str">
        <f>"Line "&amp;A68&amp;" * Line "&amp;A69&amp;""</f>
        <v>Line 41 * Line 42</v>
      </c>
      <c r="H70" s="14"/>
      <c r="I70" s="14"/>
      <c r="J70" s="698"/>
      <c r="K70" s="955"/>
      <c r="L70" s="7"/>
      <c r="N70" s="7"/>
    </row>
    <row r="71" spans="1:15" ht="13">
      <c r="A71" s="109">
        <f>A70+1</f>
        <v>44</v>
      </c>
      <c r="B71" s="839"/>
      <c r="C71" s="14"/>
      <c r="D71" s="842" t="s">
        <v>1705</v>
      </c>
      <c r="E71" s="844">
        <f>'28-FFU'!E22</f>
        <v>1.3459149296384539E-2</v>
      </c>
      <c r="F71" s="14"/>
      <c r="G71" s="14" t="str">
        <f>"28-FFU, L "&amp;'28-FFU'!A22&amp;""</f>
        <v>28-FFU, L 5</v>
      </c>
      <c r="H71" s="14"/>
      <c r="I71" s="14"/>
      <c r="J71" s="777"/>
      <c r="K71" s="955"/>
      <c r="L71" s="1123"/>
      <c r="N71" s="8"/>
    </row>
    <row r="72" spans="1:15" ht="13">
      <c r="A72" s="109">
        <f>A71+1</f>
        <v>45</v>
      </c>
      <c r="B72" s="839"/>
      <c r="C72" s="14"/>
      <c r="D72" s="842" t="s">
        <v>1432</v>
      </c>
      <c r="E72" s="63">
        <f>E68*E71</f>
        <v>16268900.90584746</v>
      </c>
      <c r="F72" s="14"/>
      <c r="G72" s="14" t="str">
        <f>"Line "&amp;A68&amp;" * Line "&amp;A71&amp;""</f>
        <v>Line 41 * Line 44</v>
      </c>
      <c r="H72" s="14"/>
      <c r="I72" s="14"/>
      <c r="J72" s="698"/>
      <c r="K72" s="955"/>
      <c r="L72" s="7"/>
      <c r="N72" s="7"/>
    </row>
    <row r="73" spans="1:15" ht="13">
      <c r="A73" s="109">
        <f>A72+1</f>
        <v>46</v>
      </c>
      <c r="B73" s="839"/>
      <c r="C73" s="14"/>
      <c r="D73" s="842" t="s">
        <v>1476</v>
      </c>
      <c r="E73" s="63">
        <f>E68+E70+E72</f>
        <v>1236209077.4122136</v>
      </c>
      <c r="F73" s="14"/>
      <c r="G73" s="14" t="str">
        <f>"L "&amp;A68&amp;" + L "&amp;A70&amp;" + L "&amp;A72&amp;""</f>
        <v>L 41 + L 43 + L 45</v>
      </c>
      <c r="H73" s="14"/>
      <c r="I73" s="14"/>
      <c r="J73" s="14"/>
      <c r="L73" s="7"/>
      <c r="N73" s="7"/>
    </row>
    <row r="74" spans="1:15" ht="13">
      <c r="A74" s="14"/>
      <c r="B74" s="852" t="s">
        <v>377</v>
      </c>
      <c r="C74" s="14"/>
      <c r="D74" s="79"/>
      <c r="E74" s="63"/>
      <c r="F74" s="14"/>
      <c r="G74" s="14"/>
      <c r="H74" s="575"/>
      <c r="I74" s="14"/>
      <c r="J74" s="14"/>
      <c r="L74" s="7"/>
      <c r="M74" s="463"/>
    </row>
    <row r="75" spans="1:15" ht="13">
      <c r="A75" s="109"/>
      <c r="B75" s="465" t="s">
        <v>2401</v>
      </c>
      <c r="C75" s="375"/>
      <c r="D75" s="79"/>
      <c r="E75" s="63"/>
      <c r="F75" s="14"/>
      <c r="G75" s="14"/>
      <c r="H75" s="14"/>
      <c r="I75" s="14"/>
      <c r="J75" s="14"/>
      <c r="L75" s="1415"/>
      <c r="M75" s="463"/>
    </row>
    <row r="76" spans="1:15" ht="13">
      <c r="A76" s="109"/>
      <c r="B76" s="465" t="s">
        <v>2286</v>
      </c>
      <c r="C76" s="375"/>
      <c r="D76" s="79"/>
      <c r="E76" s="63"/>
      <c r="F76" s="14"/>
      <c r="G76" s="14"/>
      <c r="H76" s="14"/>
      <c r="I76" s="14"/>
      <c r="J76" s="14"/>
      <c r="L76" s="1415"/>
      <c r="M76" s="463"/>
      <c r="N76" s="955"/>
      <c r="O76" s="955"/>
    </row>
    <row r="77" spans="1:15" ht="13">
      <c r="A77" s="109"/>
      <c r="B77" s="841" t="s">
        <v>1682</v>
      </c>
      <c r="C77" s="15"/>
      <c r="D77" s="79"/>
      <c r="E77" s="63"/>
      <c r="F77" s="14"/>
      <c r="G77" s="14"/>
      <c r="H77" s="14"/>
      <c r="I77" s="14"/>
      <c r="J77" s="14"/>
      <c r="L77" s="91"/>
      <c r="M77" s="75"/>
      <c r="N77" s="75"/>
      <c r="O77" s="75"/>
    </row>
    <row r="78" spans="1:15" ht="13">
      <c r="A78" s="109"/>
      <c r="B78" s="841" t="s">
        <v>1736</v>
      </c>
      <c r="C78" s="14"/>
      <c r="D78" s="79"/>
      <c r="E78" s="63"/>
      <c r="F78" s="14"/>
      <c r="G78" s="14"/>
      <c r="H78" s="14"/>
      <c r="I78" s="14"/>
      <c r="J78" s="14"/>
      <c r="L78" s="7"/>
      <c r="M78" s="463"/>
    </row>
    <row r="79" spans="1:15" ht="13">
      <c r="A79" s="109"/>
      <c r="B79" s="14"/>
      <c r="C79" s="14"/>
      <c r="D79" s="14"/>
      <c r="E79" s="14"/>
      <c r="F79" s="14"/>
      <c r="G79" s="14"/>
      <c r="H79" s="14"/>
      <c r="I79" s="14"/>
      <c r="J79" s="14"/>
    </row>
    <row r="80" spans="1:15" ht="13">
      <c r="A80" s="109"/>
      <c r="B80" s="465" t="s">
        <v>1822</v>
      </c>
      <c r="C80" s="14"/>
      <c r="D80" s="14"/>
      <c r="E80" s="14"/>
      <c r="F80" s="14"/>
      <c r="G80" s="14"/>
      <c r="H80" s="14"/>
      <c r="I80" s="14"/>
      <c r="J80" s="14"/>
    </row>
    <row r="81" spans="1:12" ht="13">
      <c r="A81" s="109"/>
      <c r="B81" s="465"/>
      <c r="C81" s="465" t="s">
        <v>1828</v>
      </c>
      <c r="D81" s="14"/>
      <c r="E81" s="14"/>
      <c r="F81" s="14"/>
      <c r="G81" s="14"/>
      <c r="H81" s="14"/>
      <c r="I81" s="14"/>
      <c r="J81" s="14"/>
    </row>
    <row r="82" spans="1:12" ht="13">
      <c r="A82" s="109"/>
      <c r="B82" s="465"/>
      <c r="C82" s="14"/>
      <c r="D82" s="14"/>
      <c r="E82" s="14"/>
      <c r="F82" s="14"/>
      <c r="G82" s="14"/>
      <c r="H82" s="14"/>
      <c r="I82" s="14"/>
      <c r="J82" s="109" t="s">
        <v>1819</v>
      </c>
    </row>
    <row r="83" spans="1:12" ht="13">
      <c r="A83" s="109"/>
      <c r="B83" s="14"/>
      <c r="C83" s="14"/>
      <c r="D83" s="14"/>
      <c r="E83" s="122" t="s">
        <v>1427</v>
      </c>
      <c r="F83" s="833" t="s">
        <v>1122</v>
      </c>
      <c r="G83" s="122" t="s">
        <v>232</v>
      </c>
      <c r="H83" s="122" t="s">
        <v>233</v>
      </c>
      <c r="I83" s="14"/>
      <c r="J83" s="122" t="s">
        <v>1818</v>
      </c>
    </row>
    <row r="84" spans="1:12" ht="13">
      <c r="B84" s="854" t="s">
        <v>1667</v>
      </c>
      <c r="C84" s="465" t="s">
        <v>1817</v>
      </c>
      <c r="D84" s="14"/>
      <c r="E84" s="1452">
        <v>0.10299999999999999</v>
      </c>
      <c r="F84" s="853" t="s">
        <v>1821</v>
      </c>
      <c r="G84" s="1119">
        <v>43831</v>
      </c>
      <c r="H84" s="1119">
        <v>44196</v>
      </c>
      <c r="I84" s="15"/>
      <c r="J84" s="1409">
        <v>365</v>
      </c>
      <c r="K84" s="15"/>
    </row>
    <row r="85" spans="1:12" ht="13">
      <c r="B85" s="854" t="s">
        <v>1668</v>
      </c>
      <c r="C85" s="465" t="s">
        <v>1841</v>
      </c>
      <c r="D85" s="14"/>
      <c r="E85" s="1410"/>
      <c r="F85" s="853" t="s">
        <v>2402</v>
      </c>
      <c r="G85" s="1119"/>
      <c r="H85" s="1119"/>
      <c r="I85" s="15"/>
      <c r="J85" s="1409"/>
      <c r="K85" s="15"/>
      <c r="L85" s="15"/>
    </row>
    <row r="86" spans="1:12" ht="13">
      <c r="B86" s="854" t="s">
        <v>1669</v>
      </c>
      <c r="C86" s="465"/>
      <c r="D86" s="14"/>
      <c r="E86" s="855"/>
      <c r="F86" s="853"/>
      <c r="G86" s="525"/>
      <c r="H86" s="525"/>
      <c r="I86" s="842" t="s">
        <v>1979</v>
      </c>
      <c r="J86" s="105">
        <f>SUM(J84:J85)</f>
        <v>365</v>
      </c>
      <c r="K86" s="15"/>
      <c r="L86" s="15"/>
    </row>
    <row r="87" spans="1:12" ht="13">
      <c r="A87" s="14"/>
      <c r="B87" s="854" t="s">
        <v>1670</v>
      </c>
      <c r="C87" s="465" t="s">
        <v>1830</v>
      </c>
      <c r="D87" s="14"/>
      <c r="E87" s="78">
        <f>((E84*J84) + (E85* J85)) / J86</f>
        <v>0.10299999999999999</v>
      </c>
      <c r="F87" s="465" t="s">
        <v>1980</v>
      </c>
      <c r="G87" s="14"/>
      <c r="H87" s="15"/>
      <c r="I87" s="15"/>
      <c r="J87" s="15"/>
      <c r="K87" s="15"/>
      <c r="L87" s="15"/>
    </row>
    <row r="88" spans="1:12" ht="13">
      <c r="A88" s="109"/>
      <c r="B88" s="465"/>
      <c r="C88" s="14"/>
      <c r="D88" s="14"/>
      <c r="E88" s="14"/>
      <c r="F88" s="14"/>
      <c r="G88" s="14"/>
      <c r="H88" s="15"/>
      <c r="I88" s="15"/>
      <c r="J88" s="15"/>
      <c r="K88" s="15"/>
      <c r="L88" s="15"/>
    </row>
    <row r="89" spans="1:12" ht="13">
      <c r="A89" s="109"/>
      <c r="B89" s="465" t="s">
        <v>1820</v>
      </c>
      <c r="C89" s="14"/>
      <c r="D89" s="14"/>
      <c r="E89" s="14"/>
      <c r="F89" s="14"/>
      <c r="G89" s="14"/>
      <c r="H89" s="15"/>
      <c r="I89" s="15"/>
      <c r="J89" s="15"/>
      <c r="K89" s="15"/>
      <c r="L89" s="15"/>
    </row>
    <row r="90" spans="1:12" ht="13">
      <c r="A90" s="109"/>
      <c r="B90" s="465"/>
      <c r="C90" s="14"/>
      <c r="D90" s="14"/>
      <c r="E90" s="833" t="s">
        <v>1122</v>
      </c>
      <c r="F90" s="14"/>
      <c r="G90" s="14"/>
      <c r="H90" s="15"/>
      <c r="I90" s="15"/>
      <c r="J90" s="15"/>
      <c r="K90" s="15"/>
      <c r="L90" s="15"/>
    </row>
    <row r="91" spans="1:12" ht="13">
      <c r="A91" s="14"/>
      <c r="B91" s="854" t="s">
        <v>1671</v>
      </c>
      <c r="C91" s="465" t="s">
        <v>1843</v>
      </c>
      <c r="D91" s="14"/>
      <c r="E91" s="958" t="s">
        <v>2816</v>
      </c>
      <c r="F91" s="1217"/>
      <c r="G91" s="96"/>
      <c r="H91" s="114"/>
      <c r="I91" s="114"/>
      <c r="J91" s="114"/>
      <c r="K91" s="15"/>
      <c r="L91" s="15"/>
    </row>
    <row r="92" spans="1:12" ht="13">
      <c r="B92" s="854" t="s">
        <v>1672</v>
      </c>
      <c r="C92" s="465" t="s">
        <v>1842</v>
      </c>
      <c r="D92" s="14"/>
      <c r="E92" s="958" t="s">
        <v>2817</v>
      </c>
      <c r="F92" s="1217"/>
      <c r="G92" s="96"/>
      <c r="H92" s="114"/>
      <c r="I92" s="114"/>
      <c r="J92" s="114"/>
      <c r="K92" s="15"/>
      <c r="L92" s="15"/>
    </row>
    <row r="93" spans="1:12">
      <c r="B93" s="14"/>
      <c r="C93" s="465"/>
      <c r="D93" s="14"/>
      <c r="E93" s="525"/>
      <c r="F93" s="14"/>
      <c r="G93" s="14"/>
      <c r="H93" s="14"/>
      <c r="I93" s="15"/>
      <c r="J93" s="15"/>
      <c r="K93" s="15"/>
      <c r="L93" s="15"/>
    </row>
    <row r="94" spans="1:12" ht="13">
      <c r="B94" s="14"/>
      <c r="C94" s="14"/>
      <c r="D94" s="14"/>
      <c r="E94" s="122" t="s">
        <v>1427</v>
      </c>
      <c r="F94" s="833" t="s">
        <v>1122</v>
      </c>
      <c r="G94" s="14"/>
      <c r="H94" s="15"/>
      <c r="I94" s="15"/>
      <c r="J94" s="14"/>
      <c r="L94" s="15"/>
    </row>
    <row r="95" spans="1:12" ht="13">
      <c r="B95" s="854" t="s">
        <v>1674</v>
      </c>
      <c r="C95" s="465" t="s">
        <v>1831</v>
      </c>
      <c r="D95" s="15"/>
      <c r="E95" s="1411">
        <f>'1-BaseTRR'!K90</f>
        <v>2.0688402678787333E-2</v>
      </c>
      <c r="F95" s="14" t="str">
        <f>"1-Base TRR L "&amp;'1-BaseTRR'!A90&amp;""</f>
        <v>1-Base TRR L 51</v>
      </c>
      <c r="G95" s="14"/>
      <c r="H95" s="15"/>
      <c r="I95" s="15"/>
      <c r="J95" s="14"/>
    </row>
    <row r="96" spans="1:12" ht="13">
      <c r="B96" s="854" t="s">
        <v>1823</v>
      </c>
      <c r="C96" s="465" t="s">
        <v>1832</v>
      </c>
      <c r="D96" s="14"/>
      <c r="E96" s="1411">
        <f>'1-BaseTRR'!K91</f>
        <v>3.4661826053399079E-3</v>
      </c>
      <c r="F96" s="14" t="str">
        <f>"1-Base TRR L "&amp;'1-BaseTRR'!A91&amp;""</f>
        <v>1-Base TRR L 52</v>
      </c>
      <c r="G96" s="14"/>
      <c r="H96" s="15"/>
      <c r="I96" s="15"/>
      <c r="J96" s="14"/>
    </row>
    <row r="97" spans="1:10" ht="13">
      <c r="B97" s="854" t="s">
        <v>1824</v>
      </c>
      <c r="C97" s="465" t="s">
        <v>1833</v>
      </c>
      <c r="D97" s="14"/>
      <c r="E97" s="1412">
        <f>('1-BaseTRR'!K82) * E87</f>
        <v>4.8924999999999996E-2</v>
      </c>
      <c r="F97" s="14" t="str">
        <f>"1-Base TRR L "&amp;'1-BaseTRR'!A82&amp;" * Line d"</f>
        <v>1-Base TRR L 47 * Line d</v>
      </c>
      <c r="G97" s="15"/>
      <c r="H97" s="15"/>
      <c r="I97" s="14"/>
      <c r="J97" s="14"/>
    </row>
    <row r="98" spans="1:10" ht="13">
      <c r="A98" s="14"/>
      <c r="B98" s="109" t="s">
        <v>1825</v>
      </c>
      <c r="C98" s="46" t="s">
        <v>53</v>
      </c>
      <c r="D98" s="14"/>
      <c r="E98" s="1413">
        <f>SUM(E95:E97)</f>
        <v>7.3079585284127238E-2</v>
      </c>
      <c r="F98" s="63" t="str">
        <f>"Sum of Lines "&amp;B95&amp;" to "&amp;B97&amp;""</f>
        <v>Sum of Lines g to i</v>
      </c>
      <c r="G98" s="105"/>
      <c r="H98" s="14"/>
      <c r="I98" s="14"/>
      <c r="J98" s="856"/>
    </row>
    <row r="99" spans="1:10" ht="13">
      <c r="A99" s="109"/>
      <c r="B99" s="14"/>
      <c r="C99" s="21"/>
      <c r="D99" s="24"/>
      <c r="E99" s="63"/>
      <c r="F99" s="63"/>
      <c r="G99" s="105"/>
      <c r="H99" s="63"/>
      <c r="I99" s="14"/>
      <c r="J99" s="856"/>
    </row>
    <row r="100" spans="1:10" ht="13">
      <c r="A100" s="109"/>
      <c r="B100" s="465" t="s">
        <v>1826</v>
      </c>
      <c r="C100" s="14"/>
      <c r="D100" s="14"/>
      <c r="E100" s="14"/>
      <c r="F100" s="14"/>
      <c r="G100" s="14"/>
      <c r="H100" s="14"/>
      <c r="I100" s="14"/>
      <c r="J100" s="14"/>
    </row>
    <row r="101" spans="1:10" ht="13">
      <c r="A101" s="109"/>
      <c r="B101" s="14"/>
      <c r="C101" s="14"/>
      <c r="D101" s="14"/>
      <c r="E101" s="14"/>
      <c r="F101" s="14"/>
      <c r="G101" s="14"/>
      <c r="H101" s="14"/>
      <c r="I101" s="14"/>
      <c r="J101" s="14"/>
    </row>
    <row r="102" spans="1:10" ht="13">
      <c r="A102" s="109"/>
      <c r="B102" s="14"/>
      <c r="C102" s="14"/>
      <c r="D102" s="14"/>
      <c r="E102" s="122" t="s">
        <v>1427</v>
      </c>
      <c r="F102" s="833" t="s">
        <v>1122</v>
      </c>
      <c r="G102" s="14"/>
      <c r="H102" s="14"/>
      <c r="I102" s="14"/>
      <c r="J102" s="14"/>
    </row>
    <row r="103" spans="1:10" ht="13">
      <c r="A103" s="14"/>
      <c r="B103" s="854" t="s">
        <v>2151</v>
      </c>
      <c r="C103" s="14"/>
      <c r="D103" s="14"/>
      <c r="E103" s="1411">
        <f>E96+E97</f>
        <v>5.2391182605339905E-2</v>
      </c>
      <c r="F103" s="63" t="str">
        <f>"Sum of Lines "&amp;B96&amp;" to "&amp;B97&amp;""</f>
        <v>Sum of Lines h to i</v>
      </c>
      <c r="G103" s="14"/>
      <c r="H103" s="14"/>
      <c r="I103" s="14"/>
      <c r="J103" s="14"/>
    </row>
    <row r="104" spans="1:10" ht="13">
      <c r="A104" s="109"/>
      <c r="B104" s="14"/>
      <c r="C104" s="14"/>
      <c r="D104" s="14"/>
      <c r="E104" s="67"/>
      <c r="F104" s="63"/>
      <c r="G104" s="14"/>
      <c r="H104" s="14"/>
      <c r="I104" s="14"/>
      <c r="J104" s="14"/>
    </row>
    <row r="105" spans="1:10" ht="13">
      <c r="A105" s="109"/>
      <c r="B105" s="539" t="s">
        <v>230</v>
      </c>
      <c r="C105" s="14"/>
      <c r="D105" s="14"/>
      <c r="E105" s="105"/>
      <c r="F105" s="105"/>
      <c r="G105" s="105"/>
      <c r="H105" s="63"/>
      <c r="I105" s="14"/>
      <c r="J105" s="14"/>
    </row>
    <row r="106" spans="1:10" ht="13">
      <c r="A106" s="109"/>
      <c r="B106" s="853" t="s">
        <v>2481</v>
      </c>
      <c r="C106" s="14"/>
      <c r="D106" s="14"/>
      <c r="E106" s="14"/>
      <c r="F106" s="14"/>
      <c r="G106" s="14"/>
      <c r="H106" s="14"/>
      <c r="I106" s="14"/>
      <c r="J106" s="14"/>
    </row>
    <row r="107" spans="1:10" ht="13">
      <c r="A107" s="2"/>
      <c r="B107" s="462" t="s">
        <v>2482</v>
      </c>
      <c r="C107" s="14"/>
      <c r="D107" s="109"/>
      <c r="E107" s="109"/>
      <c r="F107" s="109"/>
      <c r="G107" s="109"/>
      <c r="H107" s="109"/>
      <c r="I107" s="14"/>
      <c r="J107" s="14"/>
    </row>
    <row r="108" spans="1:10" ht="13">
      <c r="A108" s="2"/>
      <c r="B108" s="841"/>
      <c r="C108" s="14"/>
      <c r="D108" s="109"/>
      <c r="E108" s="109"/>
      <c r="F108" s="109"/>
      <c r="G108" s="109"/>
      <c r="H108" s="109"/>
      <c r="I108" s="14"/>
      <c r="J108" s="14"/>
    </row>
    <row r="109" spans="1:10" ht="13">
      <c r="A109" s="2"/>
      <c r="B109" s="14"/>
      <c r="C109" s="29"/>
      <c r="D109" s="29"/>
      <c r="E109" s="122"/>
      <c r="F109" s="122"/>
      <c r="G109" s="122"/>
      <c r="H109" s="122"/>
      <c r="I109" s="14"/>
      <c r="J109" s="14"/>
    </row>
    <row r="110" spans="1:10" ht="13">
      <c r="A110" s="2"/>
    </row>
    <row r="111" spans="1:10" ht="13">
      <c r="A111" s="2"/>
    </row>
    <row r="112" spans="1:10" ht="13">
      <c r="A112" s="2"/>
    </row>
    <row r="113" spans="1:10" ht="13">
      <c r="A113" s="2"/>
      <c r="C113" s="21"/>
      <c r="E113" s="63"/>
      <c r="F113" s="63"/>
      <c r="H113" s="7"/>
      <c r="J113" s="82"/>
    </row>
    <row r="114" spans="1:10" ht="13">
      <c r="A114" s="2"/>
      <c r="C114" s="21"/>
      <c r="E114" s="63"/>
      <c r="F114" s="63"/>
      <c r="H114" s="7"/>
      <c r="J114" s="82"/>
    </row>
    <row r="115" spans="1:10" ht="13">
      <c r="A115" s="53"/>
      <c r="C115" s="21"/>
      <c r="E115" s="63"/>
      <c r="F115" s="63"/>
      <c r="H115" s="7"/>
      <c r="J115" s="82"/>
    </row>
    <row r="116" spans="1:10" ht="13">
      <c r="A116" s="2"/>
      <c r="D116" s="34"/>
      <c r="E116" s="63"/>
      <c r="F116" s="63"/>
      <c r="G116" s="12"/>
      <c r="H116" s="7"/>
      <c r="J116" s="82"/>
    </row>
    <row r="117" spans="1:10" ht="13">
      <c r="A117" s="2"/>
      <c r="C117" s="21"/>
      <c r="D117" s="93"/>
      <c r="E117" s="91"/>
      <c r="F117" s="7"/>
      <c r="G117" s="12"/>
      <c r="H117" s="7"/>
      <c r="J117" s="82"/>
    </row>
    <row r="118" spans="1:10" ht="13">
      <c r="A118" s="2"/>
      <c r="C118" s="21"/>
      <c r="D118" s="93"/>
      <c r="E118" s="7"/>
      <c r="F118" s="7"/>
      <c r="G118" s="12"/>
      <c r="H118" s="7"/>
      <c r="J118" s="82"/>
    </row>
    <row r="119" spans="1:10" ht="13">
      <c r="A119" s="2"/>
    </row>
    <row r="120" spans="1:10" ht="13">
      <c r="A120" s="2"/>
      <c r="B120" s="1"/>
    </row>
    <row r="121" spans="1:10" ht="13">
      <c r="A121" s="2"/>
    </row>
    <row r="122" spans="1:10" ht="13">
      <c r="A122" s="2"/>
    </row>
    <row r="123" spans="1:10" ht="13">
      <c r="A123" s="2"/>
      <c r="F123" s="2"/>
    </row>
    <row r="124" spans="1:10" ht="13">
      <c r="A124" s="2"/>
      <c r="F124" s="2"/>
    </row>
    <row r="125" spans="1:10" ht="13">
      <c r="A125" s="2"/>
      <c r="D125" s="2"/>
      <c r="E125" s="2"/>
      <c r="F125" s="2"/>
      <c r="H125" s="2"/>
    </row>
    <row r="126" spans="1:10" ht="13">
      <c r="A126" s="2"/>
      <c r="D126" s="2"/>
      <c r="E126" s="2"/>
      <c r="F126" s="2"/>
      <c r="G126" s="2"/>
      <c r="H126" s="4"/>
    </row>
    <row r="127" spans="1:10" ht="13">
      <c r="A127" s="53"/>
      <c r="C127" s="25"/>
      <c r="D127" s="25"/>
      <c r="E127" s="3"/>
      <c r="F127" s="84"/>
      <c r="G127" s="3"/>
      <c r="H127" s="4"/>
    </row>
    <row r="128" spans="1:10" ht="13">
      <c r="A128" s="2"/>
      <c r="C128" s="20"/>
      <c r="D128" s="24"/>
      <c r="E128" s="63"/>
      <c r="F128" s="63"/>
      <c r="G128" s="78"/>
      <c r="H128" s="7"/>
    </row>
    <row r="129" spans="1:8" ht="13">
      <c r="A129" s="2"/>
      <c r="C129" s="21"/>
      <c r="D129" s="24"/>
      <c r="E129" s="63"/>
      <c r="F129" s="63"/>
      <c r="G129" s="78"/>
      <c r="H129" s="7"/>
    </row>
    <row r="130" spans="1:8" ht="13">
      <c r="A130" s="2"/>
      <c r="C130" s="21"/>
      <c r="D130" s="24"/>
      <c r="E130" s="63"/>
      <c r="F130" s="63"/>
      <c r="G130" s="78"/>
      <c r="H130" s="7"/>
    </row>
    <row r="131" spans="1:8" ht="13">
      <c r="A131" s="2"/>
      <c r="C131" s="20"/>
      <c r="D131" s="24"/>
      <c r="E131" s="63"/>
      <c r="F131" s="63"/>
      <c r="G131" s="78"/>
      <c r="H131" s="7"/>
    </row>
    <row r="132" spans="1:8" ht="13">
      <c r="A132" s="2"/>
      <c r="C132" s="21"/>
      <c r="D132" s="24"/>
      <c r="E132" s="63"/>
      <c r="F132" s="63"/>
      <c r="G132" s="78"/>
      <c r="H132" s="7"/>
    </row>
    <row r="133" spans="1:8" ht="13">
      <c r="A133" s="2"/>
      <c r="C133" s="21"/>
      <c r="D133" s="24"/>
      <c r="E133" s="63"/>
      <c r="F133" s="63"/>
      <c r="G133" s="78"/>
      <c r="H133" s="7"/>
    </row>
    <row r="134" spans="1:8" ht="13">
      <c r="A134" s="2"/>
      <c r="C134" s="20"/>
      <c r="D134" s="24"/>
      <c r="E134" s="63"/>
      <c r="F134" s="63"/>
      <c r="G134" s="78"/>
      <c r="H134" s="7"/>
    </row>
    <row r="135" spans="1:8" ht="13">
      <c r="A135" s="2"/>
      <c r="C135" s="21"/>
      <c r="D135" s="24"/>
      <c r="E135" s="63"/>
      <c r="F135" s="63"/>
      <c r="G135" s="78"/>
      <c r="H135" s="7"/>
    </row>
    <row r="136" spans="1:8" ht="13">
      <c r="A136" s="2"/>
      <c r="C136" s="21"/>
      <c r="D136" s="24"/>
      <c r="E136" s="63"/>
      <c r="F136" s="63"/>
      <c r="G136" s="78"/>
      <c r="H136" s="7"/>
    </row>
    <row r="137" spans="1:8" ht="13">
      <c r="A137" s="2"/>
      <c r="C137" s="20"/>
      <c r="D137" s="24"/>
      <c r="E137" s="63"/>
      <c r="F137" s="63"/>
      <c r="G137" s="78"/>
      <c r="H137" s="7"/>
    </row>
    <row r="138" spans="1:8" ht="13">
      <c r="A138" s="2"/>
      <c r="C138" s="20"/>
      <c r="D138" s="24"/>
      <c r="E138" s="63"/>
      <c r="F138" s="63"/>
      <c r="G138" s="78"/>
      <c r="H138" s="7"/>
    </row>
    <row r="139" spans="1:8" ht="13">
      <c r="A139" s="2"/>
      <c r="C139" s="21"/>
      <c r="D139" s="24"/>
      <c r="E139" s="63"/>
      <c r="F139" s="63"/>
      <c r="G139" s="78"/>
      <c r="H139" s="57"/>
    </row>
    <row r="140" spans="1:8" ht="13">
      <c r="A140" s="2"/>
      <c r="E140" s="14"/>
      <c r="F140" s="14"/>
      <c r="G140" s="14"/>
      <c r="H140" s="7"/>
    </row>
    <row r="141" spans="1:8" ht="13">
      <c r="A141" s="2"/>
      <c r="C141" s="21"/>
      <c r="D141" s="24"/>
      <c r="E141" s="14"/>
      <c r="F141" s="143"/>
      <c r="G141" s="78"/>
      <c r="H141" s="71"/>
    </row>
    <row r="142" spans="1:8" ht="13">
      <c r="A142" s="2"/>
      <c r="B142" s="1"/>
      <c r="C142" s="21"/>
      <c r="D142" s="24"/>
      <c r="E142" s="14"/>
      <c r="F142" s="143"/>
      <c r="G142" s="78"/>
      <c r="H142" s="71"/>
    </row>
    <row r="143" spans="1:8" ht="13">
      <c r="A143" s="53"/>
      <c r="B143" s="1"/>
      <c r="C143" s="21"/>
      <c r="D143" s="24"/>
      <c r="E143" s="14"/>
      <c r="F143" s="143"/>
      <c r="G143" s="78"/>
      <c r="H143" s="71"/>
    </row>
    <row r="144" spans="1:8" ht="13">
      <c r="A144" s="2"/>
      <c r="C144" s="21"/>
      <c r="D144" s="85"/>
      <c r="E144" s="63"/>
      <c r="F144" s="144"/>
      <c r="G144" s="78"/>
      <c r="H144" s="71"/>
    </row>
    <row r="145" spans="1:10" ht="13">
      <c r="A145" s="2"/>
      <c r="C145" s="21"/>
      <c r="D145" s="37"/>
      <c r="E145" s="63"/>
      <c r="F145" s="144"/>
      <c r="G145" s="78"/>
      <c r="H145" s="71"/>
    </row>
    <row r="146" spans="1:10" ht="13">
      <c r="A146" s="2"/>
      <c r="C146" s="21"/>
      <c r="D146" s="37"/>
      <c r="E146" s="57"/>
      <c r="F146" s="116"/>
      <c r="G146" s="78"/>
      <c r="H146" s="71"/>
    </row>
    <row r="147" spans="1:10" ht="13">
      <c r="A147" s="2"/>
      <c r="C147" s="21"/>
      <c r="D147" s="85"/>
      <c r="E147" s="7"/>
      <c r="F147" s="71"/>
      <c r="G147" s="78"/>
      <c r="H147" s="71"/>
    </row>
    <row r="148" spans="1:10" ht="13">
      <c r="A148" s="2"/>
      <c r="C148" s="21"/>
      <c r="D148" s="24"/>
      <c r="F148" s="71"/>
      <c r="G148" s="78"/>
      <c r="H148" s="71"/>
    </row>
    <row r="149" spans="1:10" ht="13">
      <c r="A149" s="2"/>
    </row>
    <row r="150" spans="1:10" ht="13">
      <c r="A150" s="2"/>
    </row>
    <row r="151" spans="1:10" ht="13">
      <c r="A151" s="2"/>
    </row>
    <row r="152" spans="1:10" ht="13">
      <c r="A152" s="2"/>
      <c r="B152" s="1"/>
    </row>
    <row r="153" spans="1:10" ht="13">
      <c r="A153" s="2"/>
      <c r="B153" s="12"/>
    </row>
    <row r="154" spans="1:10" ht="13">
      <c r="A154" s="2"/>
      <c r="B154" s="12"/>
    </row>
    <row r="155" spans="1:10" ht="13">
      <c r="A155" s="2"/>
      <c r="B155" s="12"/>
    </row>
    <row r="156" spans="1:10" ht="13">
      <c r="A156" s="2"/>
    </row>
    <row r="157" spans="1:10" ht="13">
      <c r="A157" s="2"/>
      <c r="B157" s="1"/>
    </row>
    <row r="158" spans="1:10" ht="13">
      <c r="A158" s="2"/>
    </row>
    <row r="159" spans="1:10" ht="13">
      <c r="A159" s="53"/>
      <c r="C159" s="25"/>
      <c r="D159" s="3"/>
      <c r="G159" s="14"/>
      <c r="H159" s="14"/>
      <c r="I159" s="14"/>
      <c r="J159" s="14"/>
    </row>
    <row r="160" spans="1:10" ht="13">
      <c r="A160" s="2"/>
      <c r="C160" s="20"/>
      <c r="D160" s="141"/>
      <c r="F160" s="8"/>
      <c r="G160" s="14"/>
      <c r="H160" s="14"/>
      <c r="I160" s="14"/>
      <c r="J160" s="14"/>
    </row>
    <row r="161" spans="1:10" ht="13">
      <c r="A161" s="2"/>
      <c r="C161" s="21"/>
      <c r="D161" s="141"/>
      <c r="F161" s="8"/>
      <c r="G161" s="14"/>
      <c r="H161" s="14"/>
      <c r="I161" s="14"/>
      <c r="J161" s="14"/>
    </row>
    <row r="162" spans="1:10" ht="13">
      <c r="A162" s="2"/>
      <c r="C162" s="21"/>
      <c r="D162" s="141"/>
      <c r="F162" s="8"/>
      <c r="G162" s="14"/>
      <c r="H162" s="14"/>
      <c r="I162" s="14"/>
      <c r="J162" s="14"/>
    </row>
    <row r="163" spans="1:10" ht="13">
      <c r="A163" s="2"/>
      <c r="C163" s="20"/>
      <c r="D163" s="141"/>
      <c r="F163" s="8"/>
      <c r="G163" s="14"/>
      <c r="H163" s="14"/>
      <c r="I163" s="14"/>
      <c r="J163" s="14"/>
    </row>
    <row r="164" spans="1:10" ht="13">
      <c r="A164" s="2"/>
      <c r="C164" s="21"/>
      <c r="D164" s="141"/>
      <c r="F164" s="8"/>
      <c r="G164" s="14"/>
      <c r="H164" s="14"/>
      <c r="I164" s="14"/>
      <c r="J164" s="14"/>
    </row>
    <row r="165" spans="1:10" ht="13">
      <c r="A165" s="2"/>
      <c r="C165" s="21"/>
      <c r="D165" s="141"/>
      <c r="F165" s="8"/>
      <c r="G165" s="14"/>
      <c r="H165" s="14"/>
      <c r="I165" s="14"/>
      <c r="J165" s="14"/>
    </row>
    <row r="166" spans="1:10" ht="13">
      <c r="A166" s="2"/>
      <c r="C166" s="20"/>
      <c r="D166" s="141"/>
      <c r="F166" s="8"/>
      <c r="G166" s="14"/>
      <c r="H166" s="14"/>
      <c r="I166" s="14"/>
      <c r="J166" s="14"/>
    </row>
    <row r="167" spans="1:10" ht="13">
      <c r="A167" s="2"/>
      <c r="C167" s="21"/>
      <c r="D167" s="141"/>
      <c r="F167" s="8"/>
      <c r="G167" s="14"/>
      <c r="H167" s="14"/>
      <c r="I167" s="14"/>
      <c r="J167" s="14"/>
    </row>
    <row r="168" spans="1:10" ht="13">
      <c r="A168" s="2"/>
      <c r="C168" s="21"/>
      <c r="D168" s="141"/>
      <c r="F168" s="8"/>
      <c r="G168" s="14"/>
      <c r="H168" s="14"/>
      <c r="I168" s="14"/>
      <c r="J168" s="14"/>
    </row>
    <row r="169" spans="1:10" ht="13">
      <c r="A169" s="2"/>
      <c r="C169" s="20"/>
      <c r="D169" s="141"/>
      <c r="F169" s="8"/>
      <c r="G169" s="14"/>
      <c r="H169" s="14"/>
      <c r="I169" s="14"/>
      <c r="J169" s="14"/>
    </row>
    <row r="170" spans="1:10" ht="13">
      <c r="A170" s="2"/>
      <c r="C170" s="20"/>
      <c r="D170" s="141"/>
      <c r="F170" s="8"/>
    </row>
    <row r="171" spans="1:10" ht="13">
      <c r="A171" s="2"/>
      <c r="C171" s="21"/>
      <c r="D171" s="142"/>
      <c r="F171" s="81"/>
    </row>
    <row r="172" spans="1:10" ht="13">
      <c r="A172" s="2"/>
      <c r="C172" s="34"/>
      <c r="D172" s="141"/>
    </row>
  </sheetData>
  <phoneticPr fontId="23" type="noConversion"/>
  <pageMargins left="0.75" right="0.75" top="1" bottom="1" header="0.5" footer="0.5"/>
  <pageSetup scale="80" orientation="landscape" cellComments="asDisplayed" r:id="rId1"/>
  <headerFooter alignWithMargins="0">
    <oddHeader>&amp;CSchedule 4
True Up TRR
&amp;RTO2022 Draft Annual Update 
Attachment 1</oddHeader>
    <oddFooter>&amp;R&amp;A</oddFooter>
  </headerFooter>
  <rowBreaks count="4" manualBreakCount="4">
    <brk id="45" max="16383" man="1"/>
    <brk id="73" max="16383" man="1"/>
    <brk id="119" max="9" man="1"/>
    <brk id="1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dimension ref="A1:AB54"/>
  <sheetViews>
    <sheetView zoomScaleNormal="100" zoomScalePageLayoutView="80" workbookViewId="0"/>
  </sheetViews>
  <sheetFormatPr defaultColWidth="8.54296875" defaultRowHeight="12.5"/>
  <cols>
    <col min="1" max="1" width="4.54296875" style="955" customWidth="1"/>
    <col min="2" max="2" width="3.54296875" style="955" customWidth="1"/>
    <col min="3" max="3" width="8.54296875" style="955"/>
    <col min="4" max="4" width="13.54296875" style="955" customWidth="1"/>
    <col min="5" max="5" width="8.54296875" style="955"/>
    <col min="6" max="7" width="10.54296875" style="955" customWidth="1"/>
    <col min="8" max="8" width="8.54296875" style="955"/>
    <col min="9" max="9" width="27.54296875" style="955" customWidth="1"/>
    <col min="10" max="10" width="30.54296875" style="955" customWidth="1"/>
    <col min="11" max="11" width="2.54296875" style="955" customWidth="1"/>
    <col min="12" max="12" width="16.54296875" style="955" customWidth="1"/>
    <col min="13" max="13" width="1.54296875" style="955" customWidth="1"/>
    <col min="14" max="14" width="4.54296875" style="955" customWidth="1"/>
    <col min="15" max="28" width="14.54296875" style="955" customWidth="1"/>
    <col min="29" max="16384" width="8.54296875" style="955"/>
  </cols>
  <sheetData>
    <row r="1" spans="1:28" ht="13">
      <c r="A1" s="1" t="s">
        <v>24</v>
      </c>
      <c r="J1" s="96" t="s">
        <v>301</v>
      </c>
    </row>
    <row r="2" spans="1:28" ht="13">
      <c r="B2" s="1"/>
      <c r="I2" s="549"/>
      <c r="J2" s="549" t="s">
        <v>169</v>
      </c>
      <c r="L2" s="244">
        <v>2020</v>
      </c>
    </row>
    <row r="3" spans="1:28" ht="13">
      <c r="I3" s="3" t="s">
        <v>168</v>
      </c>
      <c r="J3" s="3" t="s">
        <v>170</v>
      </c>
      <c r="L3" s="3" t="s">
        <v>171</v>
      </c>
    </row>
    <row r="5" spans="1:28" ht="13">
      <c r="A5" s="10" t="s">
        <v>177</v>
      </c>
      <c r="B5" s="118"/>
      <c r="C5" s="11"/>
      <c r="D5" s="11"/>
      <c r="E5" s="11"/>
      <c r="F5" s="11"/>
      <c r="G5" s="11"/>
      <c r="H5" s="11"/>
      <c r="I5" s="9"/>
      <c r="J5" s="9"/>
      <c r="K5" s="9"/>
      <c r="L5" s="9"/>
      <c r="N5" s="1219"/>
      <c r="O5" s="1220"/>
      <c r="P5" s="1220"/>
      <c r="Q5" s="1220"/>
      <c r="R5" s="1220"/>
      <c r="S5" s="1220"/>
      <c r="T5" s="1220"/>
    </row>
    <row r="6" spans="1:28" ht="13">
      <c r="B6" s="1"/>
      <c r="C6" s="463"/>
      <c r="D6" s="463"/>
      <c r="E6" s="463"/>
      <c r="F6" s="463"/>
      <c r="G6" s="463"/>
      <c r="H6" s="463"/>
      <c r="I6" s="463"/>
      <c r="J6" s="463"/>
      <c r="K6" s="463"/>
      <c r="L6" s="463"/>
      <c r="O6" s="84"/>
      <c r="P6" s="84"/>
      <c r="Q6" s="84"/>
      <c r="R6" s="84"/>
      <c r="S6" s="84"/>
      <c r="T6" s="84"/>
      <c r="U6" s="84"/>
      <c r="V6" s="84"/>
      <c r="W6" s="84"/>
      <c r="X6" s="84"/>
      <c r="Y6" s="84"/>
      <c r="Z6" s="84"/>
      <c r="AA6" s="84"/>
      <c r="AB6" s="84"/>
    </row>
    <row r="7" spans="1:28" ht="13">
      <c r="A7" s="53" t="s">
        <v>319</v>
      </c>
      <c r="B7" s="1"/>
      <c r="C7" s="75" t="s">
        <v>268</v>
      </c>
      <c r="D7" s="463"/>
      <c r="E7" s="463"/>
      <c r="F7" s="463"/>
      <c r="G7" s="463"/>
      <c r="H7" s="463"/>
      <c r="I7" s="463"/>
      <c r="J7" s="463"/>
      <c r="K7" s="463"/>
      <c r="L7" s="463"/>
      <c r="N7" s="53"/>
      <c r="O7" s="37"/>
      <c r="P7" s="479"/>
      <c r="Q7" s="472"/>
      <c r="R7" s="472"/>
      <c r="S7" s="472"/>
      <c r="T7" s="472"/>
      <c r="U7" s="472"/>
      <c r="V7" s="472"/>
      <c r="W7" s="472"/>
      <c r="X7" s="472"/>
      <c r="Y7" s="472"/>
      <c r="Z7" s="472"/>
      <c r="AA7" s="472"/>
      <c r="AB7" s="472"/>
    </row>
    <row r="8" spans="1:28" ht="13">
      <c r="A8" s="549">
        <v>1</v>
      </c>
      <c r="B8" s="1"/>
      <c r="C8" s="463" t="s">
        <v>206</v>
      </c>
      <c r="D8" s="463"/>
      <c r="E8" s="463"/>
      <c r="F8" s="463"/>
      <c r="G8" s="463"/>
      <c r="H8" s="463"/>
      <c r="I8" s="463" t="s">
        <v>1605</v>
      </c>
      <c r="J8" s="467" t="str">
        <f>"5-ROR-2, Line "&amp;'5-ROR-2'!A8&amp;""</f>
        <v>5-ROR-2, Line 1</v>
      </c>
      <c r="K8" s="463"/>
      <c r="L8" s="470">
        <f>'5-ROR-2'!C8</f>
        <v>16871130769.171539</v>
      </c>
      <c r="N8" s="549"/>
      <c r="O8" s="470"/>
      <c r="P8" s="470"/>
      <c r="Q8" s="470"/>
      <c r="R8" s="470"/>
      <c r="S8" s="470"/>
      <c r="T8" s="470"/>
      <c r="U8" s="470"/>
      <c r="V8" s="470"/>
      <c r="W8" s="470"/>
      <c r="X8" s="470"/>
      <c r="Y8" s="470"/>
      <c r="Z8" s="470"/>
      <c r="AA8" s="470"/>
      <c r="AB8" s="470"/>
    </row>
    <row r="9" spans="1:28" ht="13">
      <c r="A9" s="549">
        <f>A8+1</f>
        <v>2</v>
      </c>
      <c r="B9" s="1"/>
      <c r="C9" s="463" t="s">
        <v>207</v>
      </c>
      <c r="D9" s="463"/>
      <c r="E9" s="463"/>
      <c r="F9" s="463"/>
      <c r="G9" s="463"/>
      <c r="H9" s="463"/>
      <c r="I9" s="463" t="s">
        <v>1605</v>
      </c>
      <c r="J9" s="467" t="str">
        <f>"5-ROR-2, Line "&amp;'5-ROR-2'!A10&amp;""</f>
        <v>5-ROR-2, Line 2</v>
      </c>
      <c r="K9" s="463"/>
      <c r="L9" s="470">
        <f>'5-ROR-2'!C10</f>
        <v>-333084615.38461536</v>
      </c>
      <c r="N9" s="549"/>
      <c r="O9" s="470"/>
      <c r="P9" s="470"/>
      <c r="Q9" s="470"/>
      <c r="R9" s="470"/>
      <c r="S9" s="470"/>
      <c r="T9" s="470"/>
      <c r="U9" s="470"/>
      <c r="V9" s="470"/>
      <c r="W9" s="470"/>
      <c r="X9" s="470"/>
      <c r="Y9" s="470"/>
      <c r="Z9" s="470"/>
      <c r="AA9" s="470"/>
      <c r="AB9" s="470"/>
    </row>
    <row r="10" spans="1:28" ht="13">
      <c r="A10" s="549" t="s">
        <v>507</v>
      </c>
      <c r="B10" s="1"/>
      <c r="C10" s="463" t="s">
        <v>1815</v>
      </c>
      <c r="D10" s="1085"/>
      <c r="E10" s="1085"/>
      <c r="F10" s="1085"/>
      <c r="G10" s="1085"/>
      <c r="H10" s="1085"/>
      <c r="I10" s="463" t="s">
        <v>1605</v>
      </c>
      <c r="J10" s="467" t="str">
        <f>"5-ROR-2, Line "&amp;'5-ROR-2'!A12&amp;""</f>
        <v>5-ROR-2, Line 2a</v>
      </c>
      <c r="K10" s="463"/>
      <c r="L10" s="470">
        <f>'5-ROR-2'!C12</f>
        <v>0</v>
      </c>
      <c r="N10" s="549"/>
      <c r="O10" s="470"/>
      <c r="P10" s="470"/>
      <c r="Q10" s="470"/>
      <c r="R10" s="470"/>
      <c r="S10" s="470"/>
      <c r="T10" s="470"/>
      <c r="U10" s="470"/>
      <c r="V10" s="470"/>
      <c r="W10" s="470"/>
      <c r="X10" s="470"/>
      <c r="Y10" s="470"/>
      <c r="Z10" s="470"/>
      <c r="AA10" s="470"/>
      <c r="AB10" s="470"/>
    </row>
    <row r="11" spans="1:28" ht="13">
      <c r="A11" s="549">
        <f>A9+1</f>
        <v>3</v>
      </c>
      <c r="B11" s="1"/>
      <c r="C11" s="463" t="s">
        <v>208</v>
      </c>
      <c r="D11" s="463"/>
      <c r="E11" s="463"/>
      <c r="F11" s="463"/>
      <c r="G11" s="463"/>
      <c r="H11" s="463"/>
      <c r="I11" s="463" t="s">
        <v>1605</v>
      </c>
      <c r="J11" s="467" t="str">
        <f>"5-ROR-2, Line "&amp;'5-ROR-2'!A14&amp;""</f>
        <v>5-ROR-2, Line 3</v>
      </c>
      <c r="K11" s="463"/>
      <c r="L11" s="470">
        <f>'5-ROR-2'!C14</f>
        <v>306382919.30000001</v>
      </c>
      <c r="N11" s="549"/>
      <c r="O11" s="470"/>
      <c r="P11" s="470"/>
      <c r="Q11" s="470"/>
      <c r="R11" s="470"/>
      <c r="S11" s="470"/>
      <c r="T11" s="470"/>
      <c r="U11" s="470"/>
      <c r="V11" s="470"/>
      <c r="W11" s="470"/>
      <c r="X11" s="470"/>
      <c r="Y11" s="470"/>
      <c r="Z11" s="470"/>
      <c r="AA11" s="470"/>
      <c r="AB11" s="470"/>
    </row>
    <row r="12" spans="1:28" ht="13">
      <c r="A12" s="549">
        <v>4</v>
      </c>
      <c r="B12" s="1"/>
      <c r="C12" s="467" t="s">
        <v>209</v>
      </c>
      <c r="D12" s="463"/>
      <c r="E12" s="463"/>
      <c r="F12" s="463"/>
      <c r="G12" s="463"/>
      <c r="H12" s="463"/>
      <c r="J12" s="467" t="str">
        <f>"L"&amp;A8&amp;" + L"&amp;A9&amp;" + L"&amp;A10&amp;" + L"&amp;A11&amp;""</f>
        <v>L1 + L2 + L2a + L3</v>
      </c>
      <c r="K12" s="463"/>
      <c r="L12" s="1221">
        <f>SUM(L8:L11)</f>
        <v>16844429073.086924</v>
      </c>
    </row>
    <row r="13" spans="1:28" ht="13">
      <c r="B13" s="1"/>
      <c r="C13" s="463"/>
      <c r="D13" s="463"/>
      <c r="E13" s="463"/>
      <c r="F13" s="463"/>
      <c r="G13" s="463" t="s">
        <v>328</v>
      </c>
      <c r="H13" s="463"/>
      <c r="I13" s="463"/>
      <c r="J13" s="467"/>
      <c r="K13" s="463"/>
      <c r="L13" s="463"/>
    </row>
    <row r="14" spans="1:28" ht="13">
      <c r="A14" s="549"/>
      <c r="B14" s="1"/>
      <c r="C14" s="75" t="s">
        <v>2484</v>
      </c>
      <c r="D14" s="463"/>
      <c r="E14" s="463"/>
      <c r="F14" s="463"/>
      <c r="G14" s="463"/>
      <c r="H14" s="463"/>
      <c r="I14" s="463"/>
      <c r="J14" s="467"/>
      <c r="K14" s="463"/>
      <c r="L14" s="463"/>
    </row>
    <row r="15" spans="1:28" ht="13">
      <c r="A15" s="549">
        <f>A12+1</f>
        <v>5</v>
      </c>
      <c r="B15" s="1"/>
      <c r="C15" s="463" t="s">
        <v>2485</v>
      </c>
      <c r="D15" s="463"/>
      <c r="E15" s="463"/>
      <c r="F15" s="463"/>
      <c r="G15" s="463"/>
      <c r="H15" s="463"/>
      <c r="I15" s="463"/>
      <c r="J15" s="467" t="s">
        <v>2486</v>
      </c>
      <c r="K15" s="463"/>
      <c r="L15" s="978">
        <v>721798639</v>
      </c>
    </row>
    <row r="16" spans="1:28" ht="13">
      <c r="A16" s="549">
        <f>A15+1</f>
        <v>6</v>
      </c>
      <c r="B16" s="1"/>
      <c r="C16" s="463" t="s">
        <v>2487</v>
      </c>
      <c r="D16" s="463"/>
      <c r="E16" s="463"/>
      <c r="F16" s="463"/>
      <c r="G16" s="463"/>
      <c r="H16" s="463"/>
      <c r="I16" s="463"/>
      <c r="J16" s="467" t="s">
        <v>2488</v>
      </c>
      <c r="K16" s="463"/>
      <c r="L16" s="978">
        <v>18945895</v>
      </c>
    </row>
    <row r="17" spans="1:28" ht="13">
      <c r="A17" s="549">
        <f t="shared" ref="A17:A19" si="0">A16+1</f>
        <v>7</v>
      </c>
      <c r="B17" s="1"/>
      <c r="C17" s="463" t="s">
        <v>2489</v>
      </c>
      <c r="D17" s="463"/>
      <c r="E17" s="463"/>
      <c r="F17" s="463"/>
      <c r="G17" s="463"/>
      <c r="H17" s="463"/>
      <c r="I17" s="463"/>
      <c r="J17" s="467" t="s">
        <v>2452</v>
      </c>
      <c r="K17" s="463"/>
      <c r="L17" s="978">
        <v>12677630</v>
      </c>
    </row>
    <row r="18" spans="1:28" ht="13">
      <c r="A18" s="549">
        <f t="shared" si="0"/>
        <v>8</v>
      </c>
      <c r="B18" s="1"/>
      <c r="C18" s="463" t="s">
        <v>2490</v>
      </c>
      <c r="D18" s="463"/>
      <c r="E18" s="463"/>
      <c r="F18" s="463"/>
      <c r="G18" s="463"/>
      <c r="H18" s="463"/>
      <c r="I18" s="463" t="s">
        <v>2491</v>
      </c>
      <c r="J18" s="467" t="s">
        <v>2492</v>
      </c>
      <c r="K18" s="463"/>
      <c r="L18" s="978">
        <v>-5088559</v>
      </c>
    </row>
    <row r="19" spans="1:28" ht="13">
      <c r="A19" s="549">
        <f t="shared" si="0"/>
        <v>9</v>
      </c>
      <c r="B19" s="1"/>
      <c r="C19" s="463" t="s">
        <v>2493</v>
      </c>
      <c r="D19" s="463"/>
      <c r="E19" s="463"/>
      <c r="F19" s="463"/>
      <c r="G19" s="463"/>
      <c r="H19" s="463"/>
      <c r="I19" s="463" t="s">
        <v>2491</v>
      </c>
      <c r="J19" s="467" t="s">
        <v>2494</v>
      </c>
      <c r="K19" s="463"/>
      <c r="L19" s="978">
        <v>0</v>
      </c>
    </row>
    <row r="20" spans="1:28" ht="13">
      <c r="A20" s="549">
        <v>10</v>
      </c>
      <c r="B20" s="1"/>
      <c r="C20" s="463" t="s">
        <v>2495</v>
      </c>
      <c r="D20" s="463"/>
      <c r="E20" s="463"/>
      <c r="F20" s="463"/>
      <c r="G20" s="463"/>
      <c r="H20" s="463"/>
      <c r="I20" s="463"/>
      <c r="J20" s="467" t="s">
        <v>2496</v>
      </c>
      <c r="K20" s="463"/>
      <c r="L20" s="978">
        <v>0</v>
      </c>
    </row>
    <row r="21" spans="1:28" ht="13">
      <c r="A21" s="549">
        <v>11</v>
      </c>
      <c r="B21" s="1"/>
      <c r="C21" s="467" t="s">
        <v>253</v>
      </c>
      <c r="D21" s="463"/>
      <c r="E21" s="463"/>
      <c r="F21" s="463"/>
      <c r="G21" s="463"/>
      <c r="H21" s="463"/>
      <c r="J21" s="467" t="str">
        <f>"Sum of Lines "&amp;A15&amp;" to "&amp;A20&amp;""</f>
        <v>Sum of Lines 5 to 10</v>
      </c>
      <c r="K21" s="463"/>
      <c r="L21" s="1221">
        <f>SUM(L15:L20)</f>
        <v>748333605</v>
      </c>
    </row>
    <row r="22" spans="1:28" ht="13">
      <c r="B22" s="1"/>
      <c r="C22" s="463"/>
      <c r="D22" s="463"/>
      <c r="E22" s="463"/>
      <c r="F22" s="463"/>
      <c r="G22" s="463"/>
      <c r="H22" s="463"/>
      <c r="I22" s="463"/>
      <c r="J22" s="467"/>
      <c r="K22" s="463"/>
      <c r="L22" s="463"/>
    </row>
    <row r="23" spans="1:28" ht="13">
      <c r="A23" s="549">
        <f>A21+1</f>
        <v>12</v>
      </c>
      <c r="B23" s="1"/>
      <c r="C23" s="463" t="s">
        <v>2497</v>
      </c>
      <c r="D23" s="463"/>
      <c r="E23" s="463"/>
      <c r="F23" s="463"/>
      <c r="G23" s="463"/>
      <c r="H23" s="463"/>
      <c r="J23" s="467" t="str">
        <f>"Line "&amp;A21&amp;" / Line "&amp;A12&amp;""</f>
        <v>Line 11 / Line 4</v>
      </c>
      <c r="K23" s="463"/>
      <c r="L23" s="1123">
        <f>L21/L12</f>
        <v>4.4426178041002594E-2</v>
      </c>
    </row>
    <row r="24" spans="1:28" ht="13">
      <c r="A24" s="549"/>
      <c r="B24" s="1"/>
      <c r="C24" s="463"/>
      <c r="D24" s="463"/>
      <c r="E24" s="463"/>
      <c r="F24" s="463"/>
      <c r="G24" s="463"/>
      <c r="H24" s="463"/>
      <c r="J24" s="467"/>
      <c r="K24" s="463"/>
      <c r="L24" s="1123"/>
    </row>
    <row r="25" spans="1:28" ht="13">
      <c r="B25" s="1"/>
      <c r="C25" s="75" t="s">
        <v>1457</v>
      </c>
      <c r="D25" s="463"/>
      <c r="E25" s="463"/>
      <c r="F25" s="463"/>
      <c r="G25" s="463"/>
      <c r="H25" s="463"/>
      <c r="I25" s="463"/>
      <c r="J25" s="467"/>
      <c r="K25" s="463"/>
      <c r="L25" s="463"/>
    </row>
    <row r="26" spans="1:28" ht="13">
      <c r="A26" s="549">
        <f>A23+1</f>
        <v>13</v>
      </c>
      <c r="B26" s="1"/>
      <c r="C26" s="463" t="s">
        <v>42</v>
      </c>
      <c r="D26" s="463"/>
      <c r="E26" s="463"/>
      <c r="F26" s="463"/>
      <c r="G26" s="463"/>
      <c r="H26" s="463"/>
      <c r="I26" s="463" t="s">
        <v>1605</v>
      </c>
      <c r="J26" s="467" t="str">
        <f>"5-ROR-2, Line "&amp;'5-ROR-2'!A16&amp;""</f>
        <v>5-ROR-2, Line 4</v>
      </c>
      <c r="K26" s="463"/>
      <c r="L26" s="470">
        <f>'5-ROR-2'!C16</f>
        <v>2143514584.6153846</v>
      </c>
      <c r="N26" s="549"/>
      <c r="O26" s="470"/>
      <c r="P26" s="470"/>
      <c r="Q26" s="470"/>
      <c r="R26" s="470"/>
      <c r="S26" s="470"/>
      <c r="T26" s="470"/>
      <c r="U26" s="470"/>
      <c r="V26" s="470"/>
      <c r="W26" s="470"/>
      <c r="X26" s="470"/>
      <c r="Y26" s="470"/>
      <c r="Z26" s="470"/>
      <c r="AA26" s="470"/>
      <c r="AB26" s="470"/>
    </row>
    <row r="27" spans="1:28" ht="13">
      <c r="A27" s="549">
        <f t="shared" ref="A27:A28" si="1">A26+1</f>
        <v>14</v>
      </c>
      <c r="B27" s="1"/>
      <c r="C27" s="463" t="s">
        <v>1453</v>
      </c>
      <c r="D27" s="463"/>
      <c r="E27" s="463"/>
      <c r="F27" s="463"/>
      <c r="G27" s="463"/>
      <c r="H27" s="463"/>
      <c r="I27" s="463" t="s">
        <v>1605</v>
      </c>
      <c r="J27" s="467" t="str">
        <f>"5-ROR-2, Line "&amp;'5-ROR-2'!A18&amp;""</f>
        <v>5-ROR-2, Line 5</v>
      </c>
      <c r="K27" s="463"/>
      <c r="L27" s="470">
        <f>'5-ROR-2'!C18</f>
        <v>-30116206.966666643</v>
      </c>
      <c r="N27" s="549"/>
      <c r="O27" s="470"/>
      <c r="P27" s="470"/>
      <c r="Q27" s="470"/>
      <c r="R27" s="470"/>
      <c r="S27" s="470"/>
      <c r="T27" s="470"/>
      <c r="U27" s="470"/>
      <c r="V27" s="470"/>
      <c r="W27" s="470"/>
      <c r="X27" s="470"/>
      <c r="Y27" s="470"/>
      <c r="Z27" s="470"/>
      <c r="AA27" s="470"/>
      <c r="AB27" s="470"/>
    </row>
    <row r="28" spans="1:28" ht="13">
      <c r="A28" s="549">
        <f t="shared" si="1"/>
        <v>15</v>
      </c>
      <c r="B28" s="1"/>
      <c r="C28" s="463" t="s">
        <v>1148</v>
      </c>
      <c r="D28" s="463"/>
      <c r="E28" s="463"/>
      <c r="F28" s="463"/>
      <c r="G28" s="463"/>
      <c r="H28" s="463"/>
      <c r="I28" s="463" t="s">
        <v>1605</v>
      </c>
      <c r="J28" s="467" t="str">
        <f>"5-ROR-2, Line "&amp;'5-ROR-2'!A20&amp;""</f>
        <v>5-ROR-2, Line 6</v>
      </c>
      <c r="K28" s="463"/>
      <c r="L28" s="1222">
        <f>'5-ROR-2'!C20</f>
        <v>-21436251.980334602</v>
      </c>
      <c r="N28" s="549"/>
      <c r="O28" s="470"/>
      <c r="P28" s="470"/>
      <c r="Q28" s="470"/>
      <c r="R28" s="470"/>
      <c r="S28" s="470"/>
      <c r="T28" s="470"/>
      <c r="U28" s="470"/>
      <c r="V28" s="470"/>
      <c r="W28" s="470"/>
      <c r="X28" s="470"/>
      <c r="Y28" s="470"/>
      <c r="Z28" s="470"/>
      <c r="AA28" s="470"/>
      <c r="AB28" s="470"/>
    </row>
    <row r="29" spans="1:28" ht="13">
      <c r="A29" s="549">
        <f>A28+1</f>
        <v>16</v>
      </c>
      <c r="B29" s="1"/>
      <c r="C29" s="467" t="s">
        <v>47</v>
      </c>
      <c r="D29" s="463"/>
      <c r="E29" s="463"/>
      <c r="F29" s="463"/>
      <c r="G29" s="463"/>
      <c r="H29" s="463"/>
      <c r="I29" s="463"/>
      <c r="J29" s="467" t="str">
        <f>"Sum of Lines "&amp;A26&amp;" to "&amp;A28&amp;""</f>
        <v>Sum of Lines 13 to 15</v>
      </c>
      <c r="K29" s="463"/>
      <c r="L29" s="470">
        <f>SUM(L26:L28)</f>
        <v>2091962125.6683834</v>
      </c>
    </row>
    <row r="30" spans="1:28" ht="13">
      <c r="A30" s="549"/>
      <c r="B30" s="1"/>
      <c r="C30" s="463"/>
      <c r="D30" s="463"/>
      <c r="E30" s="463"/>
      <c r="F30" s="463"/>
      <c r="G30" s="463"/>
      <c r="H30" s="463"/>
      <c r="I30" s="463"/>
      <c r="J30" s="467"/>
      <c r="K30" s="463"/>
      <c r="L30" s="470"/>
    </row>
    <row r="31" spans="1:28" ht="13">
      <c r="A31" s="549"/>
      <c r="B31" s="1"/>
      <c r="C31" s="75" t="s">
        <v>2498</v>
      </c>
      <c r="D31" s="463"/>
      <c r="E31" s="463"/>
      <c r="F31" s="463"/>
      <c r="G31" s="463"/>
      <c r="H31" s="463"/>
      <c r="I31" s="463"/>
      <c r="J31" s="467"/>
      <c r="K31" s="463"/>
      <c r="L31" s="470"/>
    </row>
    <row r="32" spans="1:28" ht="13">
      <c r="A32" s="549">
        <f>A29+1</f>
        <v>17</v>
      </c>
      <c r="B32" s="1"/>
      <c r="C32" s="463" t="s">
        <v>2499</v>
      </c>
      <c r="D32" s="463"/>
      <c r="E32" s="463"/>
      <c r="F32" s="463"/>
      <c r="G32" s="463"/>
      <c r="H32" s="463"/>
      <c r="I32" s="463" t="s">
        <v>2500</v>
      </c>
      <c r="J32" s="467" t="s">
        <v>2501</v>
      </c>
      <c r="K32" s="463"/>
      <c r="L32" s="978">
        <v>117193589</v>
      </c>
    </row>
    <row r="33" spans="1:28" ht="13">
      <c r="A33" s="549">
        <f>A32+1</f>
        <v>18</v>
      </c>
      <c r="B33" s="1"/>
      <c r="C33" s="463" t="s">
        <v>2502</v>
      </c>
      <c r="D33" s="463"/>
      <c r="E33" s="463"/>
      <c r="F33" s="463"/>
      <c r="G33" s="463"/>
      <c r="H33" s="463"/>
      <c r="I33" s="463"/>
      <c r="J33" s="467" t="s">
        <v>212</v>
      </c>
      <c r="K33" s="463"/>
      <c r="L33" s="470">
        <f>'5-ROR-2'!H65</f>
        <v>1819324.5717344894</v>
      </c>
    </row>
    <row r="34" spans="1:28" ht="13">
      <c r="A34" s="549">
        <f>A33+1</f>
        <v>19</v>
      </c>
      <c r="B34" s="1"/>
      <c r="C34" s="463" t="s">
        <v>2503</v>
      </c>
      <c r="D34" s="463"/>
      <c r="E34" s="463"/>
      <c r="F34" s="463"/>
      <c r="G34" s="463"/>
      <c r="H34" s="463"/>
      <c r="I34" s="463"/>
      <c r="J34" s="467" t="s">
        <v>211</v>
      </c>
      <c r="K34" s="463"/>
      <c r="L34" s="470">
        <f>'5-ROR-2'!I50</f>
        <v>3225420.9666666673</v>
      </c>
    </row>
    <row r="35" spans="1:28" ht="13">
      <c r="A35" s="549">
        <f t="shared" ref="A35" si="2">A34+1</f>
        <v>20</v>
      </c>
      <c r="B35" s="1"/>
      <c r="C35" s="467" t="s">
        <v>2499</v>
      </c>
      <c r="D35" s="463"/>
      <c r="E35" s="463"/>
      <c r="F35" s="463"/>
      <c r="G35" s="463"/>
      <c r="H35" s="463"/>
      <c r="J35" s="467" t="str">
        <f>"Sum of Lines "&amp;A32&amp;" to "&amp;A34&amp;""</f>
        <v>Sum of Lines 17 to 19</v>
      </c>
      <c r="K35" s="463"/>
      <c r="L35" s="1221">
        <f>SUM(L32:L34)</f>
        <v>122238334.53840116</v>
      </c>
    </row>
    <row r="36" spans="1:28" ht="13">
      <c r="B36" s="1"/>
      <c r="C36" s="463"/>
      <c r="D36" s="463"/>
      <c r="E36" s="463"/>
      <c r="F36" s="463"/>
      <c r="G36" s="463"/>
      <c r="H36" s="463"/>
      <c r="I36" s="463"/>
      <c r="J36" s="467"/>
      <c r="K36" s="463"/>
      <c r="L36" s="470"/>
    </row>
    <row r="37" spans="1:28" ht="13">
      <c r="A37" s="549">
        <f>A35+1</f>
        <v>21</v>
      </c>
      <c r="B37" s="1"/>
      <c r="C37" s="463" t="s">
        <v>43</v>
      </c>
      <c r="D37" s="463"/>
      <c r="E37" s="463"/>
      <c r="F37" s="463"/>
      <c r="G37" s="463"/>
      <c r="H37" s="463"/>
      <c r="J37" s="467" t="str">
        <f>"Line "&amp;A35&amp;" / Line "&amp;A29&amp;""</f>
        <v>Line 20 / Line 16</v>
      </c>
      <c r="K37" s="463"/>
      <c r="L37" s="1123">
        <f>L35/L29</f>
        <v>5.8432384142397376E-2</v>
      </c>
    </row>
    <row r="38" spans="1:28" ht="13">
      <c r="B38" s="1"/>
      <c r="C38" s="463"/>
      <c r="D38" s="463"/>
      <c r="E38" s="463"/>
      <c r="F38" s="463"/>
      <c r="G38" s="463"/>
      <c r="H38" s="463"/>
      <c r="I38" s="463"/>
      <c r="J38" s="467"/>
      <c r="K38" s="463"/>
      <c r="L38" s="463"/>
    </row>
    <row r="39" spans="1:28" ht="13">
      <c r="B39" s="1"/>
      <c r="C39" s="75" t="s">
        <v>269</v>
      </c>
      <c r="D39" s="463"/>
      <c r="E39" s="463"/>
      <c r="F39" s="463"/>
      <c r="G39" s="463"/>
      <c r="H39" s="463"/>
      <c r="I39" s="1107"/>
      <c r="J39" s="467"/>
      <c r="K39" s="463"/>
      <c r="L39" s="463"/>
    </row>
    <row r="40" spans="1:28" ht="13">
      <c r="A40" s="549">
        <f>A37+1</f>
        <v>22</v>
      </c>
      <c r="B40" s="1"/>
      <c r="C40" s="463" t="s">
        <v>210</v>
      </c>
      <c r="D40" s="463"/>
      <c r="E40" s="463"/>
      <c r="F40" s="463"/>
      <c r="G40" s="463"/>
      <c r="H40" s="463"/>
      <c r="I40" s="463" t="s">
        <v>1605</v>
      </c>
      <c r="J40" s="467" t="str">
        <f>"5-ROR-2, Line "&amp;'5-ROR-2'!A22&amp;""</f>
        <v>5-ROR-2, Line 7</v>
      </c>
      <c r="K40" s="463"/>
      <c r="L40" s="470">
        <f>'5-ROR-2'!C22</f>
        <v>18412587510.481541</v>
      </c>
      <c r="N40" s="549"/>
      <c r="O40" s="470"/>
      <c r="P40" s="470"/>
      <c r="Q40" s="470"/>
      <c r="R40" s="470"/>
      <c r="S40" s="470"/>
      <c r="T40" s="470"/>
      <c r="U40" s="470"/>
      <c r="V40" s="470"/>
      <c r="W40" s="470"/>
      <c r="X40" s="470"/>
      <c r="Y40" s="470"/>
      <c r="Z40" s="470"/>
      <c r="AA40" s="470"/>
      <c r="AB40" s="470"/>
    </row>
    <row r="41" spans="1:28" ht="13">
      <c r="A41" s="549">
        <f>A40+1</f>
        <v>23</v>
      </c>
      <c r="B41" s="1"/>
      <c r="C41" s="463" t="s">
        <v>45</v>
      </c>
      <c r="D41" s="463"/>
      <c r="E41" s="463"/>
      <c r="F41" s="463"/>
      <c r="G41" s="463"/>
      <c r="H41" s="463"/>
      <c r="I41" s="463" t="str">
        <f>"Same as L "&amp;A26&amp;", but negative"</f>
        <v>Same as L 13, but negative</v>
      </c>
      <c r="J41" s="467" t="str">
        <f>"5-ROR-2, Line "&amp;'5-ROR-2'!A16&amp;""</f>
        <v>5-ROR-2, Line 4</v>
      </c>
      <c r="K41" s="463"/>
      <c r="L41" s="470">
        <f>-'5-ROR-2'!C16</f>
        <v>-2143514584.6153846</v>
      </c>
      <c r="N41" s="549"/>
      <c r="O41" s="470"/>
      <c r="P41" s="470"/>
      <c r="Q41" s="470"/>
      <c r="R41" s="470"/>
      <c r="S41" s="470"/>
      <c r="T41" s="470"/>
      <c r="U41" s="470"/>
      <c r="V41" s="470"/>
      <c r="W41" s="470"/>
      <c r="X41" s="470"/>
      <c r="Y41" s="470"/>
      <c r="Z41" s="470"/>
      <c r="AA41" s="470"/>
      <c r="AB41" s="470"/>
    </row>
    <row r="42" spans="1:28" ht="13">
      <c r="A42" s="549">
        <f t="shared" ref="A42:A44" si="3">A41+1</f>
        <v>24</v>
      </c>
      <c r="B42" s="1"/>
      <c r="C42" s="463" t="s">
        <v>1454</v>
      </c>
      <c r="D42" s="463"/>
      <c r="E42" s="463"/>
      <c r="F42" s="463"/>
      <c r="G42" s="463"/>
      <c r="H42" s="463"/>
      <c r="I42" s="463" t="str">
        <f>"Same as L "&amp;A28&amp;", but reverse sign"</f>
        <v>Same as L 15, but reverse sign</v>
      </c>
      <c r="J42" s="467" t="s">
        <v>281</v>
      </c>
      <c r="K42" s="463"/>
      <c r="L42" s="470">
        <f>-L28</f>
        <v>21436251.980334602</v>
      </c>
      <c r="N42" s="549"/>
      <c r="O42" s="470"/>
      <c r="P42" s="470"/>
      <c r="Q42" s="470"/>
      <c r="R42" s="470"/>
      <c r="S42" s="470"/>
      <c r="T42" s="470"/>
      <c r="U42" s="470"/>
      <c r="V42" s="470"/>
      <c r="W42" s="470"/>
      <c r="X42" s="470"/>
      <c r="Y42" s="470"/>
      <c r="Z42" s="470"/>
      <c r="AA42" s="470"/>
      <c r="AB42" s="470"/>
    </row>
    <row r="43" spans="1:28" ht="13">
      <c r="A43" s="549">
        <f t="shared" si="3"/>
        <v>25</v>
      </c>
      <c r="B43" s="1"/>
      <c r="C43" s="463" t="s">
        <v>1455</v>
      </c>
      <c r="D43" s="463"/>
      <c r="E43" s="463"/>
      <c r="F43" s="463"/>
      <c r="G43" s="463"/>
      <c r="H43" s="463"/>
      <c r="I43" s="463" t="s">
        <v>1605</v>
      </c>
      <c r="J43" s="467" t="str">
        <f>"5-ROR-2, Line "&amp;'5-ROR-2'!A24&amp;""</f>
        <v>5-ROR-2, Line 8</v>
      </c>
      <c r="K43" s="463"/>
      <c r="L43" s="477">
        <f>'5-ROR-2'!C24</f>
        <v>2605402.5384615385</v>
      </c>
      <c r="N43" s="549"/>
      <c r="O43" s="470"/>
      <c r="P43" s="470"/>
      <c r="Q43" s="470"/>
      <c r="R43" s="470"/>
      <c r="S43" s="470"/>
      <c r="T43" s="470"/>
      <c r="U43" s="470"/>
      <c r="V43" s="470"/>
      <c r="W43" s="470"/>
      <c r="X43" s="470"/>
      <c r="Y43" s="470"/>
      <c r="Z43" s="470"/>
      <c r="AA43" s="470"/>
      <c r="AB43" s="470"/>
    </row>
    <row r="44" spans="1:28" ht="13">
      <c r="A44" s="549">
        <f t="shared" si="3"/>
        <v>26</v>
      </c>
      <c r="B44" s="1"/>
      <c r="C44" s="463" t="s">
        <v>1456</v>
      </c>
      <c r="D44" s="463"/>
      <c r="E44" s="463"/>
      <c r="F44" s="463"/>
      <c r="G44" s="463"/>
      <c r="H44" s="463"/>
      <c r="I44" s="463" t="s">
        <v>1605</v>
      </c>
      <c r="J44" s="467" t="str">
        <f>"5-ROR-2, Line "&amp;'5-ROR-2'!A26&amp;""</f>
        <v>5-ROR-2, Line 9</v>
      </c>
      <c r="K44" s="463"/>
      <c r="L44" s="477">
        <f>'5-ROR-2'!C26</f>
        <v>36476558.340769231</v>
      </c>
      <c r="N44" s="549"/>
      <c r="O44" s="470"/>
      <c r="P44" s="470"/>
      <c r="Q44" s="470"/>
      <c r="R44" s="470"/>
      <c r="S44" s="470"/>
      <c r="T44" s="470"/>
      <c r="U44" s="470"/>
      <c r="V44" s="470"/>
      <c r="W44" s="470"/>
      <c r="X44" s="470"/>
      <c r="Y44" s="470"/>
      <c r="Z44" s="470"/>
      <c r="AA44" s="470"/>
      <c r="AB44" s="470"/>
    </row>
    <row r="45" spans="1:28" ht="13">
      <c r="A45" s="549">
        <f>A44+1</f>
        <v>27</v>
      </c>
      <c r="B45" s="1"/>
      <c r="C45" s="463" t="s">
        <v>44</v>
      </c>
      <c r="D45" s="463"/>
      <c r="E45" s="463"/>
      <c r="F45" s="463"/>
      <c r="G45" s="463"/>
      <c r="H45" s="463"/>
      <c r="I45" s="463"/>
      <c r="J45" s="467" t="str">
        <f>"Sum of Lines "&amp;A40&amp;" to "&amp;A44&amp;""</f>
        <v>Sum of Lines 22 to 26</v>
      </c>
      <c r="K45" s="463"/>
      <c r="L45" s="1426">
        <f>SUM(L40:L44)</f>
        <v>16329591138.725721</v>
      </c>
    </row>
    <row r="46" spans="1:28" ht="13">
      <c r="A46" s="549"/>
      <c r="B46" s="1"/>
      <c r="C46" s="463"/>
      <c r="D46" s="463"/>
      <c r="E46" s="463"/>
      <c r="F46" s="463"/>
      <c r="G46" s="463"/>
      <c r="H46" s="463"/>
      <c r="I46" s="463"/>
      <c r="J46" s="467"/>
      <c r="K46" s="463"/>
      <c r="L46" s="466"/>
    </row>
    <row r="47" spans="1:28" ht="13">
      <c r="B47" s="51" t="s">
        <v>230</v>
      </c>
      <c r="C47" s="463"/>
      <c r="D47" s="463"/>
      <c r="E47" s="463"/>
      <c r="F47" s="463"/>
      <c r="G47" s="463"/>
      <c r="H47" s="463"/>
      <c r="I47" s="463"/>
      <c r="J47" s="463"/>
      <c r="K47" s="463"/>
      <c r="L47" s="463"/>
    </row>
    <row r="48" spans="1:28">
      <c r="B48" s="463" t="s">
        <v>2701</v>
      </c>
      <c r="J48" s="463"/>
    </row>
    <row r="49" spans="2:2">
      <c r="B49" s="463" t="s">
        <v>2702</v>
      </c>
    </row>
    <row r="50" spans="2:2">
      <c r="B50" s="478" t="str">
        <f>"3) Negative of Line "&amp;A28&amp;""&amp;", charge to common equity reversed for ratemaking."</f>
        <v>3) Negative of Line 15, charge to common equity reversed for ratemaking.</v>
      </c>
    </row>
    <row r="51" spans="2:2">
      <c r="B51" s="463"/>
    </row>
    <row r="52" spans="2:2">
      <c r="B52" s="467"/>
    </row>
    <row r="53" spans="2:2">
      <c r="B53" s="463"/>
    </row>
    <row r="54" spans="2:2">
      <c r="B54" s="467"/>
    </row>
  </sheetData>
  <pageMargins left="0.7" right="0.7" top="0.75" bottom="0.75" header="0.3" footer="0.3"/>
  <pageSetup scale="55" orientation="landscape" r:id="rId1"/>
  <headerFooter>
    <oddHeader>&amp;CSchedule 5 ROR-1
Return and Capitalization&amp;RTO2022 Draft Annual Update 
Attachment 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79"/>
  <sheetViews>
    <sheetView zoomScaleNormal="100" zoomScalePageLayoutView="80" workbookViewId="0"/>
  </sheetViews>
  <sheetFormatPr defaultColWidth="8.54296875" defaultRowHeight="12.5"/>
  <cols>
    <col min="1" max="1" width="4.54296875" style="955" customWidth="1"/>
    <col min="2" max="2" width="6.453125" style="955" customWidth="1"/>
    <col min="3" max="3" width="15.54296875" style="955" customWidth="1"/>
    <col min="4" max="4" width="16.453125" style="955" customWidth="1"/>
    <col min="5" max="15" width="14.54296875" style="955" customWidth="1"/>
    <col min="16" max="16" width="15.453125" style="955" bestFit="1" customWidth="1"/>
    <col min="17" max="16384" width="8.54296875" style="955"/>
  </cols>
  <sheetData>
    <row r="1" spans="1:17" ht="13">
      <c r="A1" s="1" t="s">
        <v>1625</v>
      </c>
      <c r="B1" s="1"/>
    </row>
    <row r="2" spans="1:17" ht="13">
      <c r="A2" s="549" t="s">
        <v>2162</v>
      </c>
      <c r="B2" s="989">
        <v>2020</v>
      </c>
      <c r="D2" s="68" t="s">
        <v>2531</v>
      </c>
      <c r="E2" s="1488" t="s">
        <v>2885</v>
      </c>
      <c r="F2" s="374"/>
    </row>
    <row r="3" spans="1:17" ht="13">
      <c r="C3" s="84" t="s">
        <v>358</v>
      </c>
      <c r="D3" s="84" t="s">
        <v>342</v>
      </c>
      <c r="E3" s="84" t="s">
        <v>343</v>
      </c>
      <c r="F3" s="84" t="s">
        <v>344</v>
      </c>
      <c r="G3" s="84" t="s">
        <v>345</v>
      </c>
      <c r="H3" s="84" t="s">
        <v>346</v>
      </c>
      <c r="I3" s="84" t="s">
        <v>347</v>
      </c>
      <c r="J3" s="84" t="s">
        <v>534</v>
      </c>
      <c r="K3" s="84" t="s">
        <v>949</v>
      </c>
      <c r="L3" s="84" t="s">
        <v>961</v>
      </c>
      <c r="M3" s="84" t="s">
        <v>964</v>
      </c>
      <c r="N3" s="84" t="s">
        <v>982</v>
      </c>
      <c r="O3" s="84" t="s">
        <v>1459</v>
      </c>
      <c r="P3" s="84" t="s">
        <v>1460</v>
      </c>
    </row>
    <row r="4" spans="1:17" ht="13">
      <c r="A4" s="3" t="s">
        <v>319</v>
      </c>
      <c r="B4" s="3" t="s">
        <v>1626</v>
      </c>
      <c r="C4" s="37" t="s">
        <v>10</v>
      </c>
      <c r="D4" s="479" t="s">
        <v>180</v>
      </c>
      <c r="E4" s="472" t="s">
        <v>181</v>
      </c>
      <c r="F4" s="472" t="s">
        <v>182</v>
      </c>
      <c r="G4" s="472" t="s">
        <v>195</v>
      </c>
      <c r="H4" s="472" t="s">
        <v>183</v>
      </c>
      <c r="I4" s="472" t="s">
        <v>184</v>
      </c>
      <c r="J4" s="472" t="s">
        <v>1458</v>
      </c>
      <c r="K4" s="472" t="s">
        <v>186</v>
      </c>
      <c r="L4" s="472" t="s">
        <v>187</v>
      </c>
      <c r="M4" s="472" t="s">
        <v>188</v>
      </c>
      <c r="N4" s="472" t="s">
        <v>191</v>
      </c>
      <c r="O4" s="472" t="s">
        <v>190</v>
      </c>
      <c r="P4" s="472" t="s">
        <v>180</v>
      </c>
    </row>
    <row r="5" spans="1:17" ht="13">
      <c r="A5" s="3"/>
      <c r="B5" s="3"/>
      <c r="C5" s="472" t="s">
        <v>2163</v>
      </c>
      <c r="D5" s="479"/>
      <c r="E5" s="472"/>
      <c r="F5" s="472"/>
      <c r="G5" s="472"/>
      <c r="H5" s="472"/>
      <c r="I5" s="472"/>
      <c r="J5" s="472"/>
      <c r="K5" s="472"/>
      <c r="L5" s="472"/>
      <c r="M5" s="472"/>
      <c r="N5" s="472"/>
      <c r="O5" s="472"/>
      <c r="P5" s="472"/>
    </row>
    <row r="6" spans="1:17" ht="13">
      <c r="A6" s="53"/>
      <c r="B6" s="53"/>
      <c r="C6" s="37"/>
      <c r="D6" s="479"/>
      <c r="E6" s="472"/>
      <c r="F6" s="472"/>
      <c r="G6" s="472"/>
      <c r="H6" s="472"/>
      <c r="I6" s="472"/>
      <c r="J6" s="472"/>
      <c r="K6" s="472"/>
      <c r="L6" s="472"/>
      <c r="M6" s="472"/>
      <c r="N6" s="472"/>
      <c r="O6" s="472"/>
      <c r="P6" s="472"/>
    </row>
    <row r="7" spans="1:17" ht="13">
      <c r="B7" s="1" t="s">
        <v>1627</v>
      </c>
      <c r="D7" s="479"/>
      <c r="E7" s="472"/>
      <c r="F7" s="472"/>
      <c r="G7" s="472"/>
      <c r="H7" s="472"/>
      <c r="I7" s="472"/>
      <c r="J7" s="472"/>
      <c r="K7" s="472"/>
      <c r="L7" s="472"/>
      <c r="M7" s="472"/>
      <c r="N7" s="472"/>
      <c r="O7" s="472"/>
      <c r="P7" s="472"/>
    </row>
    <row r="8" spans="1:17" ht="13">
      <c r="A8" s="549">
        <v>1</v>
      </c>
      <c r="B8" s="549"/>
      <c r="C8" s="470">
        <f>SUM(D8:P8)/13</f>
        <v>16871130769.171539</v>
      </c>
      <c r="D8" s="978">
        <v>15023328571</v>
      </c>
      <c r="E8" s="978">
        <v>15623328571.389999</v>
      </c>
      <c r="F8" s="978">
        <v>15584042857.1</v>
      </c>
      <c r="G8" s="978">
        <v>16684042857.1</v>
      </c>
      <c r="H8" s="978">
        <v>17284042857.099998</v>
      </c>
      <c r="I8" s="978">
        <v>17284042857.099998</v>
      </c>
      <c r="J8" s="978">
        <v>17284042857.099998</v>
      </c>
      <c r="K8" s="978">
        <v>17284042857.099998</v>
      </c>
      <c r="L8" s="978">
        <v>17244757142.810001</v>
      </c>
      <c r="M8" s="978">
        <v>17244757142.810001</v>
      </c>
      <c r="N8" s="978">
        <v>17594757142.810001</v>
      </c>
      <c r="O8" s="978">
        <v>17594757142.810001</v>
      </c>
      <c r="P8" s="978">
        <v>17594757143</v>
      </c>
      <c r="Q8" s="463"/>
    </row>
    <row r="9" spans="1:17" ht="13">
      <c r="A9" s="549"/>
      <c r="B9" s="1" t="s">
        <v>2164</v>
      </c>
      <c r="C9" s="7"/>
      <c r="D9" s="470"/>
      <c r="E9" s="470"/>
      <c r="F9" s="470"/>
      <c r="G9" s="470"/>
      <c r="H9" s="470"/>
      <c r="I9" s="470"/>
      <c r="J9" s="470"/>
      <c r="K9" s="470"/>
      <c r="L9" s="470"/>
      <c r="M9" s="470"/>
      <c r="N9" s="470"/>
      <c r="O9" s="470"/>
      <c r="P9" s="470"/>
    </row>
    <row r="10" spans="1:17" ht="13">
      <c r="A10" s="549">
        <f>A8+1</f>
        <v>2</v>
      </c>
      <c r="B10" s="549"/>
      <c r="C10" s="470">
        <f t="shared" ref="C10:C14" si="0">SUM(D10:P10)/13</f>
        <v>-333084615.38461536</v>
      </c>
      <c r="D10" s="978">
        <v>0</v>
      </c>
      <c r="E10" s="978">
        <v>0</v>
      </c>
      <c r="F10" s="978">
        <v>0</v>
      </c>
      <c r="G10" s="978">
        <v>0</v>
      </c>
      <c r="H10" s="978">
        <v>-372500000</v>
      </c>
      <c r="I10" s="978">
        <v>-372500000</v>
      </c>
      <c r="J10" s="978">
        <v>-372500000</v>
      </c>
      <c r="K10" s="978">
        <v>-372500000</v>
      </c>
      <c r="L10" s="978">
        <v>-372500000</v>
      </c>
      <c r="M10" s="978">
        <v>-616900000</v>
      </c>
      <c r="N10" s="978">
        <v>-616900000</v>
      </c>
      <c r="O10" s="978">
        <v>-616900000</v>
      </c>
      <c r="P10" s="978">
        <v>-616900000</v>
      </c>
      <c r="Q10" s="463"/>
    </row>
    <row r="11" spans="1:17" ht="13">
      <c r="A11" s="549"/>
      <c r="B11" s="1" t="s">
        <v>2504</v>
      </c>
      <c r="D11" s="470"/>
      <c r="E11" s="470"/>
      <c r="F11" s="470"/>
      <c r="G11" s="470"/>
      <c r="H11" s="470"/>
      <c r="I11" s="470"/>
      <c r="J11" s="470"/>
      <c r="K11" s="470"/>
      <c r="L11" s="470"/>
      <c r="M11" s="470"/>
      <c r="N11" s="470"/>
      <c r="O11" s="470"/>
      <c r="P11" s="470"/>
    </row>
    <row r="12" spans="1:17" ht="13">
      <c r="A12" s="549" t="s">
        <v>507</v>
      </c>
      <c r="B12" s="1"/>
      <c r="C12" s="470">
        <f>SUM(D12:P12)/13</f>
        <v>0</v>
      </c>
      <c r="D12" s="493">
        <v>0</v>
      </c>
      <c r="E12" s="493">
        <v>0</v>
      </c>
      <c r="F12" s="493">
        <v>0</v>
      </c>
      <c r="G12" s="493">
        <v>0</v>
      </c>
      <c r="H12" s="493">
        <v>0</v>
      </c>
      <c r="I12" s="493">
        <v>0</v>
      </c>
      <c r="J12" s="493">
        <v>0</v>
      </c>
      <c r="K12" s="493">
        <v>0</v>
      </c>
      <c r="L12" s="493">
        <v>0</v>
      </c>
      <c r="M12" s="493">
        <v>0</v>
      </c>
      <c r="N12" s="493">
        <v>0</v>
      </c>
      <c r="O12" s="493">
        <v>0</v>
      </c>
      <c r="P12" s="493">
        <v>0</v>
      </c>
      <c r="Q12" s="463"/>
    </row>
    <row r="13" spans="1:17" ht="13">
      <c r="A13" s="549"/>
      <c r="B13" s="1" t="s">
        <v>2505</v>
      </c>
      <c r="D13" s="470"/>
      <c r="E13" s="470"/>
      <c r="F13" s="470"/>
      <c r="G13" s="470"/>
      <c r="H13" s="470"/>
      <c r="I13" s="470"/>
      <c r="J13" s="470"/>
      <c r="K13" s="470"/>
      <c r="L13" s="470"/>
      <c r="M13" s="470"/>
      <c r="N13" s="470"/>
      <c r="O13" s="470"/>
      <c r="P13" s="470"/>
    </row>
    <row r="14" spans="1:17" ht="13">
      <c r="A14" s="549">
        <f>A10+1</f>
        <v>3</v>
      </c>
      <c r="B14" s="549"/>
      <c r="C14" s="470">
        <f t="shared" si="0"/>
        <v>306382919.30000001</v>
      </c>
      <c r="D14" s="978">
        <v>306419792</v>
      </c>
      <c r="E14" s="978">
        <v>306413741.49000001</v>
      </c>
      <c r="F14" s="978">
        <v>306407665</v>
      </c>
      <c r="G14" s="978">
        <v>306401562.88999999</v>
      </c>
      <c r="H14" s="978">
        <v>306395435.05000001</v>
      </c>
      <c r="I14" s="978">
        <v>306389281.37</v>
      </c>
      <c r="J14" s="978">
        <v>306383101.74000001</v>
      </c>
      <c r="K14" s="978">
        <v>306376896.05000001</v>
      </c>
      <c r="L14" s="978">
        <v>306370664.19</v>
      </c>
      <c r="M14" s="978">
        <v>306364406.06</v>
      </c>
      <c r="N14" s="978">
        <v>306358121.54000002</v>
      </c>
      <c r="O14" s="978">
        <v>306351810.51999998</v>
      </c>
      <c r="P14" s="978">
        <v>306345473</v>
      </c>
      <c r="Q14" s="463"/>
    </row>
    <row r="15" spans="1:17" ht="13">
      <c r="B15" s="1" t="s">
        <v>2688</v>
      </c>
    </row>
    <row r="16" spans="1:17" ht="13">
      <c r="A16" s="549">
        <v>4</v>
      </c>
      <c r="B16" s="549"/>
      <c r="C16" s="470">
        <f t="shared" ref="C16:C22" si="1">SUM(D16:P16)/13</f>
        <v>2143514584.6153846</v>
      </c>
      <c r="D16" s="978">
        <v>2245054950</v>
      </c>
      <c r="E16" s="978">
        <v>2245054950</v>
      </c>
      <c r="F16" s="978">
        <v>2245054950</v>
      </c>
      <c r="G16" s="978">
        <v>2245054950</v>
      </c>
      <c r="H16" s="978">
        <v>2245054950</v>
      </c>
      <c r="I16" s="978">
        <v>2245054950</v>
      </c>
      <c r="J16" s="978">
        <v>2245054950</v>
      </c>
      <c r="K16" s="978">
        <v>2245054950</v>
      </c>
      <c r="L16" s="978">
        <v>2125050000</v>
      </c>
      <c r="M16" s="978">
        <v>1945050000</v>
      </c>
      <c r="N16" s="978">
        <v>1945050000</v>
      </c>
      <c r="O16" s="978">
        <v>1945050000</v>
      </c>
      <c r="P16" s="978">
        <v>1945050000</v>
      </c>
      <c r="Q16" s="463"/>
    </row>
    <row r="17" spans="1:17" ht="13">
      <c r="A17" s="549"/>
      <c r="B17" s="1" t="s">
        <v>2689</v>
      </c>
      <c r="D17" s="470"/>
      <c r="E17" s="470"/>
      <c r="F17" s="470"/>
      <c r="G17" s="470"/>
      <c r="H17" s="470"/>
      <c r="I17" s="470"/>
      <c r="J17" s="470"/>
      <c r="K17" s="470"/>
      <c r="L17" s="470"/>
      <c r="M17" s="470"/>
      <c r="N17" s="470"/>
      <c r="O17" s="470"/>
      <c r="P17" s="470"/>
    </row>
    <row r="18" spans="1:17" ht="13">
      <c r="A18" s="549">
        <f>A16+1</f>
        <v>5</v>
      </c>
      <c r="B18" s="549"/>
      <c r="C18" s="470">
        <f t="shared" si="1"/>
        <v>-30116206.966666643</v>
      </c>
      <c r="D18" s="493">
        <v>-33609851.972222194</v>
      </c>
      <c r="E18" s="493">
        <v>-33324851.938888859</v>
      </c>
      <c r="F18" s="493">
        <v>-33039851.905555531</v>
      </c>
      <c r="G18" s="493">
        <v>-32754851.872222193</v>
      </c>
      <c r="H18" s="493">
        <v>-32469851.838888861</v>
      </c>
      <c r="I18" s="493">
        <v>-32184851.805555526</v>
      </c>
      <c r="J18" s="493">
        <v>-31899851.772222195</v>
      </c>
      <c r="K18" s="493">
        <v>-31614851.738888856</v>
      </c>
      <c r="L18" s="493">
        <v>-31329851.705555521</v>
      </c>
      <c r="M18" s="493">
        <v>-25223683.62499997</v>
      </c>
      <c r="N18" s="493">
        <v>-24954898.544444412</v>
      </c>
      <c r="O18" s="493">
        <v>-24686113.463888854</v>
      </c>
      <c r="P18" s="493">
        <v>-24417328.383333299</v>
      </c>
    </row>
    <row r="19" spans="1:17" ht="13">
      <c r="A19" s="549"/>
      <c r="B19" s="1" t="s">
        <v>2690</v>
      </c>
      <c r="D19" s="470"/>
      <c r="E19" s="470"/>
      <c r="F19" s="470"/>
      <c r="G19" s="470"/>
      <c r="H19" s="470"/>
      <c r="I19" s="470"/>
      <c r="J19" s="470"/>
      <c r="K19" s="470"/>
      <c r="L19" s="470"/>
      <c r="M19" s="470"/>
      <c r="N19" s="470"/>
      <c r="O19" s="470"/>
      <c r="P19" s="470"/>
    </row>
    <row r="20" spans="1:17" ht="13">
      <c r="A20" s="549">
        <f>A18+1</f>
        <v>6</v>
      </c>
      <c r="B20" s="549"/>
      <c r="C20" s="470">
        <f t="shared" si="1"/>
        <v>-21436251.980334602</v>
      </c>
      <c r="D20" s="978">
        <v>-17308906.872633502</v>
      </c>
      <c r="E20" s="493">
        <v>-17222565.98496148</v>
      </c>
      <c r="F20" s="493">
        <v>-17154049.852191415</v>
      </c>
      <c r="G20" s="493">
        <v>-17085533.719421402</v>
      </c>
      <c r="H20" s="493">
        <v>-17017017.586651299</v>
      </c>
      <c r="I20" s="493">
        <v>-16948501.45388123</v>
      </c>
      <c r="J20" s="493">
        <v>-16879985.321111169</v>
      </c>
      <c r="K20" s="493">
        <v>-16811469.188341103</v>
      </c>
      <c r="L20" s="493">
        <v>-25265727.005571045</v>
      </c>
      <c r="M20" s="493">
        <v>-29471795.261363361</v>
      </c>
      <c r="N20" s="493">
        <v>-29320184.880385485</v>
      </c>
      <c r="O20" s="493">
        <v>-29168574.499407612</v>
      </c>
      <c r="P20" s="493">
        <v>-29016964.118429739</v>
      </c>
    </row>
    <row r="21" spans="1:17" ht="13">
      <c r="B21" s="1" t="s">
        <v>2691</v>
      </c>
    </row>
    <row r="22" spans="1:17" ht="13">
      <c r="A22" s="549">
        <v>7</v>
      </c>
      <c r="B22" s="549"/>
      <c r="C22" s="470">
        <f t="shared" si="1"/>
        <v>18412587510.481541</v>
      </c>
      <c r="D22" s="978">
        <v>17827270409</v>
      </c>
      <c r="E22" s="493">
        <v>17935280162.099998</v>
      </c>
      <c r="F22" s="493">
        <v>17983786149.330002</v>
      </c>
      <c r="G22" s="493">
        <v>18045491055.849998</v>
      </c>
      <c r="H22" s="493">
        <v>18321589874.139999</v>
      </c>
      <c r="I22" s="493">
        <v>18753704256.439999</v>
      </c>
      <c r="J22" s="493">
        <v>18781491225.799999</v>
      </c>
      <c r="K22" s="493">
        <v>18998519668.509998</v>
      </c>
      <c r="L22" s="493">
        <v>19036193740.25</v>
      </c>
      <c r="M22" s="493">
        <v>18179040211.919998</v>
      </c>
      <c r="N22" s="493">
        <v>18334369365.880001</v>
      </c>
      <c r="O22" s="493">
        <v>18516424448.040001</v>
      </c>
      <c r="P22" s="493">
        <v>18650477069</v>
      </c>
      <c r="Q22" s="463"/>
    </row>
    <row r="23" spans="1:17" ht="13">
      <c r="A23" s="549"/>
      <c r="B23" s="1" t="s">
        <v>2692</v>
      </c>
      <c r="D23" s="470"/>
      <c r="E23" s="470"/>
      <c r="F23" s="470"/>
      <c r="G23" s="470"/>
      <c r="H23" s="470"/>
      <c r="I23" s="470"/>
      <c r="J23" s="470"/>
      <c r="K23" s="470"/>
      <c r="L23" s="470"/>
      <c r="M23" s="470"/>
      <c r="N23" s="470"/>
      <c r="O23" s="470"/>
      <c r="P23" s="470"/>
    </row>
    <row r="24" spans="1:17" ht="13">
      <c r="A24" s="549">
        <v>8</v>
      </c>
      <c r="B24" s="549"/>
      <c r="C24" s="477">
        <f t="shared" ref="C24:C26" si="2">SUM(D24:P24)/13</f>
        <v>2605402.5384615385</v>
      </c>
      <c r="D24" s="1427">
        <v>2605169</v>
      </c>
      <c r="E24" s="1427">
        <v>2605169</v>
      </c>
      <c r="F24" s="1427">
        <v>2605169</v>
      </c>
      <c r="G24" s="1427">
        <v>2605169</v>
      </c>
      <c r="H24" s="1427">
        <v>2605169</v>
      </c>
      <c r="I24" s="1427">
        <v>2605169</v>
      </c>
      <c r="J24" s="1427">
        <v>2605169</v>
      </c>
      <c r="K24" s="1427">
        <v>2605671</v>
      </c>
      <c r="L24" s="978">
        <v>2605671</v>
      </c>
      <c r="M24" s="978">
        <v>2605671</v>
      </c>
      <c r="N24" s="978">
        <v>2605671</v>
      </c>
      <c r="O24" s="978">
        <v>2605671</v>
      </c>
      <c r="P24" s="978">
        <v>2605695</v>
      </c>
      <c r="Q24" s="463"/>
    </row>
    <row r="25" spans="1:17" ht="13">
      <c r="A25" s="549"/>
      <c r="B25" s="1" t="s">
        <v>2693</v>
      </c>
      <c r="C25" s="14"/>
      <c r="D25" s="1408"/>
      <c r="E25" s="1408"/>
      <c r="F25" s="1408"/>
      <c r="G25" s="1408"/>
      <c r="H25" s="1408"/>
      <c r="I25" s="1408"/>
      <c r="J25" s="1408"/>
      <c r="K25" s="1408"/>
      <c r="L25" s="1408"/>
      <c r="M25" s="1408"/>
      <c r="N25" s="1408"/>
      <c r="O25" s="1408"/>
      <c r="P25" s="1408"/>
    </row>
    <row r="26" spans="1:17" ht="13">
      <c r="A26" s="549">
        <f>A24+1</f>
        <v>9</v>
      </c>
      <c r="B26" s="549"/>
      <c r="C26" s="477">
        <f t="shared" si="2"/>
        <v>36476558.340769231</v>
      </c>
      <c r="D26" s="1427">
        <v>38811870</v>
      </c>
      <c r="E26" s="1427">
        <v>38176386.32</v>
      </c>
      <c r="F26" s="1427">
        <v>37540902.490000002</v>
      </c>
      <c r="G26" s="1427">
        <v>37438912.399999999</v>
      </c>
      <c r="H26" s="1427">
        <v>36803428.57</v>
      </c>
      <c r="I26" s="1427">
        <v>36167944.740000002</v>
      </c>
      <c r="J26" s="1427">
        <v>36065954.68</v>
      </c>
      <c r="K26" s="1427">
        <v>35430470.850000001</v>
      </c>
      <c r="L26" s="1427">
        <v>34794987.020000003</v>
      </c>
      <c r="M26" s="1427">
        <v>34692996.950000003</v>
      </c>
      <c r="N26" s="1427">
        <v>34057513.119999997</v>
      </c>
      <c r="O26" s="1427">
        <v>33422029.289999999</v>
      </c>
      <c r="P26" s="1427">
        <v>40791862</v>
      </c>
      <c r="Q26" s="463"/>
    </row>
    <row r="27" spans="1:17" ht="13">
      <c r="A27" s="549"/>
      <c r="B27" s="549"/>
      <c r="C27" s="470"/>
      <c r="D27" s="470"/>
      <c r="E27" s="470"/>
      <c r="F27" s="470"/>
      <c r="G27" s="470"/>
      <c r="H27" s="470"/>
      <c r="I27" s="470"/>
      <c r="J27" s="470"/>
      <c r="K27" s="470"/>
      <c r="L27" s="470"/>
      <c r="M27" s="470"/>
      <c r="N27" s="470"/>
      <c r="O27" s="470"/>
      <c r="P27" s="470"/>
    </row>
    <row r="28" spans="1:17" ht="13">
      <c r="A28" s="549"/>
      <c r="B28" s="51" t="s">
        <v>377</v>
      </c>
      <c r="C28" s="470"/>
      <c r="D28" s="470"/>
      <c r="E28" s="470"/>
      <c r="F28" s="470"/>
      <c r="G28" s="470"/>
      <c r="H28" s="470"/>
      <c r="I28" s="470"/>
      <c r="J28" s="470"/>
      <c r="K28" s="470"/>
      <c r="L28" s="470"/>
      <c r="M28" s="470"/>
      <c r="N28" s="470"/>
      <c r="O28" s="470"/>
      <c r="P28" s="470"/>
    </row>
    <row r="29" spans="1:17" ht="13">
      <c r="A29" s="549"/>
      <c r="B29" s="463" t="s">
        <v>1628</v>
      </c>
      <c r="C29" s="470"/>
      <c r="D29" s="470"/>
      <c r="E29" s="470"/>
      <c r="F29" s="470"/>
      <c r="G29" s="470"/>
      <c r="H29" s="470"/>
      <c r="I29" s="470"/>
      <c r="J29" s="470"/>
      <c r="K29" s="470"/>
      <c r="L29" s="470"/>
      <c r="M29" s="470"/>
      <c r="N29" s="470"/>
      <c r="O29" s="470"/>
      <c r="P29" s="470"/>
    </row>
    <row r="30" spans="1:17" ht="13">
      <c r="A30" s="549"/>
      <c r="B30" s="467" t="s">
        <v>1638</v>
      </c>
      <c r="C30" s="470"/>
      <c r="D30" s="470"/>
      <c r="E30" s="470"/>
      <c r="F30" s="470"/>
      <c r="G30" s="470"/>
      <c r="H30" s="470"/>
      <c r="I30" s="470"/>
      <c r="J30" s="470"/>
      <c r="K30" s="470"/>
      <c r="L30" s="470"/>
      <c r="M30" s="470"/>
      <c r="N30" s="470"/>
      <c r="O30" s="470"/>
      <c r="P30" s="470"/>
    </row>
    <row r="31" spans="1:17">
      <c r="B31" s="463" t="s">
        <v>2700</v>
      </c>
    </row>
    <row r="32" spans="1:17">
      <c r="B32" s="467"/>
    </row>
    <row r="33" spans="2:13" ht="13">
      <c r="B33" s="51" t="s">
        <v>230</v>
      </c>
    </row>
    <row r="34" spans="2:13">
      <c r="B34" s="463" t="s">
        <v>1745</v>
      </c>
    </row>
    <row r="35" spans="2:13">
      <c r="B35" s="463" t="s">
        <v>1746</v>
      </c>
    </row>
    <row r="36" spans="2:13">
      <c r="B36" s="463" t="s">
        <v>2506</v>
      </c>
    </row>
    <row r="37" spans="2:13">
      <c r="B37" s="463" t="s">
        <v>2507</v>
      </c>
    </row>
    <row r="38" spans="2:13">
      <c r="B38" s="463" t="s">
        <v>2694</v>
      </c>
    </row>
    <row r="39" spans="2:13">
      <c r="B39" s="463" t="s">
        <v>2695</v>
      </c>
    </row>
    <row r="40" spans="2:13">
      <c r="B40" s="467" t="s">
        <v>2508</v>
      </c>
    </row>
    <row r="41" spans="2:13" ht="13">
      <c r="H41" s="549" t="s">
        <v>2509</v>
      </c>
    </row>
    <row r="42" spans="2:13" ht="13">
      <c r="C42" s="549"/>
      <c r="E42" s="549" t="s">
        <v>2510</v>
      </c>
      <c r="F42" s="549" t="s">
        <v>2511</v>
      </c>
      <c r="G42" s="549" t="s">
        <v>2511</v>
      </c>
      <c r="H42" s="549" t="s">
        <v>199</v>
      </c>
      <c r="I42" s="549" t="s">
        <v>1333</v>
      </c>
    </row>
    <row r="43" spans="2:13" ht="13">
      <c r="C43" s="3" t="s">
        <v>2512</v>
      </c>
      <c r="E43" s="3" t="s">
        <v>175</v>
      </c>
      <c r="F43" s="3" t="s">
        <v>2513</v>
      </c>
      <c r="G43" s="3" t="s">
        <v>2514</v>
      </c>
      <c r="H43" s="84" t="s">
        <v>2515</v>
      </c>
      <c r="I43" s="3" t="s">
        <v>2509</v>
      </c>
      <c r="J43" s="3" t="s">
        <v>168</v>
      </c>
    </row>
    <row r="44" spans="2:13">
      <c r="C44" s="1355" t="s">
        <v>2871</v>
      </c>
      <c r="D44" s="932"/>
      <c r="E44" s="977">
        <v>350000000</v>
      </c>
      <c r="F44" s="1223">
        <v>40925</v>
      </c>
      <c r="G44" s="1414">
        <v>5957289</v>
      </c>
      <c r="H44" s="1045">
        <v>10</v>
      </c>
      <c r="I44" s="510">
        <v>595728.9</v>
      </c>
      <c r="J44" s="96"/>
      <c r="K44" s="96"/>
      <c r="L44" s="96"/>
      <c r="M44" s="96"/>
    </row>
    <row r="45" spans="2:13">
      <c r="C45" s="1355" t="s">
        <v>2872</v>
      </c>
      <c r="D45" s="932"/>
      <c r="E45" s="977">
        <v>220010000</v>
      </c>
      <c r="F45" s="1223">
        <v>41303</v>
      </c>
      <c r="G45" s="1414">
        <v>7134904</v>
      </c>
      <c r="H45" s="1045">
        <v>30</v>
      </c>
      <c r="I45" s="510">
        <v>237830.13333333333</v>
      </c>
      <c r="J45" s="961" t="s">
        <v>2936</v>
      </c>
      <c r="K45" s="96"/>
      <c r="L45" s="96"/>
      <c r="M45" s="96"/>
    </row>
    <row r="46" spans="2:13">
      <c r="C46" s="1356" t="s">
        <v>2873</v>
      </c>
      <c r="D46" s="932"/>
      <c r="E46" s="977">
        <v>275010000</v>
      </c>
      <c r="F46" s="1223">
        <v>41704</v>
      </c>
      <c r="G46" s="1414">
        <v>6272358</v>
      </c>
      <c r="H46" s="1045">
        <v>10</v>
      </c>
      <c r="I46" s="510">
        <v>627235.80000000005</v>
      </c>
      <c r="J46" s="96"/>
      <c r="K46" s="96"/>
      <c r="L46" s="96"/>
      <c r="M46" s="96"/>
    </row>
    <row r="47" spans="2:13">
      <c r="C47" s="1357" t="s">
        <v>2874</v>
      </c>
      <c r="D47" s="1224"/>
      <c r="E47" s="977">
        <v>325010000</v>
      </c>
      <c r="F47" s="1223">
        <v>42240</v>
      </c>
      <c r="G47" s="1414">
        <v>6419578</v>
      </c>
      <c r="H47" s="1045">
        <v>10</v>
      </c>
      <c r="I47" s="510">
        <v>641957.80000000005</v>
      </c>
      <c r="J47" s="96"/>
      <c r="K47" s="96"/>
      <c r="L47" s="96"/>
      <c r="M47" s="96"/>
    </row>
    <row r="48" spans="2:13">
      <c r="C48" s="1357" t="s">
        <v>2875</v>
      </c>
      <c r="D48" s="1224"/>
      <c r="E48" s="977">
        <v>300010000</v>
      </c>
      <c r="F48" s="1223">
        <v>42437</v>
      </c>
      <c r="G48" s="1414">
        <v>6959810</v>
      </c>
      <c r="H48" s="1045">
        <v>10</v>
      </c>
      <c r="I48" s="510">
        <v>695981</v>
      </c>
      <c r="J48" s="961"/>
      <c r="K48" s="96"/>
      <c r="L48" s="96"/>
      <c r="M48" s="96"/>
    </row>
    <row r="49" spans="2:14">
      <c r="C49" s="1358" t="s">
        <v>2876</v>
      </c>
      <c r="D49" s="1224"/>
      <c r="E49" s="977">
        <v>475010000</v>
      </c>
      <c r="F49" s="1223">
        <v>42912</v>
      </c>
      <c r="G49" s="980">
        <v>12800620</v>
      </c>
      <c r="H49" s="1045">
        <v>30</v>
      </c>
      <c r="I49" s="977">
        <v>426687.33333333331</v>
      </c>
      <c r="J49" s="512" t="s">
        <v>2939</v>
      </c>
      <c r="K49" s="96"/>
      <c r="L49" s="96"/>
      <c r="M49" s="96"/>
    </row>
    <row r="50" spans="2:14">
      <c r="C50" s="478"/>
      <c r="D50" s="478"/>
      <c r="I50" s="7">
        <f>SUM(I44:I49)</f>
        <v>3225420.9666666673</v>
      </c>
      <c r="J50" s="463" t="s">
        <v>2516</v>
      </c>
    </row>
    <row r="51" spans="2:14">
      <c r="B51" s="463" t="s">
        <v>2696</v>
      </c>
    </row>
    <row r="52" spans="2:14">
      <c r="B52" s="467" t="s">
        <v>2517</v>
      </c>
      <c r="I52" s="71"/>
    </row>
    <row r="53" spans="2:14" ht="13">
      <c r="G53" s="549" t="s">
        <v>2509</v>
      </c>
    </row>
    <row r="54" spans="2:14" ht="13">
      <c r="C54" s="549"/>
      <c r="E54" s="549" t="s">
        <v>2518</v>
      </c>
      <c r="F54" s="549" t="s">
        <v>2509</v>
      </c>
      <c r="G54" s="549" t="s">
        <v>199</v>
      </c>
      <c r="H54" s="549" t="s">
        <v>1333</v>
      </c>
      <c r="I54" s="549"/>
    </row>
    <row r="55" spans="2:14" ht="13">
      <c r="C55" s="3" t="s">
        <v>2519</v>
      </c>
      <c r="E55" s="3" t="s">
        <v>2513</v>
      </c>
      <c r="F55" s="3" t="s">
        <v>175</v>
      </c>
      <c r="G55" s="84" t="s">
        <v>2515</v>
      </c>
      <c r="H55" s="3" t="s">
        <v>2509</v>
      </c>
      <c r="I55" s="3" t="s">
        <v>168</v>
      </c>
    </row>
    <row r="56" spans="2:14" ht="13">
      <c r="C56" s="1356" t="s">
        <v>2877</v>
      </c>
      <c r="D56" s="1353"/>
      <c r="E56" s="1223">
        <v>31444</v>
      </c>
      <c r="F56" s="977">
        <v>0</v>
      </c>
      <c r="G56" s="1045">
        <v>34</v>
      </c>
      <c r="H56" s="977">
        <v>0</v>
      </c>
      <c r="I56" s="1354"/>
      <c r="J56" s="96"/>
      <c r="K56" s="96"/>
      <c r="L56" s="96"/>
      <c r="M56" s="96"/>
      <c r="N56" s="96"/>
    </row>
    <row r="57" spans="2:14" ht="13">
      <c r="C57" s="1356" t="s">
        <v>2877</v>
      </c>
      <c r="D57" s="1353"/>
      <c r="E57" s="1223">
        <v>31444</v>
      </c>
      <c r="F57" s="977">
        <v>0</v>
      </c>
      <c r="G57" s="1045">
        <v>34</v>
      </c>
      <c r="H57" s="977">
        <v>0</v>
      </c>
      <c r="I57" s="1354"/>
      <c r="J57" s="96"/>
      <c r="K57" s="96"/>
      <c r="L57" s="96"/>
      <c r="M57" s="96"/>
      <c r="N57" s="96"/>
    </row>
    <row r="58" spans="2:14" ht="13">
      <c r="C58" s="1356" t="s">
        <v>2878</v>
      </c>
      <c r="D58" s="1353"/>
      <c r="E58" s="1223">
        <v>41333</v>
      </c>
      <c r="F58" s="1414">
        <v>2586350.9805555502</v>
      </c>
      <c r="G58" s="1045">
        <v>30</v>
      </c>
      <c r="H58" s="1414">
        <v>86211.699351851668</v>
      </c>
      <c r="I58" s="1354" t="s">
        <v>2883</v>
      </c>
      <c r="J58" s="1354"/>
      <c r="K58" s="1354"/>
      <c r="L58" s="96"/>
      <c r="M58" s="96"/>
      <c r="N58" s="96"/>
    </row>
    <row r="59" spans="2:14" ht="13">
      <c r="C59" s="1356" t="s">
        <v>2879</v>
      </c>
      <c r="D59" s="1353"/>
      <c r="E59" s="1223">
        <v>41333</v>
      </c>
      <c r="F59" s="1414">
        <v>2886865.9722222402</v>
      </c>
      <c r="G59" s="1045">
        <v>30</v>
      </c>
      <c r="H59" s="1414">
        <v>96228.865740741341</v>
      </c>
      <c r="I59" s="1354" t="s">
        <v>2883</v>
      </c>
      <c r="J59" s="1354"/>
      <c r="K59" s="1354"/>
      <c r="L59" s="96"/>
      <c r="M59" s="96"/>
      <c r="N59" s="96"/>
    </row>
    <row r="60" spans="2:14" ht="13">
      <c r="C60" s="1356" t="s">
        <v>2880</v>
      </c>
      <c r="D60" s="1353"/>
      <c r="E60" s="1223">
        <v>42460</v>
      </c>
      <c r="F60" s="1414">
        <v>2147802.5000000112</v>
      </c>
      <c r="G60" s="1045">
        <v>10</v>
      </c>
      <c r="H60" s="1414">
        <v>214780.25000000111</v>
      </c>
      <c r="I60" s="1354" t="s">
        <v>2884</v>
      </c>
      <c r="J60" s="1354"/>
      <c r="K60" s="1354"/>
      <c r="L60" s="96"/>
      <c r="M60" s="96"/>
      <c r="N60" s="96"/>
    </row>
    <row r="61" spans="2:14" ht="13">
      <c r="C61" s="1356" t="s">
        <v>2881</v>
      </c>
      <c r="D61" s="1353"/>
      <c r="E61" s="1223">
        <v>42935</v>
      </c>
      <c r="F61" s="1414">
        <v>12749183.344444489</v>
      </c>
      <c r="G61" s="1045">
        <v>30</v>
      </c>
      <c r="H61" s="1414">
        <v>424972.77814814966</v>
      </c>
      <c r="I61" s="1504"/>
      <c r="J61" s="1504"/>
      <c r="K61" s="1504"/>
      <c r="L61" s="96"/>
      <c r="M61" s="96"/>
      <c r="N61" s="96"/>
    </row>
    <row r="62" spans="2:14">
      <c r="C62" s="932" t="s">
        <v>2882</v>
      </c>
      <c r="D62" s="932"/>
      <c r="E62" s="1225">
        <v>44074</v>
      </c>
      <c r="F62" s="493">
        <v>8522773.9499999993</v>
      </c>
      <c r="G62" s="1045">
        <v>10</v>
      </c>
      <c r="H62" s="493">
        <v>852277.3949999999</v>
      </c>
      <c r="I62" s="961" t="s">
        <v>2934</v>
      </c>
      <c r="J62" s="961"/>
      <c r="K62" s="96"/>
      <c r="L62" s="96"/>
      <c r="M62" s="96"/>
      <c r="N62" s="96"/>
    </row>
    <row r="63" spans="2:14">
      <c r="C63" s="932" t="s">
        <v>2935</v>
      </c>
      <c r="D63" s="932"/>
      <c r="E63" s="1225">
        <v>44104</v>
      </c>
      <c r="F63" s="493">
        <v>4345607.5048123803</v>
      </c>
      <c r="G63" s="1045">
        <v>30</v>
      </c>
      <c r="H63" s="493">
        <f t="shared" ref="H63" si="3">F63/G63</f>
        <v>144853.583493746</v>
      </c>
      <c r="I63" s="961" t="s">
        <v>2937</v>
      </c>
      <c r="J63" s="961"/>
      <c r="K63" s="96"/>
      <c r="L63" s="96"/>
      <c r="M63" s="96"/>
      <c r="N63" s="96"/>
    </row>
    <row r="64" spans="2:14">
      <c r="C64" s="932"/>
      <c r="D64" s="932"/>
      <c r="E64" s="1225"/>
      <c r="F64" s="493"/>
      <c r="G64" s="1045"/>
      <c r="H64" s="493"/>
      <c r="I64" s="961" t="s">
        <v>2938</v>
      </c>
      <c r="J64" s="961"/>
      <c r="K64" s="96"/>
      <c r="L64" s="96"/>
      <c r="M64" s="96"/>
      <c r="N64" s="96"/>
    </row>
    <row r="65" spans="2:9">
      <c r="C65" s="478"/>
      <c r="D65" s="478"/>
      <c r="H65" s="7">
        <f>SUM(H56:H63)</f>
        <v>1819324.5717344894</v>
      </c>
      <c r="I65" s="463" t="s">
        <v>2520</v>
      </c>
    </row>
    <row r="67" spans="2:9">
      <c r="B67" s="463" t="s">
        <v>2697</v>
      </c>
    </row>
    <row r="68" spans="2:9">
      <c r="B68" s="463" t="s">
        <v>2698</v>
      </c>
    </row>
    <row r="69" spans="2:9">
      <c r="B69" s="463" t="s">
        <v>2699</v>
      </c>
    </row>
    <row r="78" spans="2:9">
      <c r="F78" s="7"/>
    </row>
    <row r="79" spans="2:9">
      <c r="F79" s="7"/>
    </row>
  </sheetData>
  <mergeCells count="1">
    <mergeCell ref="I61:K61"/>
  </mergeCells>
  <pageMargins left="0.7" right="0.7" top="0.75" bottom="0.75" header="0.3" footer="0.3"/>
  <pageSetup scale="54" fitToHeight="0" orientation="landscape" cellComments="asDisplayed" r:id="rId1"/>
  <headerFooter>
    <oddHeader>&amp;CSchedule 5 ROR-2
Return and Capitalization
&amp;RTO2022 Draft Annual Update 
Attachment 1</oddHeader>
    <oddFooter>&amp;R5-ROR-2</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ct:contentTypeSchema xmlns:ct="http://schemas.microsoft.com/office/2006/metadata/contentType" xmlns:ma="http://schemas.microsoft.com/office/2006/metadata/properties/metaAttributes" ct:_="" ma:_="" ma:contentTypeName="Legal Document" ma:contentTypeID="0x01010059CF184591B1604A8B5108A47612E8120085E47BF52B16274BB211D3B2DA8C37CB" ma:contentTypeVersion="73" ma:contentTypeDescription="" ma:contentTypeScope="" ma:versionID="a933c5185b0d2af71e6db68059dae87f">
  <xsd:schema xmlns:xsd="http://www.w3.org/2001/XMLSchema" xmlns:xs="http://www.w3.org/2001/XMLSchema" xmlns:p="http://schemas.microsoft.com/office/2006/metadata/properties" xmlns:ns3="ec52a836-0bb4-4d79-aa0d-20b4805e15e2" xmlns:ns4="4a395b14-ee59-43b1-b020-0aff8b256b59" xmlns:ns5="f00742b3-bbdc-40aa-80c7-4fc35bdc8024" targetNamespace="http://schemas.microsoft.com/office/2006/metadata/properties" ma:root="true" ma:fieldsID="261d5bce47047d231511220ffa4d5a78" ns3:_="" ns4:_="" ns5:_="">
    <xsd:import namespace="ec52a836-0bb4-4d79-aa0d-20b4805e15e2"/>
    <xsd:import namespace="4a395b14-ee59-43b1-b020-0aff8b256b59"/>
    <xsd:import namespace="f00742b3-bbdc-40aa-80c7-4fc35bdc8024"/>
    <xsd:element name="properties">
      <xsd:complexType>
        <xsd:sequence>
          <xsd:element name="documentManagement">
            <xsd:complexType>
              <xsd:all>
                <xsd:element ref="ns3:Document_x0020_Date" minOccurs="0"/>
                <xsd:element ref="ns4:Clip" minOccurs="0"/>
                <xsd:element ref="ns3:Legal_x0020_Group1" minOccurs="0"/>
                <xsd:element ref="ns3:SharedWithUsers" minOccurs="0"/>
                <xsd:element ref="ns3:SharedWithDetails" minOccurs="0"/>
                <xsd:element ref="ns5:LastSharedByUser" minOccurs="0"/>
                <xsd:element ref="ns5:LastSharedByTime" minOccurs="0"/>
                <xsd:element ref="ns3:_dlc_DocId" minOccurs="0"/>
                <xsd:element ref="ns3:_dlc_DocIdUrl" minOccurs="0"/>
                <xsd:element ref="ns3:_dlc_DocIdPersistId"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52a836-0bb4-4d79-aa0d-20b4805e15e2" elementFormDefault="qualified">
    <xsd:import namespace="http://schemas.microsoft.com/office/2006/documentManagement/types"/>
    <xsd:import namespace="http://schemas.microsoft.com/office/infopath/2007/PartnerControls"/>
    <xsd:element name="Document_x0020_Date" ma:index="3" nillable="true" ma:displayName="Document Date" ma:format="DateOnly" ma:internalName="Document_x0020_Date">
      <xsd:simpleType>
        <xsd:restriction base="dms:DateTime"/>
      </xsd:simpleType>
    </xsd:element>
    <xsd:element name="Legal_x0020_Group1" ma:index="6" nillable="true" ma:displayName="Legal Group" ma:default="Transmission and Wholesale Markets" ma:format="Dropdown" ma:internalName="Legal_x0020_Group1">
      <xsd:simpleType>
        <xsd:restriction base="dms:Choice">
          <xsd:enumeration value="Claims and General Litigation"/>
          <xsd:enumeration value="Commercial Litigation"/>
          <xsd:enumeration value="Contracts And Intellectual Property"/>
          <xsd:enumeration value="Base Rates and Grid Support"/>
          <xsd:enumeration value="Corporate Governance - Area"/>
          <xsd:enumeration value="Customer and Tariff"/>
          <xsd:enumeration value="Labor and Employment"/>
          <xsd:enumeration value="Licensing and Environmental"/>
          <xsd:enumeration value="Power Procurement"/>
          <xsd:enumeration value="Real Prop and Local Government"/>
          <xsd:enumeration value="Resource Policy and Planning"/>
          <xsd:enumeration value="Transmission and Wholesale Markets"/>
        </xsd:restrictio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a395b14-ee59-43b1-b020-0aff8b256b59" elementFormDefault="qualified">
    <xsd:import namespace="http://schemas.microsoft.com/office/2006/documentManagement/types"/>
    <xsd:import namespace="http://schemas.microsoft.com/office/infopath/2007/PartnerControls"/>
    <xsd:element name="Clip" ma:index="4" nillable="true" ma:displayName="Clip" ma:list="{d663fa17-8aef-42f5-b1f4-844335a181a3}" ma:internalName="Clip" ma:showField="Title">
      <xsd:simpleType>
        <xsd:restriction base="dms:Lookup"/>
      </xsd:simpleType>
    </xsd:element>
    <xsd:element name="MediaServiceMetadata" ma:index="19" nillable="true" ma:displayName="MediaServiceMetadata" ma:description="" ma:hidden="true" ma:internalName="MediaServiceMetadata" ma:readOnly="true">
      <xsd:simpleType>
        <xsd:restriction base="dms:Note"/>
      </xsd:simpleType>
    </xsd:element>
    <xsd:element name="MediaServiceFastMetadata" ma:index="20" nillable="true" ma:displayName="MediaServiceFastMetadata" ma:description=""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Location" ma:index="24" nillable="true" ma:displayName="Location" ma:internalName="MediaServiceLocation"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element name="MediaServiceAutoKeyPoints" ma:index="28" nillable="true" ma:displayName="MediaServiceAutoKeyPoints" ma:hidden="true" ma:internalName="MediaServiceAutoKeyPoints" ma:readOnly="true">
      <xsd:simpleType>
        <xsd:restriction base="dms:Note"/>
      </xsd:simpleType>
    </xsd:element>
    <xsd:element name="MediaServiceKeyPoints" ma:index="2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0742b3-bbdc-40aa-80c7-4fc35bdc8024" elementFormDefault="qualified">
    <xsd:import namespace="http://schemas.microsoft.com/office/2006/documentManagement/types"/>
    <xsd:import namespace="http://schemas.microsoft.com/office/infopath/2007/PartnerControls"/>
    <xsd:element name="LastSharedByUser" ma:index="14" nillable="true" ma:displayName="Last Shared By User" ma:description="" ma:internalName="LastSharedByUser" ma:readOnly="true">
      <xsd:simpleType>
        <xsd:restriction base="dms:Note">
          <xsd:maxLength value="255"/>
        </xsd:restriction>
      </xsd:simpleType>
    </xsd:element>
    <xsd:element name="LastSharedByTime" ma:index="15"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13" ma:displayName="Content Type"/>
        <xsd:element ref="dc:title" minOccurs="0" maxOccurs="1" ma:index="1" ma:displayName="Title"/>
        <xsd:element ref="dc:subject" minOccurs="0" maxOccurs="1"/>
        <xsd:element ref="dc:description" minOccurs="0" maxOccurs="1" ma:index="5"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Document_x0020_Date xmlns="ec52a836-0bb4-4d79-aa0d-20b4805e15e2" xsi:nil="true"/>
    <Legal_x0020_Group1 xmlns="ec52a836-0bb4-4d79-aa0d-20b4805e15e2">Transmission and Wholesale Markets</Legal_x0020_Group1>
    <Clip xmlns="4a395b14-ee59-43b1-b020-0aff8b256b59" xsi:nil="true"/>
    <_dlc_DocId xmlns="ec52a836-0bb4-4d79-aa0d-20b4805e15e2">LIMSO365-1487909763-3371</_dlc_DocId>
    <_dlc_DocIdUrl xmlns="ec52a836-0bb4-4d79-aa0d-20b4805e15e2">
      <Url>https://edisonintl.sharepoint.com/teams/LIMS%20O365/TWMW/_layouts/15/DocIdRedir.aspx?ID=LIMSO365-1487909763-3371</Url>
      <Description>LIMSO365-1487909763-3371</Description>
    </_dlc_DocIdUrl>
  </documentManagement>
</p:properties>
</file>

<file path=customXml/itemProps1.xml><?xml version="1.0" encoding="utf-8"?>
<ds:datastoreItem xmlns:ds="http://schemas.openxmlformats.org/officeDocument/2006/customXml" ds:itemID="{A2B30779-2D29-4934-A499-EBF0EF1C5590}">
  <ds:schemaRefs>
    <ds:schemaRef ds:uri="http://schemas.microsoft.com/office/2006/metadata/customXsn"/>
  </ds:schemaRefs>
</ds:datastoreItem>
</file>

<file path=customXml/itemProps2.xml><?xml version="1.0" encoding="utf-8"?>
<ds:datastoreItem xmlns:ds="http://schemas.openxmlformats.org/officeDocument/2006/customXml" ds:itemID="{46FDAEC8-8EB6-4E78-92E0-3031E31DCE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52a836-0bb4-4d79-aa0d-20b4805e15e2"/>
    <ds:schemaRef ds:uri="4a395b14-ee59-43b1-b020-0aff8b256b59"/>
    <ds:schemaRef ds:uri="f00742b3-bbdc-40aa-80c7-4fc35bdc8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4.xml><?xml version="1.0" encoding="utf-8"?>
<ds:datastoreItem xmlns:ds="http://schemas.openxmlformats.org/officeDocument/2006/customXml" ds:itemID="{F0451B22-D90B-4D19-B8B1-AF4FE30B9EEF}">
  <ds:schemaRefs>
    <ds:schemaRef ds:uri="http://schemas.microsoft.com/sharepoint/events"/>
  </ds:schemaRefs>
</ds:datastoreItem>
</file>

<file path=customXml/itemProps5.xml><?xml version="1.0" encoding="utf-8"?>
<ds:datastoreItem xmlns:ds="http://schemas.openxmlformats.org/officeDocument/2006/customXml" ds:itemID="{18EFB732-2170-4C43-B29C-A57FFC6F81E0}">
  <ds:schemaRefs>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4a395b14-ee59-43b1-b020-0aff8b256b59"/>
    <ds:schemaRef ds:uri="f00742b3-bbdc-40aa-80c7-4fc35bdc8024"/>
    <ds:schemaRef ds:uri="ec52a836-0bb4-4d79-aa0d-20b4805e15e2"/>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42</vt:i4>
      </vt:variant>
    </vt:vector>
  </HeadingPairs>
  <TitlesOfParts>
    <vt:vector size="82"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Bert Hansen</dc:creator>
  <dc:description/>
  <cp:lastModifiedBy>Jee Kim</cp:lastModifiedBy>
  <cp:lastPrinted>2020-11-17T19:37:37Z</cp:lastPrinted>
  <dcterms:created xsi:type="dcterms:W3CDTF">2009-02-27T16:01:11Z</dcterms:created>
  <dcterms:modified xsi:type="dcterms:W3CDTF">2021-06-15T16:13:43Z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0x01010059CF184591B1604A8B5108A47612E8120085E47BF52B16274BB211D3B2DA8C37CB</vt:lpwstr>
  </property>
  <property fmtid="{D5CDD505-2E9C-101B-9397-08002B2CF9AE}" pid="3" name="_dlc_DocIdItemGuid">
    <vt:lpwstr>1abc73ce-fb89-4fa0-af00-7af4d1b86cca</vt:lpwstr>
  </property>
</Properties>
</file>